
<file path=[Content_Types].xml><?xml version="1.0" encoding="utf-8"?>
<Types xmlns="http://schemas.openxmlformats.org/package/2006/content-types">
  <Default Extension="xml" ContentType="application/xml"/>
  <Default Extension="jpeg" ContentType="image/jpeg"/>
  <Default Extension="vml" ContentType="application/vnd.openxmlformats-officedocument.vmlDrawing"/>
  <Default Extension="png" ContentType="image/png"/>
  <Default Extension="emf" ContentType="image/x-em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0225"/>
  <workbookPr showInkAnnotation="0" codeName="ThisWorkbook" autoCompressPictures="0"/>
  <workbookProtection workbookPassword="FB84" lockStructure="1"/>
  <bookViews>
    <workbookView xWindow="0" yWindow="0" windowWidth="25600" windowHeight="14640" tabRatio="889" activeTab="7"/>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235" r:id="rId28"/>
    <sheet name="SA10" sheetId="123" r:id="rId29"/>
    <sheet name="SA11" sheetId="336" r:id="rId30"/>
    <sheet name="SA12a" sheetId="335" r:id="rId31"/>
    <sheet name="SA12b" sheetId="360" r:id="rId32"/>
    <sheet name="SA13" sheetId="361" r:id="rId33"/>
    <sheet name="SA14" sheetId="337" r:id="rId34"/>
    <sheet name="SA15" sheetId="142" r:id="rId35"/>
    <sheet name="SA16" sheetId="143" r:id="rId36"/>
    <sheet name="SA17" sheetId="144" r:id="rId37"/>
    <sheet name="SA18" sheetId="136" r:id="rId38"/>
    <sheet name="SA19" sheetId="249" r:id="rId39"/>
    <sheet name="SA20" sheetId="316" r:id="rId40"/>
    <sheet name="SA21" sheetId="305" r:id="rId41"/>
    <sheet name="SA22" sheetId="146" r:id="rId42"/>
    <sheet name="SA23" sheetId="145" r:id="rId43"/>
    <sheet name="SA24" sheetId="148" r:id="rId44"/>
    <sheet name="SA25" sheetId="137" r:id="rId45"/>
    <sheet name="SA26" sheetId="299" r:id="rId46"/>
    <sheet name="SA27" sheetId="298" r:id="rId47"/>
    <sheet name="SA28" sheetId="140" r:id="rId48"/>
    <sheet name="SA29" sheetId="300" r:id="rId49"/>
    <sheet name="SA30" sheetId="95" r:id="rId50"/>
    <sheet name="SA31" sheetId="301" r:id="rId51"/>
    <sheet name="SA32" sheetId="250" r:id="rId52"/>
    <sheet name="SA33" sheetId="139" r:id="rId53"/>
    <sheet name="SA34a" sheetId="134" r:id="rId54"/>
    <sheet name="SA34b" sheetId="350" r:id="rId55"/>
    <sheet name="SA34c" sheetId="349" r:id="rId56"/>
    <sheet name="SA34d" sheetId="358" r:id="rId57"/>
    <sheet name="SA35" sheetId="294" r:id="rId58"/>
    <sheet name="SA36" sheetId="256" r:id="rId59"/>
    <sheet name="SA37" sheetId="296" r:id="rId60"/>
    <sheet name="NERF" sheetId="338" state="hidden" r:id="rId61"/>
    <sheet name="MSCOA" sheetId="339" state="hidden" r:id="rId62"/>
    <sheet name="Compliance assessment" sheetId="348" state="hidden" r:id="rId63"/>
  </sheets>
  <externalReferences>
    <externalReference r:id="rId64"/>
    <externalReference r:id="rId65"/>
    <externalReference r:id="rId66"/>
    <externalReference r:id="rId67"/>
    <externalReference r:id="rId68"/>
    <externalReference r:id="rId69"/>
  </externalReferences>
  <definedNames>
    <definedName name="_ADJ1" localSheetId="31">'Template names'!#REF!</definedName>
    <definedName name="_ADJ1" localSheetId="32">'Template names'!#REF!</definedName>
    <definedName name="_ADJ1" localSheetId="56">'Template names'!#REF!</definedName>
    <definedName name="_ADJ10" localSheetId="31">'Template names'!#REF!</definedName>
    <definedName name="_ADJ10" localSheetId="32">'Template names'!#REF!</definedName>
    <definedName name="_ADJ10" localSheetId="56">'Template names'!#REF!</definedName>
    <definedName name="_ADJ11" localSheetId="31">'Template names'!#REF!</definedName>
    <definedName name="_ADJ11" localSheetId="32">'Template names'!#REF!</definedName>
    <definedName name="_ADJ11" localSheetId="56">'Template names'!#REF!</definedName>
    <definedName name="_ADJ12" localSheetId="31">'Template names'!#REF!</definedName>
    <definedName name="_ADJ12" localSheetId="32">'Template names'!#REF!</definedName>
    <definedName name="_ADJ12" localSheetId="56">'Template names'!#REF!</definedName>
    <definedName name="_ADJ13" localSheetId="31">'Template names'!#REF!</definedName>
    <definedName name="_ADJ13" localSheetId="32">'Template names'!#REF!</definedName>
    <definedName name="_ADJ13" localSheetId="56">'Template names'!#REF!</definedName>
    <definedName name="_ADJ14" localSheetId="31">'Template names'!#REF!</definedName>
    <definedName name="_ADJ14" localSheetId="32">'Template names'!#REF!</definedName>
    <definedName name="_ADJ14" localSheetId="56">'Template names'!#REF!</definedName>
    <definedName name="_ADJ16" localSheetId="31">'Template names'!#REF!</definedName>
    <definedName name="_ADJ16" localSheetId="32">'Template names'!#REF!</definedName>
    <definedName name="_ADJ16" localSheetId="56">'Template names'!#REF!</definedName>
    <definedName name="_ADJ17" localSheetId="31">'Template names'!#REF!</definedName>
    <definedName name="_ADJ17" localSheetId="32">'Template names'!#REF!</definedName>
    <definedName name="_ADJ17" localSheetId="56">'Template names'!#REF!</definedName>
    <definedName name="_ADJ18" localSheetId="31">'Template names'!#REF!</definedName>
    <definedName name="_ADJ18" localSheetId="32">'Template names'!#REF!</definedName>
    <definedName name="_ADJ18" localSheetId="56">'Template names'!#REF!</definedName>
    <definedName name="_ADJ19" localSheetId="31">'Template names'!#REF!</definedName>
    <definedName name="_ADJ19" localSheetId="32">'Template names'!#REF!</definedName>
    <definedName name="_ADJ19" localSheetId="56">'Template names'!#REF!</definedName>
    <definedName name="_ADJ2" localSheetId="31">'Template names'!#REF!</definedName>
    <definedName name="_ADJ2" localSheetId="32">'Template names'!#REF!</definedName>
    <definedName name="_ADJ2" localSheetId="56">'Template names'!#REF!</definedName>
    <definedName name="_ADJ3" localSheetId="31">'Template names'!#REF!</definedName>
    <definedName name="_ADJ3" localSheetId="32">'Template names'!#REF!</definedName>
    <definedName name="_ADJ3" localSheetId="56">'Template names'!#REF!</definedName>
    <definedName name="_ADJ4" localSheetId="31">'Template names'!#REF!</definedName>
    <definedName name="_ADJ4" localSheetId="32">'Template names'!#REF!</definedName>
    <definedName name="_ADJ4" localSheetId="56">'Template names'!#REF!</definedName>
    <definedName name="_ADJ5" localSheetId="31">'Template names'!#REF!</definedName>
    <definedName name="_ADJ5" localSheetId="32">'Template names'!#REF!</definedName>
    <definedName name="_ADJ5" localSheetId="56">'Template names'!#REF!</definedName>
    <definedName name="_ADJ6" localSheetId="31">'Template names'!#REF!</definedName>
    <definedName name="_ADJ6" localSheetId="32">'Template names'!#REF!</definedName>
    <definedName name="_ADJ6" localSheetId="56">'Template names'!#REF!</definedName>
    <definedName name="_ADJ7" localSheetId="31">'Template names'!#REF!</definedName>
    <definedName name="_ADJ7" localSheetId="32">'Template names'!#REF!</definedName>
    <definedName name="_ADJ7" localSheetId="56">'Template names'!#REF!</definedName>
    <definedName name="_ADJ8" localSheetId="31">'Template names'!#REF!</definedName>
    <definedName name="_ADJ8" localSheetId="32">'Template names'!#REF!</definedName>
    <definedName name="_ADJ8" localSheetId="56">'Template names'!#REF!</definedName>
    <definedName name="_ADJ9" localSheetId="31">'Template names'!#REF!</definedName>
    <definedName name="_ADJ9" localSheetId="32">'Template names'!#REF!</definedName>
    <definedName name="_ADJ9" localSheetId="56">'Template names'!#REF!</definedName>
    <definedName name="_ccf04" localSheetId="31">#REF!</definedName>
    <definedName name="_ccf04" localSheetId="32">#REF!</definedName>
    <definedName name="_ccf04" localSheetId="56">#REF!</definedName>
    <definedName name="_ccf05" localSheetId="31">#REF!</definedName>
    <definedName name="_ccf05" localSheetId="32">#REF!</definedName>
    <definedName name="_ccf05" localSheetId="5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56">#REF!</definedName>
    <definedName name="_ecf05" localSheetId="31">#REF!</definedName>
    <definedName name="_ecf05" localSheetId="32">#REF!</definedName>
    <definedName name="_ecf05" localSheetId="5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56">#REF!</definedName>
    <definedName name="_emp05" localSheetId="31">#REF!</definedName>
    <definedName name="_emp05" localSheetId="32">#REF!</definedName>
    <definedName name="_emp05" localSheetId="5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56">#REF!</definedName>
    <definedName name="_inf2" localSheetId="31">#REF!</definedName>
    <definedName name="_inf2" localSheetId="32">#REF!</definedName>
    <definedName name="_inf2" localSheetId="56">#REF!</definedName>
    <definedName name="_inf3" localSheetId="31">#REF!</definedName>
    <definedName name="_inf3" localSheetId="32">#REF!</definedName>
    <definedName name="_inf3" localSheetId="56">#REF!</definedName>
    <definedName name="_int04" localSheetId="31">#REF!</definedName>
    <definedName name="_int04" localSheetId="32">#REF!</definedName>
    <definedName name="_int04" localSheetId="56">#REF!</definedName>
    <definedName name="_int05" localSheetId="31">#REF!</definedName>
    <definedName name="_int05" localSheetId="32">#REF!</definedName>
    <definedName name="_int05" localSheetId="5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56">#REF!</definedName>
    <definedName name="_inv05" localSheetId="31">#REF!</definedName>
    <definedName name="_inv05" localSheetId="32">#REF!</definedName>
    <definedName name="_inv05" localSheetId="5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56">'Template names'!#REF!</definedName>
    <definedName name="_MEB10" localSheetId="31">'Template names'!#REF!</definedName>
    <definedName name="_MEB10" localSheetId="32">'Template names'!#REF!</definedName>
    <definedName name="_MEB10" localSheetId="56">'Template names'!#REF!</definedName>
    <definedName name="_MEB11" localSheetId="31">'Template names'!#REF!</definedName>
    <definedName name="_MEB11" localSheetId="32">'Template names'!#REF!</definedName>
    <definedName name="_MEB11" localSheetId="56">'Template names'!#REF!</definedName>
    <definedName name="_MEB12" localSheetId="31">'Template names'!#REF!</definedName>
    <definedName name="_MEB12" localSheetId="32">'Template names'!#REF!</definedName>
    <definedName name="_MEB12" localSheetId="56">'Template names'!#REF!</definedName>
    <definedName name="_MEB2" localSheetId="31">'Template names'!#REF!</definedName>
    <definedName name="_MEB2" localSheetId="32">'Template names'!#REF!</definedName>
    <definedName name="_MEB2" localSheetId="56">'Template names'!#REF!</definedName>
    <definedName name="_MEB3" localSheetId="31">'Template names'!#REF!</definedName>
    <definedName name="_MEB3" localSheetId="32">'Template names'!#REF!</definedName>
    <definedName name="_MEB3" localSheetId="56">'Template names'!#REF!</definedName>
    <definedName name="_MEB4" localSheetId="31">'Template names'!#REF!</definedName>
    <definedName name="_MEB4" localSheetId="32">'Template names'!#REF!</definedName>
    <definedName name="_MEB4" localSheetId="56">'Template names'!#REF!</definedName>
    <definedName name="_MEB5" localSheetId="31">'Template names'!#REF!</definedName>
    <definedName name="_MEB5" localSheetId="32">'Template names'!#REF!</definedName>
    <definedName name="_MEB5" localSheetId="56">'Template names'!#REF!</definedName>
    <definedName name="_MEB6" localSheetId="31">'Template names'!#REF!</definedName>
    <definedName name="_MEB6" localSheetId="32">'Template names'!#REF!</definedName>
    <definedName name="_MEB6" localSheetId="56">'Template names'!#REF!</definedName>
    <definedName name="_MEB7" localSheetId="31">'Template names'!#REF!</definedName>
    <definedName name="_MEB7" localSheetId="32">'Template names'!#REF!</definedName>
    <definedName name="_MEB7" localSheetId="56">'Template names'!#REF!</definedName>
    <definedName name="_MEB8" localSheetId="31">'Template names'!#REF!</definedName>
    <definedName name="_MEB8" localSheetId="32">'Template names'!#REF!</definedName>
    <definedName name="_MEB8" localSheetId="56">'Template names'!#REF!</definedName>
    <definedName name="_MEB9" localSheetId="31">'Template names'!#REF!</definedName>
    <definedName name="_MEB9" localSheetId="32">'Template names'!#REF!</definedName>
    <definedName name="_MEB9" localSheetId="56">'Template names'!#REF!</definedName>
    <definedName name="_MER1" localSheetId="31">'Template names'!#REF!</definedName>
    <definedName name="_MER1" localSheetId="32">'Template names'!#REF!</definedName>
    <definedName name="_MER1" localSheetId="56">'Template names'!#REF!</definedName>
    <definedName name="_MER10" localSheetId="31">'Template names'!#REF!</definedName>
    <definedName name="_MER10" localSheetId="32">'Template names'!#REF!</definedName>
    <definedName name="_MER10" localSheetId="56">'Template names'!#REF!</definedName>
    <definedName name="_MER11" localSheetId="31">'Template names'!#REF!</definedName>
    <definedName name="_MER11" localSheetId="32">'Template names'!#REF!</definedName>
    <definedName name="_MER11" localSheetId="56">'Template names'!#REF!</definedName>
    <definedName name="_MER2" localSheetId="31">'Template names'!#REF!</definedName>
    <definedName name="_MER2" localSheetId="32">'Template names'!#REF!</definedName>
    <definedName name="_MER2" localSheetId="56">'Template names'!#REF!</definedName>
    <definedName name="_MER3" localSheetId="31">'Template names'!#REF!</definedName>
    <definedName name="_MER3" localSheetId="32">'Template names'!#REF!</definedName>
    <definedName name="_MER3" localSheetId="56">'Template names'!#REF!</definedName>
    <definedName name="_MER4" localSheetId="31">'Template names'!#REF!</definedName>
    <definedName name="_MER4" localSheetId="32">'Template names'!#REF!</definedName>
    <definedName name="_MER4" localSheetId="56">'Template names'!#REF!</definedName>
    <definedName name="_MER5" localSheetId="31">'Template names'!#REF!</definedName>
    <definedName name="_MER5" localSheetId="32">'Template names'!#REF!</definedName>
    <definedName name="_MER5" localSheetId="56">'Template names'!#REF!</definedName>
    <definedName name="_MER6" localSheetId="31">'Template names'!#REF!</definedName>
    <definedName name="_MER6" localSheetId="32">'Template names'!#REF!</definedName>
    <definedName name="_MER6" localSheetId="56">'Template names'!#REF!</definedName>
    <definedName name="_MER7" localSheetId="31">'Template names'!#REF!</definedName>
    <definedName name="_MER7" localSheetId="32">'Template names'!#REF!</definedName>
    <definedName name="_MER7" localSheetId="56">'Template names'!#REF!</definedName>
    <definedName name="_MER8" localSheetId="31">'Template names'!#REF!</definedName>
    <definedName name="_MER8" localSheetId="32">'Template names'!#REF!</definedName>
    <definedName name="_MER8" localSheetId="56">'Template names'!#REF!</definedName>
    <definedName name="_MER9" localSheetId="31">'Template names'!#REF!</definedName>
    <definedName name="_MER9" localSheetId="32">'Template names'!#REF!</definedName>
    <definedName name="_MER9" localSheetId="56">'Template names'!#REF!</definedName>
    <definedName name="_rat03" localSheetId="31">#REF!</definedName>
    <definedName name="_rat03" localSheetId="32">#REF!</definedName>
    <definedName name="_rat03" localSheetId="56">#REF!</definedName>
    <definedName name="_rat04" localSheetId="31">#REF!</definedName>
    <definedName name="_rat04" localSheetId="32">#REF!</definedName>
    <definedName name="_rat04" localSheetId="56">#REF!</definedName>
    <definedName name="_rat05" localSheetId="31">#REF!</definedName>
    <definedName name="_rat05" localSheetId="32">#REF!</definedName>
    <definedName name="_rat05" localSheetId="56">#REF!</definedName>
    <definedName name="_rat06" localSheetId="31">#REF!</definedName>
    <definedName name="_rat06" localSheetId="32">#REF!</definedName>
    <definedName name="_rat06" localSheetId="56">#REF!</definedName>
    <definedName name="_rat07" localSheetId="31">#REF!</definedName>
    <definedName name="_rat07" localSheetId="32">#REF!</definedName>
    <definedName name="_rat07" localSheetId="56">#REF!</definedName>
    <definedName name="_rat08" localSheetId="31">#REF!</definedName>
    <definedName name="_rat08" localSheetId="32">#REF!</definedName>
    <definedName name="_rat08" localSheetId="56">#REF!</definedName>
    <definedName name="_rat09" localSheetId="31">#REF!</definedName>
    <definedName name="_rat09" localSheetId="32">#REF!</definedName>
    <definedName name="_rat09" localSheetId="56">#REF!</definedName>
    <definedName name="_rat10" localSheetId="31">#REF!</definedName>
    <definedName name="_rat10" localSheetId="32">#REF!</definedName>
    <definedName name="_rat10" localSheetId="56">#REF!</definedName>
    <definedName name="_rat11" localSheetId="31">#REF!</definedName>
    <definedName name="_rat11" localSheetId="32">#REF!</definedName>
    <definedName name="_rat11" localSheetId="56">#REF!</definedName>
    <definedName name="_rat12" localSheetId="31">#REF!</definedName>
    <definedName name="_rat12" localSheetId="32">#REF!</definedName>
    <definedName name="_rat12" localSheetId="56">#REF!</definedName>
    <definedName name="_rat13" localSheetId="31">#REF!</definedName>
    <definedName name="_rat13" localSheetId="32">#REF!</definedName>
    <definedName name="_rat13" localSheetId="56">#REF!</definedName>
    <definedName name="_rgr05" localSheetId="31">#REF!</definedName>
    <definedName name="_rgr05" localSheetId="32">#REF!</definedName>
    <definedName name="_rgr05" localSheetId="5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5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5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5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56">'Template names'!#REF!</definedName>
    <definedName name="ADJ18A" localSheetId="31">'Template names'!#REF!</definedName>
    <definedName name="ADJ18A" localSheetId="32">'Template names'!#REF!</definedName>
    <definedName name="ADJ18A" localSheetId="56">'Template names'!#REF!</definedName>
    <definedName name="ADJ18B" localSheetId="31">'Template names'!#REF!</definedName>
    <definedName name="ADJ18B" localSheetId="32">'Template names'!#REF!</definedName>
    <definedName name="ADJ18B" localSheetId="56">'Template names'!#REF!</definedName>
    <definedName name="ADJ19B" localSheetId="31">'Template names'!#REF!</definedName>
    <definedName name="ADJ19B" localSheetId="32">'Template names'!#REF!</definedName>
    <definedName name="ADJ19B" localSheetId="56">'Template names'!#REF!</definedName>
    <definedName name="ADJ8A" localSheetId="31">'Template names'!#REF!</definedName>
    <definedName name="ADJ8A" localSheetId="32">'Template names'!#REF!</definedName>
    <definedName name="ADJ8A" localSheetId="56">'Template names'!#REF!</definedName>
    <definedName name="ADJ8B" localSheetId="31">'Template names'!#REF!</definedName>
    <definedName name="ADJ8B" localSheetId="32">'Template names'!#REF!</definedName>
    <definedName name="ADJ8B" localSheetId="56">'Template names'!#REF!</definedName>
    <definedName name="ADJP1" localSheetId="31">'Template names'!#REF!</definedName>
    <definedName name="ADJP1" localSheetId="32">'Template names'!#REF!</definedName>
    <definedName name="ADJP1" localSheetId="56">'Template names'!#REF!</definedName>
    <definedName name="adjsum" localSheetId="31">'Template names'!#REF!</definedName>
    <definedName name="adjsum" localSheetId="32">'Template names'!#REF!</definedName>
    <definedName name="adjsum" localSheetId="56">'Template names'!#REF!</definedName>
    <definedName name="ADJTB1" localSheetId="31">'Template names'!#REF!</definedName>
    <definedName name="ADJTB1" localSheetId="32">'Template names'!#REF!</definedName>
    <definedName name="ADJTB1" localSheetId="56">'Template names'!#REF!</definedName>
    <definedName name="ADJXX" localSheetId="31">'Template names'!#REF!</definedName>
    <definedName name="ADJXX" localSheetId="32">'Template names'!#REF!</definedName>
    <definedName name="ADJXX" localSheetId="56">'Template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sub_class">'Lookup and lists'!$AA$15:$AA$59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56">#REF!</definedName>
    <definedName name="baseindex">'Template names'!$B$88:$B$89</definedName>
    <definedName name="Bus" localSheetId="31">#REF!</definedName>
    <definedName name="Bus" localSheetId="32">#REF!</definedName>
    <definedName name="Bus" localSheetId="56">#REF!</definedName>
    <definedName name="capexfactor" localSheetId="31">#REF!</definedName>
    <definedName name="capexfactor" localSheetId="32">#REF!</definedName>
    <definedName name="capexfactor" localSheetId="5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56">#REF!</definedName>
    <definedName name="capexrate05" localSheetId="31">#REF!</definedName>
    <definedName name="capexrate05" localSheetId="32">#REF!</definedName>
    <definedName name="capexrate05" localSheetId="5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names'!$B$154</definedName>
    <definedName name="ChartA10">'Template names'!$B$163</definedName>
    <definedName name="ChartA11">'Template names'!$B$164</definedName>
    <definedName name="ChartA12">'Template names'!$B$165</definedName>
    <definedName name="ChartA13">'Template names'!$B$166</definedName>
    <definedName name="ChartA2">'Template names'!$B$155</definedName>
    <definedName name="ChartA3">'Template names'!$B$156</definedName>
    <definedName name="ChartA4">'Template names'!$B$157</definedName>
    <definedName name="ChartA5">'Template names'!$B$158</definedName>
    <definedName name="ChartA6">'Template names'!$B$159</definedName>
    <definedName name="ChartA7">'Template names'!$B$160</definedName>
    <definedName name="ChartA8">'Template names'!$B$161</definedName>
    <definedName name="ChartA9">'Template names'!$B$162</definedName>
    <definedName name="choosebase">'Template names'!$B$89:$B$90</definedName>
    <definedName name="community">'[2]Lookup and lists'!$AA$15:$AA$59</definedName>
    <definedName name="Consolques">'Template names'!$A$95</definedName>
    <definedName name="cpix04" localSheetId="31">#REF!</definedName>
    <definedName name="cpix04" localSheetId="32">#REF!</definedName>
    <definedName name="cpix04" localSheetId="56">#REF!</definedName>
    <definedName name="cpix05" localSheetId="31">#REF!</definedName>
    <definedName name="cpix05" localSheetId="32">#REF!</definedName>
    <definedName name="cpix05" localSheetId="5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56">#REF!</definedName>
    <definedName name="debt03" localSheetId="31">#REF!</definedName>
    <definedName name="debt03" localSheetId="32">#REF!</definedName>
    <definedName name="debt03" localSheetId="56">#REF!</definedName>
    <definedName name="debt04" localSheetId="31">#REF!</definedName>
    <definedName name="debt04" localSheetId="32">#REF!</definedName>
    <definedName name="debt04" localSheetId="56">#REF!</definedName>
    <definedName name="debt05" localSheetId="31">#REF!</definedName>
    <definedName name="debt05" localSheetId="32">#REF!</definedName>
    <definedName name="debt05" localSheetId="5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56">#REF!</definedName>
    <definedName name="debtrev05" localSheetId="31">#REF!</definedName>
    <definedName name="debtrev05" localSheetId="32">#REF!</definedName>
    <definedName name="debtrev05" localSheetId="5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56">#REF!</definedName>
    <definedName name="elec05" localSheetId="31">#REF!</definedName>
    <definedName name="elec05" localSheetId="32">#REF!</definedName>
    <definedName name="elec05" localSheetId="5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56">#REF!</definedName>
    <definedName name="FinYear">Instructions!$X$36</definedName>
    <definedName name="finyears" localSheetId="31">#REF!</definedName>
    <definedName name="finyears" localSheetId="32">#REF!</definedName>
    <definedName name="finyears" localSheetId="56">#REF!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5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56">#REF!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56">#REF!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56">#REF!</definedName>
    <definedName name="MEAB1" localSheetId="31">'Template names'!#REF!</definedName>
    <definedName name="MEAB1" localSheetId="32">'Template names'!#REF!</definedName>
    <definedName name="MEAB1" localSheetId="56">'Template names'!#REF!</definedName>
    <definedName name="MEAB10" localSheetId="31">'Template names'!#REF!</definedName>
    <definedName name="MEAB10" localSheetId="32">'Template names'!#REF!</definedName>
    <definedName name="MEAB10" localSheetId="56">'Template names'!#REF!</definedName>
    <definedName name="MEAB11" localSheetId="31">'Template names'!#REF!</definedName>
    <definedName name="MEAB11" localSheetId="32">'Template names'!#REF!</definedName>
    <definedName name="MEAB11" localSheetId="56">'Template names'!#REF!</definedName>
    <definedName name="MEAB2" localSheetId="31">'Template names'!#REF!</definedName>
    <definedName name="MEAB2" localSheetId="32">'Template names'!#REF!</definedName>
    <definedName name="MEAB2" localSheetId="56">'Template names'!#REF!</definedName>
    <definedName name="MEAB3" localSheetId="31">'Template names'!#REF!</definedName>
    <definedName name="MEAB3" localSheetId="32">'Template names'!#REF!</definedName>
    <definedName name="MEAB3" localSheetId="56">'Template names'!#REF!</definedName>
    <definedName name="MEAB4" localSheetId="31">'Template names'!#REF!</definedName>
    <definedName name="MEAB4" localSheetId="32">'Template names'!#REF!</definedName>
    <definedName name="MEAB4" localSheetId="56">'Template names'!#REF!</definedName>
    <definedName name="MEAB5" localSheetId="31">'Template names'!#REF!</definedName>
    <definedName name="MEAB5" localSheetId="32">'Template names'!#REF!</definedName>
    <definedName name="MEAB5" localSheetId="56">'Template names'!#REF!</definedName>
    <definedName name="MEAB6" localSheetId="31">'Template names'!#REF!</definedName>
    <definedName name="MEAB6" localSheetId="32">'Template names'!#REF!</definedName>
    <definedName name="MEAB6" localSheetId="56">'Template names'!#REF!</definedName>
    <definedName name="MEAB7" localSheetId="31">'Template names'!#REF!</definedName>
    <definedName name="MEAB7" localSheetId="32">'Template names'!#REF!</definedName>
    <definedName name="MEAB7" localSheetId="56">'Template names'!#REF!</definedName>
    <definedName name="MEAB8" localSheetId="31">'Template names'!#REF!</definedName>
    <definedName name="MEAB8" localSheetId="32">'Template names'!#REF!</definedName>
    <definedName name="MEAB8" localSheetId="56">'Template names'!#REF!</definedName>
    <definedName name="MEAB9" localSheetId="31">'Template names'!#REF!</definedName>
    <definedName name="MEAB9" localSheetId="32">'Template names'!#REF!</definedName>
    <definedName name="MEAB9" localSheetId="56">'Template names'!#REF!</definedName>
    <definedName name="MEABsum" localSheetId="31">'Template names'!#REF!</definedName>
    <definedName name="MEABsum" localSheetId="32">'Template names'!#REF!</definedName>
    <definedName name="MEABsum" localSheetId="56">'Template names'!#REF!</definedName>
    <definedName name="MEB1A" localSheetId="31">'Template names'!#REF!</definedName>
    <definedName name="MEB1A" localSheetId="32">'Template names'!#REF!</definedName>
    <definedName name="MEB1A" localSheetId="56">'Template names'!#REF!</definedName>
    <definedName name="MEBsum" localSheetId="31">'Template names'!#REF!</definedName>
    <definedName name="MEBsum" localSheetId="32">'Template names'!#REF!</definedName>
    <definedName name="MEBsum" localSheetId="56">'Template names'!#REF!</definedName>
    <definedName name="MERsum" localSheetId="31">'Template names'!#REF!</definedName>
    <definedName name="MERsum" localSheetId="32">'Template names'!#REF!</definedName>
    <definedName name="MERsum" localSheetId="56">'Template names'!#REF!</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56">#REF!</definedName>
    <definedName name="nersa08" localSheetId="31">#REF!</definedName>
    <definedName name="nersa08" localSheetId="32">#REF!</definedName>
    <definedName name="nersa08" localSheetId="56">#REF!</definedName>
    <definedName name="nethhgr05" localSheetId="31">#REF!</definedName>
    <definedName name="nethhgr05" localSheetId="32">#REF!</definedName>
    <definedName name="nethhgr05" localSheetId="5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6">'A1-Sum'!$A$1:$K$66</definedName>
    <definedName name="_xlnm.Print_Area" localSheetId="18">'A10-SerDel'!$A$1:$K$88</definedName>
    <definedName name="_xlnm.Print_Area" localSheetId="7">'A2-FinPerf SC'!$A$1:$K$54</definedName>
    <definedName name="_xlnm.Print_Area" localSheetId="9">'A3-FinPerf V'!$A$1:$K$43</definedName>
    <definedName name="_xlnm.Print_Area" localSheetId="10">A3A!$A$1:$K$348</definedName>
    <definedName name="_xlnm.Print_Area" localSheetId="11">'A4-FinPerf RE'!$A$1:$X$56</definedName>
    <definedName name="_xlnm.Print_Area" localSheetId="12">'A5-Capex'!$A$1:$L$84</definedName>
    <definedName name="_xlnm.Print_Area" localSheetId="13">A5A!$A$1:$L$172</definedName>
    <definedName name="_xlnm.Print_Area" localSheetId="14">'A6-FinPos'!$A$1:$L$54</definedName>
    <definedName name="_xlnm.Print_Area" localSheetId="15">'A7-CFlow'!$A$1:$L$41</definedName>
    <definedName name="_xlnm.Print_Area" localSheetId="16">'A8-ResRecon'!$A$1:$L$25</definedName>
    <definedName name="_xlnm.Print_Area" localSheetId="17">'A9-Asset'!$A$1:$K$93</definedName>
    <definedName name="_xlnm.Print_Area" localSheetId="5">Contacts!$A$1:$D$90</definedName>
    <definedName name="_xlnm.Print_Area" localSheetId="1">Instructions!$A$1:$M$48</definedName>
    <definedName name="_xlnm.Print_Area" localSheetId="60">NERF!$A$1:$M$68</definedName>
    <definedName name="_xlnm.Print_Area" localSheetId="4">'Org structure'!$A$1:$H$166</definedName>
    <definedName name="_xlnm.Print_Area" localSheetId="19">'SA1'!$A$1:$L$175</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'SA13'!$A$1:$J$92</definedName>
    <definedName name="_xlnm.Print_Area" localSheetId="33">'SA14'!$A$1:$L$53</definedName>
    <definedName name="_xlnm.Print_Area" localSheetId="34">'SA15'!$A$1:$K$35</definedName>
    <definedName name="_xlnm.Print_Area" localSheetId="35">'SA16'!$A$1:$L$89</definedName>
    <definedName name="_xlnm.Print_Area" localSheetId="36">'SA17'!$A$1:$K$70</definedName>
    <definedName name="_xlnm.Print_Area" localSheetId="37">'SA18'!$A$1:$K$58</definedName>
    <definedName name="_xlnm.Print_Area" localSheetId="38">'SA19'!$A$1:$K$54</definedName>
    <definedName name="_xlnm.Print_Area" localSheetId="20">'SA2'!$A$1:$R$44</definedName>
    <definedName name="_xlnm.Print_Area" localSheetId="39">'SA20'!$A$1:$K$58</definedName>
    <definedName name="_xlnm.Print_Area" localSheetId="40">'SA21'!$A$1:$L$73</definedName>
    <definedName name="_xlnm.Print_Area" localSheetId="41">'SA22'!$A$1:$K$119</definedName>
    <definedName name="_xlnm.Print_Area" localSheetId="42">'SA23'!$A$1:$I$70</definedName>
    <definedName name="_xlnm.Print_Area" localSheetId="43">'SA24'!$A$1:$K$51</definedName>
    <definedName name="_xlnm.Print_Area" localSheetId="44">'SA25'!$A$1:$Q$48</definedName>
    <definedName name="_xlnm.Print_Area" localSheetId="45">'SA26'!$A$1:$Q$47</definedName>
    <definedName name="_xlnm.Print_Area" localSheetId="46">'SA27'!$A$1:$Q$55</definedName>
    <definedName name="_xlnm.Print_Area" localSheetId="47">'SA28'!$A$1:$Q$44</definedName>
    <definedName name="_xlnm.Print_Area" localSheetId="48">'SA29'!$A$1:$Q$28</definedName>
    <definedName name="_xlnm.Print_Area" localSheetId="21">'SA3'!$A$1:$L$80</definedName>
    <definedName name="_xlnm.Print_Area" localSheetId="49">'SA30'!$A$1:$P$58</definedName>
    <definedName name="_xlnm.Print_Area" localSheetId="50">'SA31'!$A$1:$K$42</definedName>
    <definedName name="_xlnm.Print_Area" localSheetId="51">'SA32'!$A$1:$F$27</definedName>
    <definedName name="_xlnm.Print_Area" localSheetId="52">'SA33'!$A$1:$O$53</definedName>
    <definedName name="_xlnm.Print_Area" localSheetId="53">SA34a!$A$1:$K$94</definedName>
    <definedName name="_xlnm.Print_Area" localSheetId="54">SA34b!$A$1:$K$97</definedName>
    <definedName name="_xlnm.Print_Area" localSheetId="56">SA34d!$A$1:$K$96</definedName>
    <definedName name="_xlnm.Print_Area" localSheetId="57">'SA35'!$A$1:$I$58</definedName>
    <definedName name="_xlnm.Print_Area" localSheetId="58">'SA36'!$A$1:$Q$1668</definedName>
    <definedName name="_xlnm.Print_Area" localSheetId="59">'SA37'!$A$1:$M$27</definedName>
    <definedName name="_xlnm.Print_Area" localSheetId="22">'SA4'!$A$1:$M$125</definedName>
    <definedName name="_xlnm.Print_Area" localSheetId="23">'SA5'!$A$1:$M$127</definedName>
    <definedName name="_xlnm.Print_Area" localSheetId="24">'SA6'!$A$1:$M$134</definedName>
    <definedName name="_xlnm.Print_Area" localSheetId="25">'SA7'!$A$1:$K$89</definedName>
    <definedName name="_xlnm.Print_Area" localSheetId="26">'SA8'!$A$1:$L$38</definedName>
    <definedName name="_xlnm.Print_Area" localSheetId="27">'SA9'!$A$1:$M$261</definedName>
    <definedName name="_xlnm.Print_Area" localSheetId="0">START!$A$1:$O$41</definedName>
    <definedName name="_xlnm.Print_Titles" localSheetId="9">'A3-FinPerf V'!$1:$3</definedName>
    <definedName name="_xlnm.Print_Titles" localSheetId="10">A3A!$1:$3</definedName>
    <definedName name="_xlnm.Print_Titles" localSheetId="12">'A5-Capex'!$1:$3</definedName>
    <definedName name="Rand000" localSheetId="31">#REF!</definedName>
    <definedName name="Rand000" localSheetId="32">#REF!</definedName>
    <definedName name="Rand000" localSheetId="56">#REF!</definedName>
    <definedName name="REDHHGR06" localSheetId="31">#REF!</definedName>
    <definedName name="REDHHGR06" localSheetId="32">#REF!</definedName>
    <definedName name="REDHHGR06" localSheetId="56">#REF!</definedName>
    <definedName name="redhhgr07" localSheetId="31">#REF!</definedName>
    <definedName name="redhhgr07" localSheetId="32">#REF!</definedName>
    <definedName name="redhhgr07" localSheetId="56">#REF!</definedName>
    <definedName name="redrev06" localSheetId="31">#REF!</definedName>
    <definedName name="redrev06" localSheetId="32">#REF!</definedName>
    <definedName name="redrev06" localSheetId="56">#REF!</definedName>
    <definedName name="redrev07" localSheetId="31">#REF!</definedName>
    <definedName name="redrev07" localSheetId="32">#REF!</definedName>
    <definedName name="redrev07" localSheetId="56">#REF!</definedName>
    <definedName name="Reds" localSheetId="31">#REF!</definedName>
    <definedName name="Reds" localSheetId="32">#REF!</definedName>
    <definedName name="Reds" localSheetId="56">#REF!</definedName>
    <definedName name="Request0506" localSheetId="31">#REF!</definedName>
    <definedName name="Request0506" localSheetId="32">#REF!</definedName>
    <definedName name="Request0506" localSheetId="56">#REF!</definedName>
    <definedName name="result">'Template names'!$B$35</definedName>
    <definedName name="rmcRED06" localSheetId="31">#REF!</definedName>
    <definedName name="rmcRED06" localSheetId="32">#REF!</definedName>
    <definedName name="rmcRED06" localSheetId="56">#REF!</definedName>
    <definedName name="rmcred07" localSheetId="31">#REF!</definedName>
    <definedName name="rmcred07" localSheetId="32">#REF!</definedName>
    <definedName name="rmcred07" localSheetId="56">#REF!</definedName>
    <definedName name="roundfactor" localSheetId="31">#REF!</definedName>
    <definedName name="roundfactor" localSheetId="32">#REF!</definedName>
    <definedName name="roundfactor" localSheetId="56">#REF!</definedName>
    <definedName name="S71A" localSheetId="31">'Template names'!#REF!</definedName>
    <definedName name="S71A" localSheetId="32">'Template names'!#REF!</definedName>
    <definedName name="S71A" localSheetId="56">'Template names'!#REF!</definedName>
    <definedName name="S71B" localSheetId="31">'Template names'!#REF!</definedName>
    <definedName name="S71B" localSheetId="32">'Template names'!#REF!</definedName>
    <definedName name="S71B" localSheetId="56">'Template names'!#REF!</definedName>
    <definedName name="s71B8" localSheetId="31">'Template names'!#REF!</definedName>
    <definedName name="s71B8" localSheetId="32">'Template names'!#REF!</definedName>
    <definedName name="s71B8" localSheetId="56">'Template names'!#REF!</definedName>
    <definedName name="s71B9" localSheetId="31">'Template names'!#REF!</definedName>
    <definedName name="s71B9" localSheetId="32">'Template names'!#REF!</definedName>
    <definedName name="s71B9" localSheetId="56">'Template names'!#REF!</definedName>
    <definedName name="S71C" localSheetId="31">'Template names'!#REF!</definedName>
    <definedName name="S71C" localSheetId="32">'Template names'!#REF!</definedName>
    <definedName name="S71C" localSheetId="56">'Template names'!#REF!</definedName>
    <definedName name="S71D" localSheetId="31">'Template names'!#REF!</definedName>
    <definedName name="S71D" localSheetId="32">'Template names'!#REF!</definedName>
    <definedName name="S71D" localSheetId="56">'Template names'!#REF!</definedName>
    <definedName name="S71E" localSheetId="31">'Template names'!#REF!</definedName>
    <definedName name="S71E" localSheetId="32">'Template names'!#REF!</definedName>
    <definedName name="S71E" localSheetId="56">'Template names'!#REF!</definedName>
    <definedName name="S71F" localSheetId="31">'Template names'!#REF!</definedName>
    <definedName name="S71F" localSheetId="32">'Template names'!#REF!</definedName>
    <definedName name="S71F" localSheetId="56">'Template names'!#REF!</definedName>
    <definedName name="S71G" localSheetId="31">'Template names'!#REF!</definedName>
    <definedName name="S71G" localSheetId="32">'Template names'!#REF!</definedName>
    <definedName name="S71G" localSheetId="56">'Template names'!#REF!</definedName>
    <definedName name="S71H" localSheetId="31">'Template names'!#REF!</definedName>
    <definedName name="S71H" localSheetId="32">'Template names'!#REF!</definedName>
    <definedName name="S71H" localSheetId="56">'Template names'!#REF!</definedName>
    <definedName name="S71I" localSheetId="31">'Template names'!#REF!</definedName>
    <definedName name="S71I" localSheetId="32">'Template names'!#REF!</definedName>
    <definedName name="S71I" localSheetId="56">'Template names'!#REF!</definedName>
    <definedName name="S71J" localSheetId="31">'Template names'!#REF!</definedName>
    <definedName name="S71J" localSheetId="32">'Template names'!#REF!</definedName>
    <definedName name="S71J" localSheetId="56">'Template names'!#REF!</definedName>
    <definedName name="S71K" localSheetId="31">'Template names'!#REF!</definedName>
    <definedName name="S71K" localSheetId="32">'Template names'!#REF!</definedName>
    <definedName name="S71K" localSheetId="56">'Template names'!#REF!</definedName>
    <definedName name="S71L" localSheetId="31">'Template names'!#REF!</definedName>
    <definedName name="S71L" localSheetId="32">'Template names'!#REF!</definedName>
    <definedName name="S71L" localSheetId="56">'Template names'!#REF!</definedName>
    <definedName name="S71M" localSheetId="31">'Template names'!#REF!</definedName>
    <definedName name="S71M" localSheetId="32">'Template names'!#REF!</definedName>
    <definedName name="S71M" localSheetId="56">'Template names'!#REF!</definedName>
    <definedName name="S71N" localSheetId="31">'Template names'!#REF!</definedName>
    <definedName name="S71N" localSheetId="32">'Template names'!#REF!</definedName>
    <definedName name="S71N" localSheetId="56">'Template names'!#REF!</definedName>
    <definedName name="S71O" localSheetId="31">'Template names'!#REF!</definedName>
    <definedName name="S71O" localSheetId="32">'Template names'!#REF!</definedName>
    <definedName name="S71O" localSheetId="56">'Template names'!#REF!</definedName>
    <definedName name="S71P" localSheetId="31">'Template names'!#REF!</definedName>
    <definedName name="S71P" localSheetId="32">'Template names'!#REF!</definedName>
    <definedName name="S71P" localSheetId="56">'Template names'!#REF!</definedName>
    <definedName name="S71Q" localSheetId="31">'Template names'!#REF!</definedName>
    <definedName name="S71Q" localSheetId="32">'Template names'!#REF!</definedName>
    <definedName name="S71Q" localSheetId="56">'Template names'!#REF!</definedName>
    <definedName name="S71SDBIP" localSheetId="31">'Template names'!#REF!</definedName>
    <definedName name="S71SDBIP" localSheetId="32">'Template names'!#REF!</definedName>
    <definedName name="S71SDBIP" localSheetId="56">'Template names'!#REF!</definedName>
    <definedName name="s71sum" localSheetId="31">'Template names'!#REF!</definedName>
    <definedName name="s71sum" localSheetId="32">'Template names'!#REF!</definedName>
    <definedName name="s71sum" localSheetId="56">'Template names'!#REF!</definedName>
    <definedName name="Scale">'Compliance assessment'!$L$77</definedName>
    <definedName name="scenario" localSheetId="31">#REF!</definedName>
    <definedName name="scenario" localSheetId="32">#REF!</definedName>
    <definedName name="scenario" localSheetId="56">#REF!</definedName>
    <definedName name="SDBIP1" localSheetId="31">'Template names'!#REF!</definedName>
    <definedName name="SDBIP1" localSheetId="32">'Template names'!#REF!</definedName>
    <definedName name="SDBIP1" localSheetId="56">'Template names'!#REF!</definedName>
    <definedName name="SDBIP10" localSheetId="31">'Template names'!#REF!</definedName>
    <definedName name="SDBIP10" localSheetId="32">'Template names'!#REF!</definedName>
    <definedName name="SDBIP10" localSheetId="56">'Template names'!#REF!</definedName>
    <definedName name="SDBIP2" localSheetId="31">'Template names'!#REF!</definedName>
    <definedName name="SDBIP2" localSheetId="32">'Template names'!#REF!</definedName>
    <definedName name="SDBIP2" localSheetId="56">'Template names'!#REF!</definedName>
    <definedName name="SDBIP3" localSheetId="31">'Template names'!#REF!</definedName>
    <definedName name="SDBIP3" localSheetId="32">'Template names'!#REF!</definedName>
    <definedName name="SDBIP3" localSheetId="56">'Template names'!#REF!</definedName>
    <definedName name="SDBIP4" localSheetId="31">'Template names'!#REF!</definedName>
    <definedName name="SDBIP4" localSheetId="32">'Template names'!#REF!</definedName>
    <definedName name="SDBIP4" localSheetId="56">'Template names'!#REF!</definedName>
    <definedName name="SDBIP8" localSheetId="31">'Template names'!#REF!</definedName>
    <definedName name="SDBIP8" localSheetId="32">'Template names'!#REF!</definedName>
    <definedName name="SDBIP8" localSheetId="56">'Template names'!#REF!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56">'Template names'!#REF!</definedName>
    <definedName name="TabC4" localSheetId="31">'Template names'!#REF!</definedName>
    <definedName name="TabC4" localSheetId="32">'Template names'!#REF!</definedName>
    <definedName name="TabC4" localSheetId="56">'Template names'!#REF!</definedName>
    <definedName name="TabC5" localSheetId="31">'Template names'!#REF!</definedName>
    <definedName name="TabC5" localSheetId="32">'Template names'!#REF!</definedName>
    <definedName name="TabC5" localSheetId="56">'Template names'!#REF!</definedName>
    <definedName name="TabC6" localSheetId="31">'Template names'!#REF!</definedName>
    <definedName name="TabC6" localSheetId="32">'Template names'!#REF!</definedName>
    <definedName name="TabC6" localSheetId="56">'Template names'!#REF!</definedName>
    <definedName name="Tabc7" localSheetId="31">'Template names'!#REF!</definedName>
    <definedName name="Tabc7" localSheetId="32">'Template names'!#REF!</definedName>
    <definedName name="Tabc7" localSheetId="56">'Template names'!#REF!</definedName>
    <definedName name="Tabc8" localSheetId="31">'Template names'!#REF!</definedName>
    <definedName name="Tabc8" localSheetId="32">'Template names'!#REF!</definedName>
    <definedName name="Tabc8" localSheetId="56">'Template names'!#REF!</definedName>
    <definedName name="Tabc9" localSheetId="31">'Template names'!#REF!</definedName>
    <definedName name="Tabc9" localSheetId="32">'Template names'!#REF!</definedName>
    <definedName name="Tabc9" localSheetId="56">'Template names'!#REF!</definedName>
    <definedName name="Tablc8" localSheetId="31">'Template names'!#REF!</definedName>
    <definedName name="Tablc8" localSheetId="32">'Template names'!#REF!</definedName>
    <definedName name="Tablc8" localSheetId="56">'Template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'Template names'!$B$124</definedName>
    <definedName name="TableA14">'Template names'!$B$125</definedName>
    <definedName name="TableA15">'Template names'!$B$126</definedName>
    <definedName name="TableA16">'Template names'!$B$127</definedName>
    <definedName name="TableA17">'Template names'!$B$128</definedName>
    <definedName name="TableA18">'Template names'!$B$129</definedName>
    <definedName name="TableA19">'Template names'!$B$130</definedName>
    <definedName name="TableA2">'Template names'!$B$112</definedName>
    <definedName name="TableA20">'Template names'!$B$131</definedName>
    <definedName name="TableA21">'Template names'!$B$132</definedName>
    <definedName name="TableA22">'Template names'!$B$133</definedName>
    <definedName name="TableA23">'Template names'!$B$134</definedName>
    <definedName name="TableA24">'Template names'!$B$135</definedName>
    <definedName name="TableA25">'Template names'!$B$136</definedName>
    <definedName name="TableA26">'Template names'!$B$137</definedName>
    <definedName name="TableA27">'Template names'!$B$138</definedName>
    <definedName name="TableA28">'Template names'!$B$139</definedName>
    <definedName name="TableA29">'Template names'!$B$140</definedName>
    <definedName name="TableA3">'Template names'!$B$113</definedName>
    <definedName name="TableA30">'Template names'!$B$141</definedName>
    <definedName name="TableA31">'Template names'!$B$142</definedName>
    <definedName name="TableA32">'Template names'!$B$143</definedName>
    <definedName name="TableA33">'Template names'!$B$144</definedName>
    <definedName name="TableA34a">'Template names'!$B$145</definedName>
    <definedName name="TableA34b">'Template names'!$B$146</definedName>
    <definedName name="TableA34c">'Template names'!$B$147</definedName>
    <definedName name="TableA34d">'Template names'!$B$148</definedName>
    <definedName name="TableA35">'Template names'!$B$149</definedName>
    <definedName name="TableA36">'Template names'!$B$150</definedName>
    <definedName name="TableA37">'Template names'!$B$151</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56">'Template names'!#REF!</definedName>
    <definedName name="TableD8" localSheetId="31">'Template names'!#REF!</definedName>
    <definedName name="TableD8" localSheetId="32">'Template names'!#REF!</definedName>
    <definedName name="TableD8" localSheetId="56">'Template names'!#REF!</definedName>
    <definedName name="TableE4" localSheetId="31">'Template names'!#REF!</definedName>
    <definedName name="TableE4" localSheetId="32">'Template names'!#REF!</definedName>
    <definedName name="TableE4" localSheetId="56">'Template names'!#REF!</definedName>
    <definedName name="TableE7" localSheetId="31">'Template names'!#REF!</definedName>
    <definedName name="TableE7" localSheetId="32">'Template names'!#REF!</definedName>
    <definedName name="TableE7" localSheetId="56">'Template names'!#REF!</definedName>
    <definedName name="TableE9" localSheetId="31">'Template names'!#REF!</definedName>
    <definedName name="TableE9" localSheetId="32">'Template names'!#REF!</definedName>
    <definedName name="TableE9" localSheetId="56">'Template names'!#REF!</definedName>
    <definedName name="TableF6" localSheetId="31">'Template names'!#REF!</definedName>
    <definedName name="TableF6" localSheetId="32">'Template names'!#REF!</definedName>
    <definedName name="TableF6" localSheetId="56">'Template names'!#REF!</definedName>
    <definedName name="tariffdisc05" localSheetId="31">#REF!</definedName>
    <definedName name="tariffdisc05" localSheetId="32">#REF!</definedName>
    <definedName name="tariffdisc05" localSheetId="5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[4]Data!$B$3</definedName>
  </definedNames>
  <calcPr calcId="140001" concurrentCalc="0"/>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J4" i="314" l="1"/>
  <c r="I4" i="314"/>
  <c r="H4" i="314"/>
  <c r="C106" i="255"/>
  <c r="E49" i="255"/>
  <c r="D49" i="255"/>
  <c r="C49" i="255"/>
  <c r="C22" i="255"/>
  <c r="K123" i="351"/>
  <c r="J123" i="351"/>
  <c r="I123" i="351"/>
  <c r="K9" i="351"/>
  <c r="J9" i="351"/>
  <c r="I9" i="351"/>
  <c r="K272" i="342"/>
  <c r="J272" i="342"/>
  <c r="I272" i="342"/>
  <c r="J63" i="358"/>
  <c r="K22" i="358"/>
  <c r="J22" i="358"/>
  <c r="I22" i="358"/>
  <c r="K19" i="358"/>
  <c r="J19" i="358"/>
  <c r="I19" i="358"/>
  <c r="H19" i="358"/>
  <c r="G19" i="358"/>
  <c r="F19" i="358"/>
  <c r="K17" i="358"/>
  <c r="J17" i="358"/>
  <c r="I17" i="358"/>
  <c r="H17" i="358"/>
  <c r="G17" i="358"/>
  <c r="F17" i="358"/>
  <c r="K8" i="358"/>
  <c r="J8" i="358"/>
  <c r="I8" i="358"/>
  <c r="H31" i="316"/>
  <c r="G31" i="316"/>
  <c r="J17" i="146"/>
  <c r="K17" i="146"/>
  <c r="K33" i="146"/>
  <c r="J33" i="146"/>
  <c r="I33" i="146"/>
  <c r="K38" i="146"/>
  <c r="J38" i="146"/>
  <c r="I38" i="146"/>
  <c r="K63" i="349"/>
  <c r="J63" i="349"/>
  <c r="I63" i="349"/>
  <c r="I76" i="348"/>
  <c r="L75" i="348"/>
  <c r="J75" i="348"/>
  <c r="E75" i="348"/>
  <c r="L74" i="348"/>
  <c r="J74" i="348"/>
  <c r="E74" i="348"/>
  <c r="L73" i="348"/>
  <c r="J73" i="348"/>
  <c r="E73" i="348"/>
  <c r="L72" i="348"/>
  <c r="J72" i="348"/>
  <c r="E72" i="348"/>
  <c r="L71" i="348"/>
  <c r="J71" i="348"/>
  <c r="E71" i="348"/>
  <c r="L70" i="348"/>
  <c r="J70" i="348"/>
  <c r="E70" i="348"/>
  <c r="L69" i="348"/>
  <c r="J69" i="348"/>
  <c r="E69" i="348"/>
  <c r="L68" i="348"/>
  <c r="J68" i="348"/>
  <c r="E68" i="348"/>
  <c r="L67" i="348"/>
  <c r="J67" i="348"/>
  <c r="E67" i="348"/>
  <c r="L66" i="348"/>
  <c r="J66" i="348"/>
  <c r="E66" i="348"/>
  <c r="L65" i="348"/>
  <c r="J65" i="348"/>
  <c r="E65" i="348"/>
  <c r="L64" i="348"/>
  <c r="J64" i="348"/>
  <c r="E64" i="348"/>
  <c r="L63" i="348"/>
  <c r="J63" i="348"/>
  <c r="E63" i="348"/>
  <c r="L62" i="348"/>
  <c r="J62" i="348"/>
  <c r="E62" i="348"/>
  <c r="L61" i="348"/>
  <c r="J61" i="348"/>
  <c r="E61" i="348"/>
  <c r="L60" i="348"/>
  <c r="J60" i="348"/>
  <c r="E60" i="348"/>
  <c r="L59" i="348"/>
  <c r="J59" i="348"/>
  <c r="E59" i="348"/>
  <c r="L58" i="348"/>
  <c r="J58" i="348"/>
  <c r="E58" i="348"/>
  <c r="L57" i="348"/>
  <c r="J57" i="348"/>
  <c r="E57" i="348"/>
  <c r="L56" i="348"/>
  <c r="J56" i="348"/>
  <c r="E56" i="348"/>
  <c r="I54" i="348"/>
  <c r="L53" i="348"/>
  <c r="J53" i="348"/>
  <c r="E53" i="348"/>
  <c r="L52" i="348"/>
  <c r="J52" i="348"/>
  <c r="E52" i="348"/>
  <c r="L51" i="348"/>
  <c r="J51" i="348"/>
  <c r="E51" i="348"/>
  <c r="L50" i="348"/>
  <c r="J50" i="348"/>
  <c r="E50" i="348"/>
  <c r="L49" i="348"/>
  <c r="J49" i="348"/>
  <c r="E49" i="348"/>
  <c r="L48" i="348"/>
  <c r="J48" i="348"/>
  <c r="E48" i="348"/>
  <c r="L47" i="348"/>
  <c r="J47" i="348"/>
  <c r="E47" i="348"/>
  <c r="L46" i="348"/>
  <c r="J46" i="348"/>
  <c r="E46" i="348"/>
  <c r="L45" i="348"/>
  <c r="J45" i="348"/>
  <c r="E45" i="348"/>
  <c r="L44" i="348"/>
  <c r="J44" i="348"/>
  <c r="E44" i="348"/>
  <c r="L43" i="348"/>
  <c r="J43" i="348"/>
  <c r="E43" i="348"/>
  <c r="L42" i="348"/>
  <c r="J42" i="348"/>
  <c r="E42" i="348"/>
  <c r="L41" i="348"/>
  <c r="J41" i="348"/>
  <c r="E41" i="348"/>
  <c r="L40" i="348"/>
  <c r="J40" i="348"/>
  <c r="E40" i="348"/>
  <c r="L39" i="348"/>
  <c r="J39" i="348"/>
  <c r="E39" i="348"/>
  <c r="L38" i="348"/>
  <c r="J38" i="348"/>
  <c r="E38" i="348"/>
  <c r="L37" i="348"/>
  <c r="J37" i="348"/>
  <c r="E37" i="348"/>
  <c r="L35" i="348"/>
  <c r="J35" i="348"/>
  <c r="E35" i="348"/>
  <c r="L34" i="348"/>
  <c r="J34" i="348"/>
  <c r="E34" i="348"/>
  <c r="L33" i="348"/>
  <c r="J33" i="348"/>
  <c r="E33" i="348"/>
  <c r="L32" i="348"/>
  <c r="J32" i="348"/>
  <c r="E32" i="348"/>
  <c r="L31" i="348"/>
  <c r="J31" i="348"/>
  <c r="E31" i="348"/>
  <c r="L30" i="348"/>
  <c r="J30" i="348"/>
  <c r="E30" i="348"/>
  <c r="L29" i="348"/>
  <c r="J29" i="348"/>
  <c r="E29" i="348"/>
  <c r="L28" i="348"/>
  <c r="J28" i="348"/>
  <c r="E28" i="348"/>
  <c r="L27" i="348"/>
  <c r="J27" i="348"/>
  <c r="E27" i="348"/>
  <c r="L26" i="348"/>
  <c r="J26" i="348"/>
  <c r="E26" i="348"/>
  <c r="L25" i="348"/>
  <c r="J25" i="348"/>
  <c r="E25" i="348"/>
  <c r="L24" i="348"/>
  <c r="J24" i="348"/>
  <c r="E24" i="348"/>
  <c r="L23" i="348"/>
  <c r="J23" i="348"/>
  <c r="E23" i="348"/>
  <c r="L22" i="348"/>
  <c r="J22" i="348"/>
  <c r="E22" i="348"/>
  <c r="L21" i="348"/>
  <c r="J21" i="348"/>
  <c r="E21" i="348"/>
  <c r="I20" i="348"/>
  <c r="L19" i="348"/>
  <c r="J19" i="348"/>
  <c r="E19" i="348"/>
  <c r="L18" i="348"/>
  <c r="J18" i="348"/>
  <c r="E18" i="348"/>
  <c r="L17" i="348"/>
  <c r="J17" i="348"/>
  <c r="E17" i="348"/>
  <c r="L16" i="348"/>
  <c r="J16" i="348"/>
  <c r="E16" i="348"/>
  <c r="L15" i="348"/>
  <c r="J15" i="348"/>
  <c r="E15" i="348"/>
  <c r="L14" i="348"/>
  <c r="J14" i="348"/>
  <c r="E14" i="348"/>
  <c r="L13" i="348"/>
  <c r="J13" i="348"/>
  <c r="E13" i="348"/>
  <c r="L12" i="348"/>
  <c r="J12" i="348"/>
  <c r="E12" i="348"/>
  <c r="L11" i="348"/>
  <c r="J11" i="348"/>
  <c r="E11" i="348"/>
  <c r="L10" i="348"/>
  <c r="J10" i="348"/>
  <c r="E10" i="348"/>
  <c r="F37" i="339"/>
  <c r="F36" i="339"/>
  <c r="F35" i="339"/>
  <c r="F34" i="339"/>
  <c r="G33" i="339"/>
  <c r="F33" i="339"/>
  <c r="G32" i="339"/>
  <c r="F32" i="339"/>
  <c r="D32" i="339"/>
  <c r="G31" i="339"/>
  <c r="F31" i="339"/>
  <c r="E31" i="339"/>
  <c r="G30" i="339"/>
  <c r="F30" i="339"/>
  <c r="E30" i="339"/>
  <c r="G29" i="339"/>
  <c r="F29" i="339"/>
  <c r="E29" i="339"/>
  <c r="G28" i="339"/>
  <c r="F28" i="339"/>
  <c r="E28" i="339"/>
  <c r="B28" i="339"/>
  <c r="G27" i="339"/>
  <c r="F27" i="339"/>
  <c r="E27" i="339"/>
  <c r="D27" i="339"/>
  <c r="B27" i="339"/>
  <c r="G26" i="339"/>
  <c r="F26" i="339"/>
  <c r="D26" i="339"/>
  <c r="B26" i="339"/>
  <c r="G25" i="339"/>
  <c r="F25" i="339"/>
  <c r="E25" i="339"/>
  <c r="B25" i="339"/>
  <c r="G24" i="339"/>
  <c r="F24" i="339"/>
  <c r="E24" i="339"/>
  <c r="B24" i="339"/>
  <c r="G23" i="339"/>
  <c r="F23" i="339"/>
  <c r="E23" i="339"/>
  <c r="B23" i="339"/>
  <c r="G22" i="339"/>
  <c r="F22" i="339"/>
  <c r="E22" i="339"/>
  <c r="D22" i="339"/>
  <c r="C22" i="339"/>
  <c r="F21" i="339"/>
  <c r="D21" i="339"/>
  <c r="C21" i="339"/>
  <c r="G20" i="339"/>
  <c r="F20" i="339"/>
  <c r="E20" i="339"/>
  <c r="C20" i="339"/>
  <c r="B20" i="339"/>
  <c r="G19" i="339"/>
  <c r="F19" i="339"/>
  <c r="E19" i="339"/>
  <c r="D19" i="339"/>
  <c r="B19" i="339"/>
  <c r="F18" i="339"/>
  <c r="D18" i="339"/>
  <c r="B18" i="339"/>
  <c r="A18" i="339"/>
  <c r="G17" i="339"/>
  <c r="F17" i="339"/>
  <c r="E17" i="339"/>
  <c r="B17" i="339"/>
  <c r="A17" i="339"/>
  <c r="G16" i="339"/>
  <c r="F16" i="339"/>
  <c r="E16" i="339"/>
  <c r="D16" i="339"/>
  <c r="B16" i="339"/>
  <c r="A16" i="339"/>
  <c r="G15" i="339"/>
  <c r="F15" i="339"/>
  <c r="D15" i="339"/>
  <c r="B15" i="339"/>
  <c r="A15" i="339"/>
  <c r="G14" i="339"/>
  <c r="F14" i="339"/>
  <c r="D14" i="339"/>
  <c r="B14" i="339"/>
  <c r="A14" i="339"/>
  <c r="G13" i="339"/>
  <c r="F13" i="339"/>
  <c r="D13" i="339"/>
  <c r="B13" i="339"/>
  <c r="A13" i="339"/>
  <c r="G12" i="339"/>
  <c r="F12" i="339"/>
  <c r="E12" i="339"/>
  <c r="B12" i="339"/>
  <c r="A12" i="339"/>
  <c r="G11" i="339"/>
  <c r="F11" i="339"/>
  <c r="E11" i="339"/>
  <c r="B11" i="339"/>
  <c r="A11" i="339"/>
  <c r="G10" i="339"/>
  <c r="F10" i="339"/>
  <c r="E10" i="339"/>
  <c r="C10" i="339"/>
  <c r="A10" i="339"/>
  <c r="G9" i="339"/>
  <c r="F9" i="339"/>
  <c r="E9" i="339"/>
  <c r="C9" i="339"/>
  <c r="B9" i="339"/>
  <c r="A9" i="339"/>
  <c r="G8" i="339"/>
  <c r="F8" i="339"/>
  <c r="E8" i="339"/>
  <c r="B8" i="339"/>
  <c r="A8" i="339"/>
  <c r="J54" i="348"/>
  <c r="J20" i="348"/>
  <c r="J76" i="348"/>
  <c r="G7" i="339"/>
  <c r="F7" i="339"/>
  <c r="E7" i="339"/>
  <c r="B7" i="339"/>
  <c r="A7" i="339"/>
  <c r="G6" i="339"/>
  <c r="F6" i="339"/>
  <c r="E6" i="339"/>
  <c r="B6" i="339"/>
  <c r="A6" i="339"/>
  <c r="G5" i="339"/>
  <c r="F5" i="339"/>
  <c r="E5" i="339"/>
  <c r="B5" i="339"/>
  <c r="A5" i="339"/>
  <c r="H4" i="339"/>
  <c r="G4" i="339"/>
  <c r="F4" i="339"/>
  <c r="E4" i="339"/>
  <c r="D4" i="339"/>
  <c r="B4" i="339"/>
  <c r="A4" i="339"/>
  <c r="E3" i="339"/>
  <c r="D3" i="339"/>
  <c r="D2" i="339"/>
  <c r="B2" i="339"/>
  <c r="J77" i="348"/>
  <c r="I77" i="348"/>
  <c r="L76" i="348"/>
  <c r="M73" i="338"/>
  <c r="L73" i="338"/>
  <c r="K73" i="338"/>
  <c r="J73" i="338"/>
  <c r="I73" i="338"/>
  <c r="H73" i="338"/>
  <c r="G73" i="338"/>
  <c r="E9" i="129"/>
  <c r="F73" i="338"/>
  <c r="D9" i="129"/>
  <c r="E73" i="338"/>
  <c r="D73" i="338"/>
  <c r="C73" i="338"/>
  <c r="A73" i="338"/>
  <c r="E74" i="338"/>
  <c r="D74" i="338"/>
  <c r="L74" i="338"/>
  <c r="K74" i="338"/>
  <c r="J74" i="338"/>
  <c r="I74" i="338"/>
  <c r="H74" i="338"/>
  <c r="F74" i="338"/>
  <c r="G74" i="338"/>
  <c r="K70" i="338"/>
  <c r="J70" i="338"/>
  <c r="I70" i="338"/>
  <c r="G70" i="338"/>
  <c r="E70" i="338"/>
  <c r="D70" i="338"/>
  <c r="K6" i="131"/>
  <c r="K9" i="131"/>
  <c r="K12" i="131"/>
  <c r="K13" i="131"/>
  <c r="K15" i="131"/>
  <c r="K25" i="131"/>
  <c r="K33" i="131"/>
  <c r="K34" i="131"/>
  <c r="K36" i="131"/>
  <c r="L67" i="338"/>
  <c r="J6" i="131"/>
  <c r="J9" i="131"/>
  <c r="J12" i="131"/>
  <c r="J13" i="131"/>
  <c r="J15" i="131"/>
  <c r="J25" i="131"/>
  <c r="J33" i="131"/>
  <c r="J34" i="131"/>
  <c r="J36" i="131"/>
  <c r="K67" i="338"/>
  <c r="I15" i="131"/>
  <c r="I25" i="131"/>
  <c r="I34" i="131"/>
  <c r="I36" i="131"/>
  <c r="J67" i="338"/>
  <c r="H15" i="131"/>
  <c r="H25" i="131"/>
  <c r="H34" i="131"/>
  <c r="H36" i="131"/>
  <c r="I67" i="338"/>
  <c r="G15" i="131"/>
  <c r="G25" i="131"/>
  <c r="G34" i="131"/>
  <c r="G36" i="131"/>
  <c r="H67" i="338"/>
  <c r="F15" i="131"/>
  <c r="F25" i="131"/>
  <c r="F34" i="131"/>
  <c r="F36" i="131"/>
  <c r="G67" i="338"/>
  <c r="E15" i="131"/>
  <c r="E25" i="131"/>
  <c r="E34" i="131"/>
  <c r="E36" i="131"/>
  <c r="F67" i="338"/>
  <c r="D15" i="131"/>
  <c r="D25" i="131"/>
  <c r="D34" i="131"/>
  <c r="D36" i="131"/>
  <c r="E67" i="338"/>
  <c r="C15" i="131"/>
  <c r="C25" i="131"/>
  <c r="C34" i="131"/>
  <c r="C36" i="131"/>
  <c r="D67" i="338"/>
  <c r="F70" i="338"/>
  <c r="H70" i="338"/>
  <c r="A66" i="338"/>
  <c r="L33" i="131"/>
  <c r="M65" i="338"/>
  <c r="L65" i="338"/>
  <c r="K65" i="338"/>
  <c r="J65" i="338"/>
  <c r="I65" i="338"/>
  <c r="H65" i="338"/>
  <c r="G65" i="338"/>
  <c r="F65" i="338"/>
  <c r="E65" i="338"/>
  <c r="D65" i="338"/>
  <c r="A65" i="338"/>
  <c r="M64" i="338"/>
  <c r="L64" i="338"/>
  <c r="K64" i="338"/>
  <c r="J64" i="338"/>
  <c r="I64" i="338"/>
  <c r="H64" i="338"/>
  <c r="G64" i="338"/>
  <c r="F64" i="338"/>
  <c r="E64" i="338"/>
  <c r="D64" i="338"/>
  <c r="M63" i="338"/>
  <c r="L63" i="338"/>
  <c r="K63" i="338"/>
  <c r="J63" i="338"/>
  <c r="I63" i="338"/>
  <c r="H63" i="338"/>
  <c r="G63" i="338"/>
  <c r="F63" i="338"/>
  <c r="E63" i="338"/>
  <c r="D63" i="338"/>
  <c r="M62" i="338"/>
  <c r="L62" i="338"/>
  <c r="K62" i="338"/>
  <c r="J62" i="338"/>
  <c r="I62" i="338"/>
  <c r="H62" i="338"/>
  <c r="G62" i="338"/>
  <c r="F62" i="338"/>
  <c r="E62" i="338"/>
  <c r="D62" i="338"/>
  <c r="M61" i="338"/>
  <c r="L61" i="338"/>
  <c r="K61" i="338"/>
  <c r="J61" i="338"/>
  <c r="I61" i="338"/>
  <c r="H61" i="338"/>
  <c r="G61" i="338"/>
  <c r="F61" i="338"/>
  <c r="E61" i="338"/>
  <c r="D61" i="338"/>
  <c r="A61" i="338"/>
  <c r="M57" i="338"/>
  <c r="L57" i="338"/>
  <c r="K57" i="338"/>
  <c r="J57" i="338"/>
  <c r="I57" i="338"/>
  <c r="H57" i="338"/>
  <c r="G57" i="338"/>
  <c r="F57" i="338"/>
  <c r="D61" i="134"/>
  <c r="E57" i="338"/>
  <c r="D57" i="338"/>
  <c r="M55" i="338"/>
  <c r="L55" i="338"/>
  <c r="K55" i="338"/>
  <c r="J55" i="338"/>
  <c r="I55" i="338"/>
  <c r="H55" i="338"/>
  <c r="G55" i="338"/>
  <c r="E55" i="134"/>
  <c r="E56" i="134"/>
  <c r="F55" i="338"/>
  <c r="D52" i="134"/>
  <c r="E55" i="338"/>
  <c r="C52" i="134"/>
  <c r="D55" i="338"/>
  <c r="I78" i="253"/>
  <c r="K52" i="338"/>
  <c r="J52" i="338"/>
  <c r="H78" i="253"/>
  <c r="I52" i="338"/>
  <c r="G78" i="253"/>
  <c r="H52" i="338"/>
  <c r="F78" i="253"/>
  <c r="G52" i="338"/>
  <c r="E78" i="253"/>
  <c r="F52" i="338"/>
  <c r="D78" i="253"/>
  <c r="E52" i="338"/>
  <c r="C78" i="253"/>
  <c r="D52" i="338"/>
  <c r="A51" i="338"/>
  <c r="M50" i="338"/>
  <c r="L50" i="338"/>
  <c r="K50" i="338"/>
  <c r="J50" i="338"/>
  <c r="I50" i="338"/>
  <c r="H50" i="338"/>
  <c r="G50" i="338"/>
  <c r="F50" i="338"/>
  <c r="E50" i="338"/>
  <c r="D50" i="338"/>
  <c r="A47" i="338"/>
  <c r="L13" i="131"/>
  <c r="M44" i="338"/>
  <c r="L44" i="338"/>
  <c r="K44" i="338"/>
  <c r="J44" i="338"/>
  <c r="I44" i="338"/>
  <c r="H44" i="338"/>
  <c r="G44" i="338"/>
  <c r="F44" i="338"/>
  <c r="E44" i="338"/>
  <c r="D44" i="338"/>
  <c r="J49" i="338"/>
  <c r="I49" i="338"/>
  <c r="H49" i="338"/>
  <c r="G49" i="338"/>
  <c r="F49" i="338"/>
  <c r="E49" i="338"/>
  <c r="D49" i="338"/>
  <c r="M43" i="338"/>
  <c r="L43" i="338"/>
  <c r="K43" i="338"/>
  <c r="J43" i="338"/>
  <c r="I43" i="338"/>
  <c r="H43" i="338"/>
  <c r="G43" i="338"/>
  <c r="F43" i="338"/>
  <c r="E43" i="338"/>
  <c r="D43" i="338"/>
  <c r="A42" i="338"/>
  <c r="M41" i="338"/>
  <c r="L41" i="338"/>
  <c r="K41" i="338"/>
  <c r="J41" i="338"/>
  <c r="I41" i="338"/>
  <c r="H41" i="338"/>
  <c r="G41" i="338"/>
  <c r="F41" i="338"/>
  <c r="E41" i="338"/>
  <c r="D41" i="338"/>
  <c r="A40" i="338"/>
  <c r="A38" i="338"/>
  <c r="M36" i="338"/>
  <c r="L36" i="338"/>
  <c r="K36" i="338"/>
  <c r="J36" i="338"/>
  <c r="I36" i="338"/>
  <c r="H36" i="338"/>
  <c r="G36" i="338"/>
  <c r="F36" i="338"/>
  <c r="E36" i="338"/>
  <c r="D36" i="338"/>
  <c r="L61" i="255"/>
  <c r="L63" i="255"/>
  <c r="M35" i="338"/>
  <c r="K61" i="255"/>
  <c r="K63" i="255"/>
  <c r="L35" i="338"/>
  <c r="J61" i="255"/>
  <c r="J63" i="255"/>
  <c r="K35" i="338"/>
  <c r="I61" i="255"/>
  <c r="I63" i="255"/>
  <c r="J35" i="338"/>
  <c r="H61" i="255"/>
  <c r="H63" i="255"/>
  <c r="I35" i="338"/>
  <c r="G61" i="255"/>
  <c r="G63" i="255"/>
  <c r="H35" i="338"/>
  <c r="F49" i="255"/>
  <c r="F61" i="255"/>
  <c r="F63" i="255"/>
  <c r="G35" i="338"/>
  <c r="L34" i="338"/>
  <c r="K34" i="338"/>
  <c r="J34" i="338"/>
  <c r="I34" i="338"/>
  <c r="M29" i="338"/>
  <c r="L29" i="338"/>
  <c r="L27" i="338"/>
  <c r="K29" i="338"/>
  <c r="J29" i="338"/>
  <c r="I29" i="338"/>
  <c r="H29" i="338"/>
  <c r="G29" i="338"/>
  <c r="F29" i="338"/>
  <c r="E29" i="338"/>
  <c r="D29" i="338"/>
  <c r="L26" i="338"/>
  <c r="K26" i="338"/>
  <c r="J26" i="338"/>
  <c r="I26" i="338"/>
  <c r="H26" i="338"/>
  <c r="G26" i="338"/>
  <c r="F26" i="338"/>
  <c r="E26" i="338"/>
  <c r="D26" i="338"/>
  <c r="M25" i="338"/>
  <c r="L25" i="338"/>
  <c r="K25" i="338"/>
  <c r="J25" i="338"/>
  <c r="I25" i="338"/>
  <c r="H25" i="338"/>
  <c r="G25" i="338"/>
  <c r="F25" i="338"/>
  <c r="E25" i="338"/>
  <c r="D25" i="338"/>
  <c r="L9" i="131"/>
  <c r="M24" i="338"/>
  <c r="L24" i="338"/>
  <c r="K24" i="338"/>
  <c r="J24" i="338"/>
  <c r="I24" i="338"/>
  <c r="H24" i="338"/>
  <c r="G24" i="338"/>
  <c r="F24" i="338"/>
  <c r="E24" i="338"/>
  <c r="D24" i="338"/>
  <c r="M27" i="338"/>
  <c r="K27" i="338"/>
  <c r="J27" i="338"/>
  <c r="I27" i="338"/>
  <c r="H27" i="338"/>
  <c r="G27" i="338"/>
  <c r="F27" i="338"/>
  <c r="E27" i="338"/>
  <c r="D27" i="338"/>
  <c r="H34" i="338"/>
  <c r="K23" i="338"/>
  <c r="J23" i="338"/>
  <c r="I23" i="338"/>
  <c r="H23" i="338"/>
  <c r="G23" i="338"/>
  <c r="F23" i="338"/>
  <c r="E23" i="338"/>
  <c r="D23" i="338"/>
  <c r="M22" i="338"/>
  <c r="L22" i="338"/>
  <c r="K22" i="338"/>
  <c r="J22" i="338"/>
  <c r="I22" i="338"/>
  <c r="H22" i="338"/>
  <c r="G22" i="338"/>
  <c r="F22" i="338"/>
  <c r="E22" i="338"/>
  <c r="D22" i="338"/>
  <c r="M19" i="338"/>
  <c r="L19" i="338"/>
  <c r="K19" i="338"/>
  <c r="J19" i="338"/>
  <c r="I19" i="338"/>
  <c r="H19" i="338"/>
  <c r="G19" i="338"/>
  <c r="F19" i="338"/>
  <c r="E19" i="338"/>
  <c r="D19" i="338"/>
  <c r="M18" i="338"/>
  <c r="L18" i="338"/>
  <c r="K18" i="338"/>
  <c r="J18" i="338"/>
  <c r="I18" i="338"/>
  <c r="H18" i="338"/>
  <c r="G18" i="338"/>
  <c r="F18" i="338"/>
  <c r="E18" i="338"/>
  <c r="D18" i="338"/>
  <c r="G34" i="338"/>
  <c r="M17" i="338"/>
  <c r="L17" i="338"/>
  <c r="K17" i="338"/>
  <c r="J17" i="338"/>
  <c r="I17" i="338"/>
  <c r="H17" i="338"/>
  <c r="G17" i="338"/>
  <c r="F17" i="338"/>
  <c r="E17" i="338"/>
  <c r="D17" i="338"/>
  <c r="M12" i="338"/>
  <c r="L12" i="338"/>
  <c r="K12" i="338"/>
  <c r="J12" i="338"/>
  <c r="I12" i="338"/>
  <c r="H12" i="338"/>
  <c r="G12" i="338"/>
  <c r="F12" i="338"/>
  <c r="E12" i="338"/>
  <c r="D12" i="338"/>
  <c r="M10" i="338"/>
  <c r="L10" i="338"/>
  <c r="K10" i="338"/>
  <c r="J10" i="338"/>
  <c r="I10" i="338"/>
  <c r="H10" i="338"/>
  <c r="G10" i="338"/>
  <c r="F10" i="338"/>
  <c r="E10" i="338"/>
  <c r="D10" i="338"/>
  <c r="A9" i="338"/>
  <c r="I4" i="338"/>
  <c r="H4" i="338"/>
  <c r="G4" i="338"/>
  <c r="F4" i="338"/>
  <c r="E4" i="338"/>
  <c r="D4" i="338"/>
  <c r="B3" i="338"/>
  <c r="A3" i="338"/>
  <c r="A24" i="296"/>
  <c r="J3" i="296"/>
  <c r="I3" i="296"/>
  <c r="H2" i="296"/>
  <c r="A1664" i="256"/>
  <c r="O1663" i="256"/>
  <c r="N1663" i="256"/>
  <c r="M1663" i="256"/>
  <c r="L1663" i="256"/>
  <c r="K1663" i="256"/>
  <c r="O1662" i="256"/>
  <c r="N1662" i="256"/>
  <c r="M1662" i="256"/>
  <c r="L1662" i="256"/>
  <c r="K1662" i="256"/>
  <c r="P1649" i="256"/>
  <c r="O1649" i="256"/>
  <c r="N1649" i="256"/>
  <c r="M1649" i="256"/>
  <c r="B2" i="256"/>
  <c r="A55" i="294"/>
  <c r="I21" i="294"/>
  <c r="I40" i="294"/>
  <c r="I53" i="294"/>
  <c r="I54" i="294"/>
  <c r="H21" i="294"/>
  <c r="H40" i="294"/>
  <c r="H53" i="294"/>
  <c r="H54" i="294"/>
  <c r="G21" i="294"/>
  <c r="G40" i="294"/>
  <c r="G53" i="294"/>
  <c r="G54" i="294"/>
  <c r="F21" i="294"/>
  <c r="F40" i="294"/>
  <c r="F53" i="294"/>
  <c r="F54" i="294"/>
  <c r="E53" i="294"/>
  <c r="D53" i="294"/>
  <c r="C53" i="294"/>
  <c r="A50" i="294"/>
  <c r="A49" i="294"/>
  <c r="A48" i="294"/>
  <c r="A47" i="294"/>
  <c r="A46" i="294"/>
  <c r="A45" i="294"/>
  <c r="A44" i="294"/>
  <c r="A43" i="294"/>
  <c r="E40" i="294"/>
  <c r="D40" i="294"/>
  <c r="C40" i="294"/>
  <c r="I3" i="294"/>
  <c r="B2" i="294"/>
  <c r="A2" i="294"/>
  <c r="A84" i="358"/>
  <c r="K79" i="358"/>
  <c r="J79" i="358"/>
  <c r="I79" i="358"/>
  <c r="H79" i="358"/>
  <c r="G79" i="358"/>
  <c r="F79" i="358"/>
  <c r="E79" i="358"/>
  <c r="D79" i="358"/>
  <c r="C79" i="358"/>
  <c r="E7" i="358"/>
  <c r="E10" i="358"/>
  <c r="E14" i="358"/>
  <c r="E18" i="358"/>
  <c r="E21" i="358"/>
  <c r="E6" i="358"/>
  <c r="E27" i="358"/>
  <c r="E43" i="358"/>
  <c r="E47" i="358"/>
  <c r="E53" i="358"/>
  <c r="E51" i="358"/>
  <c r="E73" i="358"/>
  <c r="E65" i="358"/>
  <c r="E69" i="358"/>
  <c r="E77" i="358"/>
  <c r="D7" i="358"/>
  <c r="D10" i="358"/>
  <c r="D14" i="358"/>
  <c r="D18" i="358"/>
  <c r="D21" i="358"/>
  <c r="D6" i="358"/>
  <c r="D27" i="358"/>
  <c r="D43" i="358"/>
  <c r="D47" i="358"/>
  <c r="D53" i="358"/>
  <c r="D51" i="358"/>
  <c r="D73" i="358"/>
  <c r="D65" i="358"/>
  <c r="D69" i="358"/>
  <c r="D77" i="358"/>
  <c r="C7" i="358"/>
  <c r="C10" i="358"/>
  <c r="C14" i="358"/>
  <c r="C18" i="358"/>
  <c r="C21" i="358"/>
  <c r="C6" i="358"/>
  <c r="C27" i="358"/>
  <c r="C43" i="358"/>
  <c r="C47" i="358"/>
  <c r="C53" i="358"/>
  <c r="C51" i="358"/>
  <c r="C73" i="358"/>
  <c r="C65" i="358"/>
  <c r="C69" i="358"/>
  <c r="C77" i="358"/>
  <c r="K73" i="358"/>
  <c r="J73" i="358"/>
  <c r="I73" i="358"/>
  <c r="H73" i="358"/>
  <c r="G73" i="358"/>
  <c r="F73" i="358"/>
  <c r="K69" i="358"/>
  <c r="J69" i="358"/>
  <c r="I69" i="358"/>
  <c r="H69" i="358"/>
  <c r="G69" i="358"/>
  <c r="F69" i="358"/>
  <c r="K65" i="358"/>
  <c r="J65" i="358"/>
  <c r="I65" i="358"/>
  <c r="H65" i="358"/>
  <c r="G65" i="358"/>
  <c r="F65" i="358"/>
  <c r="K53" i="358"/>
  <c r="J53" i="358"/>
  <c r="I53" i="358"/>
  <c r="H53" i="358"/>
  <c r="G53" i="358"/>
  <c r="F53" i="358"/>
  <c r="K51" i="358"/>
  <c r="J51" i="358"/>
  <c r="I51" i="358"/>
  <c r="H51" i="358"/>
  <c r="G51" i="358"/>
  <c r="F51" i="358"/>
  <c r="K47" i="358"/>
  <c r="J47" i="358"/>
  <c r="I47" i="358"/>
  <c r="H47" i="358"/>
  <c r="G47" i="358"/>
  <c r="F47" i="358"/>
  <c r="K43" i="358"/>
  <c r="J43" i="358"/>
  <c r="I43" i="358"/>
  <c r="H43" i="358"/>
  <c r="G43" i="358"/>
  <c r="F43" i="358"/>
  <c r="K27" i="358"/>
  <c r="J27" i="358"/>
  <c r="I27" i="358"/>
  <c r="H27" i="358"/>
  <c r="G27" i="358"/>
  <c r="F27" i="358"/>
  <c r="K21" i="358"/>
  <c r="J21" i="358"/>
  <c r="I21" i="358"/>
  <c r="H21" i="358"/>
  <c r="G21" i="358"/>
  <c r="F21" i="358"/>
  <c r="K18" i="358"/>
  <c r="J18" i="358"/>
  <c r="I18" i="358"/>
  <c r="H18" i="358"/>
  <c r="G18" i="358"/>
  <c r="F18" i="358"/>
  <c r="K14" i="358"/>
  <c r="J14" i="358"/>
  <c r="I14" i="358"/>
  <c r="H14" i="358"/>
  <c r="G14" i="358"/>
  <c r="F14" i="358"/>
  <c r="K10" i="358"/>
  <c r="K7" i="358"/>
  <c r="K6" i="358"/>
  <c r="J10" i="358"/>
  <c r="I10" i="358"/>
  <c r="H10" i="358"/>
  <c r="G10" i="358"/>
  <c r="F10" i="358"/>
  <c r="J7" i="358"/>
  <c r="J6" i="358"/>
  <c r="I7" i="358"/>
  <c r="H7" i="358"/>
  <c r="G7" i="358"/>
  <c r="F7" i="358"/>
  <c r="K77" i="358"/>
  <c r="J77" i="358"/>
  <c r="I6" i="358"/>
  <c r="I77" i="358"/>
  <c r="H6" i="358"/>
  <c r="H77" i="358"/>
  <c r="G6" i="358"/>
  <c r="F6" i="358"/>
  <c r="H3" i="358"/>
  <c r="G3" i="358"/>
  <c r="F3" i="358"/>
  <c r="E3" i="358"/>
  <c r="D3" i="358"/>
  <c r="C3" i="358"/>
  <c r="B2" i="358"/>
  <c r="A2" i="358"/>
  <c r="A87" i="349"/>
  <c r="G77" i="358"/>
  <c r="F77" i="358"/>
  <c r="K79" i="349"/>
  <c r="J79" i="349"/>
  <c r="I79" i="349"/>
  <c r="H79" i="349"/>
  <c r="G79" i="349"/>
  <c r="F79" i="349"/>
  <c r="E79" i="349"/>
  <c r="D79" i="349"/>
  <c r="C79" i="349"/>
  <c r="F7" i="349"/>
  <c r="F10" i="349"/>
  <c r="F14" i="349"/>
  <c r="F18" i="349"/>
  <c r="F21" i="349"/>
  <c r="F6" i="349"/>
  <c r="F27" i="349"/>
  <c r="F43" i="349"/>
  <c r="F47" i="349"/>
  <c r="F53" i="349"/>
  <c r="F51" i="349"/>
  <c r="F73" i="349"/>
  <c r="F65" i="349"/>
  <c r="F69" i="349"/>
  <c r="F77" i="349"/>
  <c r="E7" i="349"/>
  <c r="E10" i="349"/>
  <c r="E14" i="349"/>
  <c r="E18" i="349"/>
  <c r="E21" i="349"/>
  <c r="E6" i="349"/>
  <c r="E27" i="349"/>
  <c r="E43" i="349"/>
  <c r="E47" i="349"/>
  <c r="E53" i="349"/>
  <c r="E51" i="349"/>
  <c r="E73" i="349"/>
  <c r="E65" i="349"/>
  <c r="E69" i="349"/>
  <c r="E77" i="349"/>
  <c r="D7" i="349"/>
  <c r="D10" i="349"/>
  <c r="D14" i="349"/>
  <c r="D18" i="349"/>
  <c r="D21" i="349"/>
  <c r="D6" i="349"/>
  <c r="D27" i="349"/>
  <c r="D43" i="349"/>
  <c r="D47" i="349"/>
  <c r="D53" i="349"/>
  <c r="D51" i="349"/>
  <c r="D73" i="349"/>
  <c r="D65" i="349"/>
  <c r="D69" i="349"/>
  <c r="D77" i="349"/>
  <c r="C7" i="349"/>
  <c r="C10" i="349"/>
  <c r="C14" i="349"/>
  <c r="C18" i="349"/>
  <c r="C21" i="349"/>
  <c r="C6" i="349"/>
  <c r="C27" i="349"/>
  <c r="C43" i="349"/>
  <c r="C47" i="349"/>
  <c r="C53" i="349"/>
  <c r="C51" i="349"/>
  <c r="C73" i="349"/>
  <c r="C65" i="349"/>
  <c r="C69" i="349"/>
  <c r="C77" i="349"/>
  <c r="K73" i="349"/>
  <c r="J73" i="349"/>
  <c r="I73" i="349"/>
  <c r="H73" i="349"/>
  <c r="G73" i="349"/>
  <c r="K69" i="349"/>
  <c r="J69" i="349"/>
  <c r="I69" i="349"/>
  <c r="H69" i="349"/>
  <c r="G69" i="349"/>
  <c r="K65" i="349"/>
  <c r="J65" i="349"/>
  <c r="I65" i="349"/>
  <c r="H65" i="349"/>
  <c r="G65" i="349"/>
  <c r="H63" i="349"/>
  <c r="G63" i="349"/>
  <c r="K53" i="349"/>
  <c r="J53" i="349"/>
  <c r="I53" i="349"/>
  <c r="H53" i="349"/>
  <c r="G53" i="349"/>
  <c r="K51" i="349"/>
  <c r="J51" i="349"/>
  <c r="I51" i="349"/>
  <c r="H51" i="349"/>
  <c r="G51" i="349"/>
  <c r="K47" i="349"/>
  <c r="J47" i="349"/>
  <c r="I47" i="349"/>
  <c r="H47" i="349"/>
  <c r="G47" i="349"/>
  <c r="K43" i="349"/>
  <c r="J43" i="349"/>
  <c r="I43" i="349"/>
  <c r="H43" i="349"/>
  <c r="G43" i="349"/>
  <c r="K27" i="349"/>
  <c r="J27" i="349"/>
  <c r="I27" i="349"/>
  <c r="H27" i="349"/>
  <c r="G27" i="349"/>
  <c r="K21" i="349"/>
  <c r="J21" i="349"/>
  <c r="I21" i="349"/>
  <c r="H21" i="349"/>
  <c r="G21" i="349"/>
  <c r="K18" i="349"/>
  <c r="J18" i="349"/>
  <c r="I18" i="349"/>
  <c r="H18" i="349"/>
  <c r="G18" i="349"/>
  <c r="K14" i="349"/>
  <c r="J14" i="349"/>
  <c r="I14" i="349"/>
  <c r="H14" i="349"/>
  <c r="G14" i="349"/>
  <c r="K10" i="349"/>
  <c r="J10" i="349"/>
  <c r="I10" i="349"/>
  <c r="H10" i="349"/>
  <c r="G10" i="349"/>
  <c r="K7" i="349"/>
  <c r="J7" i="349"/>
  <c r="I7" i="349"/>
  <c r="H7" i="349"/>
  <c r="G7" i="349"/>
  <c r="H3" i="349"/>
  <c r="G3" i="349"/>
  <c r="F3" i="349"/>
  <c r="E3" i="349"/>
  <c r="D3" i="349"/>
  <c r="C3" i="349"/>
  <c r="B2" i="349"/>
  <c r="A2" i="349"/>
  <c r="A87" i="350"/>
  <c r="I6" i="349"/>
  <c r="H6" i="349"/>
  <c r="G6" i="349"/>
  <c r="K6" i="349"/>
  <c r="J6" i="349"/>
  <c r="J77" i="349"/>
  <c r="H77" i="349"/>
  <c r="G77" i="349"/>
  <c r="K79" i="350"/>
  <c r="J79" i="350"/>
  <c r="I79" i="350"/>
  <c r="H79" i="350"/>
  <c r="G79" i="350"/>
  <c r="F79" i="350"/>
  <c r="E79" i="350"/>
  <c r="D79" i="350"/>
  <c r="C79" i="350"/>
  <c r="K7" i="350"/>
  <c r="K10" i="350"/>
  <c r="K14" i="350"/>
  <c r="K18" i="350"/>
  <c r="K21" i="350"/>
  <c r="K6" i="350"/>
  <c r="K27" i="350"/>
  <c r="K43" i="350"/>
  <c r="K47" i="350"/>
  <c r="K53" i="350"/>
  <c r="K51" i="350"/>
  <c r="K73" i="350"/>
  <c r="K65" i="350"/>
  <c r="K69" i="350"/>
  <c r="K77" i="350"/>
  <c r="J7" i="350"/>
  <c r="J10" i="350"/>
  <c r="J14" i="350"/>
  <c r="J18" i="350"/>
  <c r="J21" i="350"/>
  <c r="J6" i="350"/>
  <c r="J27" i="350"/>
  <c r="J43" i="350"/>
  <c r="J47" i="350"/>
  <c r="J53" i="350"/>
  <c r="J51" i="350"/>
  <c r="J73" i="350"/>
  <c r="J65" i="350"/>
  <c r="J69" i="350"/>
  <c r="J77" i="350"/>
  <c r="I7" i="350"/>
  <c r="I10" i="350"/>
  <c r="I17" i="350"/>
  <c r="I14" i="350"/>
  <c r="I19" i="350"/>
  <c r="I18" i="350"/>
  <c r="I21" i="350"/>
  <c r="I6" i="350"/>
  <c r="I27" i="350"/>
  <c r="I43" i="350"/>
  <c r="I47" i="350"/>
  <c r="I53" i="350"/>
  <c r="I51" i="350"/>
  <c r="I73" i="350"/>
  <c r="I65" i="350"/>
  <c r="I69" i="350"/>
  <c r="I77" i="350"/>
  <c r="H7" i="350"/>
  <c r="H10" i="350"/>
  <c r="H14" i="350"/>
  <c r="H18" i="350"/>
  <c r="H21" i="350"/>
  <c r="H6" i="350"/>
  <c r="H27" i="350"/>
  <c r="H43" i="350"/>
  <c r="H47" i="350"/>
  <c r="H53" i="350"/>
  <c r="H51" i="350"/>
  <c r="H73" i="350"/>
  <c r="H65" i="350"/>
  <c r="H69" i="350"/>
  <c r="H77" i="350"/>
  <c r="G7" i="350"/>
  <c r="G10" i="350"/>
  <c r="G14" i="350"/>
  <c r="G18" i="350"/>
  <c r="G21" i="350"/>
  <c r="G6" i="350"/>
  <c r="G27" i="350"/>
  <c r="G43" i="350"/>
  <c r="G47" i="350"/>
  <c r="G53" i="350"/>
  <c r="G51" i="350"/>
  <c r="G73" i="350"/>
  <c r="G65" i="350"/>
  <c r="G69" i="350"/>
  <c r="G77" i="350"/>
  <c r="F7" i="350"/>
  <c r="F10" i="350"/>
  <c r="F14" i="350"/>
  <c r="F18" i="350"/>
  <c r="F21" i="350"/>
  <c r="F6" i="350"/>
  <c r="F27" i="350"/>
  <c r="F43" i="350"/>
  <c r="F47" i="350"/>
  <c r="F53" i="350"/>
  <c r="F55" i="350"/>
  <c r="F60" i="350"/>
  <c r="F51" i="350"/>
  <c r="F73" i="350"/>
  <c r="F65" i="350"/>
  <c r="F69" i="350"/>
  <c r="F77" i="350"/>
  <c r="E7" i="350"/>
  <c r="E10" i="350"/>
  <c r="E14" i="350"/>
  <c r="E18" i="350"/>
  <c r="E21" i="350"/>
  <c r="E6" i="350"/>
  <c r="E27" i="350"/>
  <c r="E43" i="350"/>
  <c r="E47" i="350"/>
  <c r="E53" i="350"/>
  <c r="E51" i="350"/>
  <c r="E73" i="350"/>
  <c r="E65" i="350"/>
  <c r="E69" i="350"/>
  <c r="E77" i="350"/>
  <c r="D7" i="350"/>
  <c r="D10" i="350"/>
  <c r="D14" i="350"/>
  <c r="D18" i="350"/>
  <c r="D21" i="350"/>
  <c r="D6" i="350"/>
  <c r="D27" i="350"/>
  <c r="D43" i="350"/>
  <c r="D47" i="350"/>
  <c r="D53" i="350"/>
  <c r="D51" i="350"/>
  <c r="D73" i="350"/>
  <c r="D65" i="350"/>
  <c r="D69" i="350"/>
  <c r="D77" i="350"/>
  <c r="C7" i="350"/>
  <c r="C10" i="350"/>
  <c r="C14" i="350"/>
  <c r="C18" i="350"/>
  <c r="C21" i="350"/>
  <c r="C6" i="350"/>
  <c r="C27" i="350"/>
  <c r="C43" i="350"/>
  <c r="C47" i="350"/>
  <c r="C53" i="350"/>
  <c r="C51" i="350"/>
  <c r="C73" i="350"/>
  <c r="C65" i="350"/>
  <c r="C69" i="350"/>
  <c r="C77" i="350"/>
  <c r="I77" i="349"/>
  <c r="K77" i="349"/>
  <c r="H3" i="350"/>
  <c r="G3" i="350"/>
  <c r="F3" i="350"/>
  <c r="E3" i="350"/>
  <c r="D3" i="350"/>
  <c r="C3" i="350"/>
  <c r="B2" i="350"/>
  <c r="A2" i="350"/>
  <c r="A84" i="134"/>
  <c r="H80" i="134"/>
  <c r="K79" i="134"/>
  <c r="J79" i="134"/>
  <c r="I79" i="134"/>
  <c r="H79" i="134"/>
  <c r="G79" i="134"/>
  <c r="F79" i="134"/>
  <c r="E79" i="134"/>
  <c r="D79" i="134"/>
  <c r="C79" i="134"/>
  <c r="K7" i="134"/>
  <c r="K10" i="134"/>
  <c r="K14" i="134"/>
  <c r="K18" i="134"/>
  <c r="K21" i="134"/>
  <c r="K6" i="134"/>
  <c r="K27" i="134"/>
  <c r="K43" i="134"/>
  <c r="K47" i="134"/>
  <c r="K53" i="134"/>
  <c r="K51" i="134"/>
  <c r="K73" i="134"/>
  <c r="K65" i="134"/>
  <c r="K69" i="134"/>
  <c r="K77" i="134"/>
  <c r="J7" i="134"/>
  <c r="J10" i="134"/>
  <c r="J14" i="134"/>
  <c r="J18" i="134"/>
  <c r="J21" i="134"/>
  <c r="J6" i="134"/>
  <c r="J27" i="134"/>
  <c r="J43" i="134"/>
  <c r="J47" i="134"/>
  <c r="J53" i="134"/>
  <c r="J51" i="134"/>
  <c r="J73" i="134"/>
  <c r="J65" i="134"/>
  <c r="J69" i="134"/>
  <c r="J77" i="134"/>
  <c r="I7" i="134"/>
  <c r="I10" i="134"/>
  <c r="I14" i="134"/>
  <c r="I18" i="134"/>
  <c r="I21" i="134"/>
  <c r="I6" i="134"/>
  <c r="I27" i="134"/>
  <c r="I43" i="134"/>
  <c r="I47" i="134"/>
  <c r="I53" i="134"/>
  <c r="I51" i="134"/>
  <c r="I73" i="134"/>
  <c r="I65" i="134"/>
  <c r="I69" i="134"/>
  <c r="I77" i="134"/>
  <c r="H7" i="134"/>
  <c r="H10" i="134"/>
  <c r="H14" i="134"/>
  <c r="H18" i="134"/>
  <c r="H25" i="134"/>
  <c r="H21" i="134"/>
  <c r="H6" i="134"/>
  <c r="H27" i="134"/>
  <c r="H43" i="134"/>
  <c r="H47" i="134"/>
  <c r="H53" i="134"/>
  <c r="H51" i="134"/>
  <c r="H73" i="134"/>
  <c r="H65" i="134"/>
  <c r="H69" i="134"/>
  <c r="H77" i="134"/>
  <c r="G7" i="134"/>
  <c r="G10" i="134"/>
  <c r="G14" i="134"/>
  <c r="G18" i="134"/>
  <c r="G21" i="134"/>
  <c r="G6" i="134"/>
  <c r="G27" i="134"/>
  <c r="G43" i="134"/>
  <c r="G47" i="134"/>
  <c r="G53" i="134"/>
  <c r="G51" i="134"/>
  <c r="G73" i="134"/>
  <c r="G65" i="134"/>
  <c r="G69" i="134"/>
  <c r="G77" i="134"/>
  <c r="F7" i="134"/>
  <c r="F10" i="134"/>
  <c r="F14" i="134"/>
  <c r="F18" i="134"/>
  <c r="F21" i="134"/>
  <c r="F6" i="134"/>
  <c r="F27" i="134"/>
  <c r="F43" i="134"/>
  <c r="F47" i="134"/>
  <c r="F53" i="134"/>
  <c r="F51" i="134"/>
  <c r="F73" i="134"/>
  <c r="F65" i="134"/>
  <c r="F69" i="134"/>
  <c r="F77" i="134"/>
  <c r="E7" i="134"/>
  <c r="E10" i="134"/>
  <c r="E14" i="134"/>
  <c r="E18" i="134"/>
  <c r="E22" i="134"/>
  <c r="E21" i="134"/>
  <c r="E6" i="134"/>
  <c r="E34" i="134"/>
  <c r="E27" i="134"/>
  <c r="E43" i="134"/>
  <c r="E47" i="134"/>
  <c r="E53" i="134"/>
  <c r="E60" i="134"/>
  <c r="E63" i="134"/>
  <c r="E51" i="134"/>
  <c r="E73" i="134"/>
  <c r="E65" i="134"/>
  <c r="E69" i="134"/>
  <c r="E77" i="134"/>
  <c r="D7" i="134"/>
  <c r="D10" i="134"/>
  <c r="D14" i="134"/>
  <c r="D18" i="134"/>
  <c r="D22" i="134"/>
  <c r="D21" i="134"/>
  <c r="D6" i="134"/>
  <c r="D34" i="134"/>
  <c r="D41" i="134"/>
  <c r="D27" i="134"/>
  <c r="D43" i="134"/>
  <c r="D47" i="134"/>
  <c r="D53" i="134"/>
  <c r="D60" i="134"/>
  <c r="D63" i="134"/>
  <c r="D51" i="134"/>
  <c r="D73" i="134"/>
  <c r="D65" i="134"/>
  <c r="D69" i="134"/>
  <c r="D77" i="134"/>
  <c r="C7" i="134"/>
  <c r="C10" i="134"/>
  <c r="C14" i="134"/>
  <c r="C18" i="134"/>
  <c r="C22" i="134"/>
  <c r="C21" i="134"/>
  <c r="C6" i="134"/>
  <c r="C35" i="134"/>
  <c r="C41" i="134"/>
  <c r="C27" i="134"/>
  <c r="C43" i="134"/>
  <c r="C47" i="134"/>
  <c r="C53" i="134"/>
  <c r="C59" i="134"/>
  <c r="C60" i="134"/>
  <c r="C63" i="134"/>
  <c r="C51" i="134"/>
  <c r="C73" i="134"/>
  <c r="C65" i="134"/>
  <c r="C69" i="134"/>
  <c r="C77" i="134"/>
  <c r="H3" i="134"/>
  <c r="G3" i="134"/>
  <c r="F3" i="134"/>
  <c r="E3" i="134"/>
  <c r="D3" i="134"/>
  <c r="C3" i="134"/>
  <c r="B2" i="134"/>
  <c r="A2" i="134"/>
  <c r="A51" i="139"/>
  <c r="C42" i="139"/>
  <c r="D42" i="139"/>
  <c r="E42" i="139"/>
  <c r="F42" i="139"/>
  <c r="G42" i="139"/>
  <c r="H42" i="139"/>
  <c r="I42" i="139"/>
  <c r="J42" i="139"/>
  <c r="K42" i="139"/>
  <c r="L42" i="139"/>
  <c r="M42" i="139"/>
  <c r="N42" i="139"/>
  <c r="O42" i="139"/>
  <c r="C48" i="139"/>
  <c r="D48" i="139"/>
  <c r="E48" i="139"/>
  <c r="F48" i="139"/>
  <c r="G48" i="139"/>
  <c r="H48" i="139"/>
  <c r="I48" i="139"/>
  <c r="J48" i="139"/>
  <c r="K48" i="139"/>
  <c r="L48" i="139"/>
  <c r="M48" i="139"/>
  <c r="N48" i="139"/>
  <c r="O48" i="139"/>
  <c r="O50" i="139"/>
  <c r="N50" i="139"/>
  <c r="M50" i="139"/>
  <c r="L50" i="139"/>
  <c r="K50" i="139"/>
  <c r="J50" i="139"/>
  <c r="I50" i="139"/>
  <c r="H50" i="139"/>
  <c r="G50" i="139"/>
  <c r="F50" i="139"/>
  <c r="E50" i="139"/>
  <c r="D50" i="139"/>
  <c r="C50" i="139"/>
  <c r="O47" i="139"/>
  <c r="O46" i="139"/>
  <c r="O45" i="139"/>
  <c r="O41" i="139"/>
  <c r="O40" i="139"/>
  <c r="O39" i="139"/>
  <c r="C36" i="139"/>
  <c r="D36" i="139"/>
  <c r="E36" i="139"/>
  <c r="F36" i="139"/>
  <c r="G36" i="139"/>
  <c r="H36" i="139"/>
  <c r="I36" i="139"/>
  <c r="J36" i="139"/>
  <c r="K36" i="139"/>
  <c r="L36" i="139"/>
  <c r="M36" i="139"/>
  <c r="N36" i="139"/>
  <c r="O36" i="139"/>
  <c r="O35" i="139"/>
  <c r="O34" i="139"/>
  <c r="O33" i="139"/>
  <c r="C21" i="139"/>
  <c r="D21" i="139"/>
  <c r="E21" i="139"/>
  <c r="F21" i="139"/>
  <c r="G21" i="139"/>
  <c r="H20" i="139"/>
  <c r="H21" i="139"/>
  <c r="I12" i="139"/>
  <c r="I13" i="139"/>
  <c r="I14" i="139"/>
  <c r="I15" i="139"/>
  <c r="I16" i="139"/>
  <c r="I17" i="139"/>
  <c r="I18" i="139"/>
  <c r="I19" i="139"/>
  <c r="I20" i="139"/>
  <c r="I21" i="139"/>
  <c r="J12" i="139"/>
  <c r="J13" i="139"/>
  <c r="J14" i="139"/>
  <c r="J15" i="139"/>
  <c r="J16" i="139"/>
  <c r="J17" i="139"/>
  <c r="J18" i="139"/>
  <c r="J19" i="139"/>
  <c r="J20" i="139"/>
  <c r="J21" i="139"/>
  <c r="K12" i="139"/>
  <c r="K13" i="139"/>
  <c r="K14" i="139"/>
  <c r="K15" i="139"/>
  <c r="K16" i="139"/>
  <c r="K17" i="139"/>
  <c r="K18" i="139"/>
  <c r="K19" i="139"/>
  <c r="K20" i="139"/>
  <c r="K21" i="139"/>
  <c r="L12" i="139"/>
  <c r="L13" i="139"/>
  <c r="L14" i="139"/>
  <c r="L15" i="139"/>
  <c r="L16" i="139"/>
  <c r="L17" i="139"/>
  <c r="L18" i="139"/>
  <c r="L19" i="139"/>
  <c r="L20" i="139"/>
  <c r="L21" i="139"/>
  <c r="M12" i="139"/>
  <c r="M13" i="139"/>
  <c r="M14" i="139"/>
  <c r="M15" i="139"/>
  <c r="M16" i="139"/>
  <c r="M17" i="139"/>
  <c r="M18" i="139"/>
  <c r="M19" i="139"/>
  <c r="M20" i="139"/>
  <c r="M21" i="139"/>
  <c r="N12" i="139"/>
  <c r="N13" i="139"/>
  <c r="N14" i="139"/>
  <c r="N15" i="139"/>
  <c r="N16" i="139"/>
  <c r="N17" i="139"/>
  <c r="N18" i="139"/>
  <c r="N19" i="139"/>
  <c r="N20" i="139"/>
  <c r="N21" i="139"/>
  <c r="O21" i="139"/>
  <c r="C27" i="139"/>
  <c r="D27" i="139"/>
  <c r="E27" i="139"/>
  <c r="F27" i="139"/>
  <c r="G27" i="139"/>
  <c r="H27" i="139"/>
  <c r="I27" i="139"/>
  <c r="J27" i="139"/>
  <c r="K27" i="139"/>
  <c r="L27" i="139"/>
  <c r="M27" i="139"/>
  <c r="N27" i="139"/>
  <c r="O27" i="139"/>
  <c r="O29" i="139"/>
  <c r="N29" i="139"/>
  <c r="M29" i="139"/>
  <c r="L29" i="139"/>
  <c r="K29" i="139"/>
  <c r="J29" i="139"/>
  <c r="I29" i="139"/>
  <c r="H29" i="139"/>
  <c r="G29" i="139"/>
  <c r="F29" i="139"/>
  <c r="E29" i="139"/>
  <c r="D29" i="139"/>
  <c r="C29" i="139"/>
  <c r="O26" i="139"/>
  <c r="O25" i="139"/>
  <c r="O24" i="139"/>
  <c r="O20" i="139"/>
  <c r="L160" i="255"/>
  <c r="K100" i="349"/>
  <c r="K160" i="255"/>
  <c r="J100" i="349"/>
  <c r="J160" i="255"/>
  <c r="I100" i="349"/>
  <c r="H160" i="255"/>
  <c r="H100" i="349"/>
  <c r="G160" i="255"/>
  <c r="G100" i="349"/>
  <c r="F160" i="255"/>
  <c r="F100" i="349"/>
  <c r="O19" i="139"/>
  <c r="O18" i="139"/>
  <c r="O17" i="139"/>
  <c r="O16" i="139"/>
  <c r="O15" i="139"/>
  <c r="O14" i="139"/>
  <c r="O13" i="139"/>
  <c r="O12" i="139"/>
  <c r="C9" i="139"/>
  <c r="D9" i="139"/>
  <c r="E9" i="139"/>
  <c r="F9" i="139"/>
  <c r="G9" i="139"/>
  <c r="H6" i="139"/>
  <c r="H7" i="139"/>
  <c r="H9" i="139"/>
  <c r="I6" i="139"/>
  <c r="I7" i="139"/>
  <c r="I9" i="139"/>
  <c r="J6" i="139"/>
  <c r="J7" i="139"/>
  <c r="J9" i="139"/>
  <c r="K6" i="139"/>
  <c r="K7" i="139"/>
  <c r="K9" i="139"/>
  <c r="L6" i="139"/>
  <c r="L7" i="139"/>
  <c r="L9" i="139"/>
  <c r="M6" i="139"/>
  <c r="M7" i="139"/>
  <c r="M9" i="139"/>
  <c r="N6" i="139"/>
  <c r="N7" i="139"/>
  <c r="N9" i="139"/>
  <c r="O9" i="139"/>
  <c r="O8" i="139"/>
  <c r="O7" i="139"/>
  <c r="O6" i="139"/>
  <c r="D3" i="139"/>
  <c r="B2" i="139"/>
  <c r="A2" i="139"/>
  <c r="A25" i="250"/>
  <c r="I41" i="301"/>
  <c r="J41" i="301"/>
  <c r="K41" i="301"/>
  <c r="A40" i="301"/>
  <c r="A39" i="301"/>
  <c r="A38" i="301"/>
  <c r="A34" i="301"/>
  <c r="A33" i="301"/>
  <c r="A32" i="301"/>
  <c r="A31" i="301"/>
  <c r="K28" i="301"/>
  <c r="J28" i="301"/>
  <c r="I28" i="301"/>
  <c r="H28" i="301"/>
  <c r="G28" i="301"/>
  <c r="F28" i="301"/>
  <c r="E28" i="301"/>
  <c r="D28" i="301"/>
  <c r="C28" i="301"/>
  <c r="A27" i="301"/>
  <c r="A26" i="301"/>
  <c r="A25" i="301"/>
  <c r="A8" i="301"/>
  <c r="A24" i="301"/>
  <c r="K11" i="301"/>
  <c r="K19" i="301"/>
  <c r="K20" i="301"/>
  <c r="J11" i="301"/>
  <c r="J19" i="301"/>
  <c r="J20" i="301"/>
  <c r="I11" i="301"/>
  <c r="I19" i="301"/>
  <c r="I20" i="301"/>
  <c r="H11" i="301"/>
  <c r="H19" i="301"/>
  <c r="H20" i="301"/>
  <c r="G11" i="301"/>
  <c r="G19" i="301"/>
  <c r="G20" i="301"/>
  <c r="F11" i="301"/>
  <c r="F19" i="301"/>
  <c r="F20" i="301"/>
  <c r="E11" i="301"/>
  <c r="E19" i="301"/>
  <c r="E20" i="301"/>
  <c r="D11" i="301"/>
  <c r="D19" i="301"/>
  <c r="D20" i="301"/>
  <c r="C11" i="301"/>
  <c r="C19" i="301"/>
  <c r="C20" i="301"/>
  <c r="A20" i="301"/>
  <c r="A19" i="301"/>
  <c r="A18" i="301"/>
  <c r="A17" i="301"/>
  <c r="A16" i="301"/>
  <c r="A15" i="301"/>
  <c r="A14" i="301"/>
  <c r="A12" i="301"/>
  <c r="A11" i="301"/>
  <c r="A10" i="301"/>
  <c r="A9" i="301"/>
  <c r="A7" i="301"/>
  <c r="A6" i="301"/>
  <c r="A5" i="301"/>
  <c r="H3" i="301"/>
  <c r="G3" i="301"/>
  <c r="F3" i="301"/>
  <c r="E3" i="301"/>
  <c r="D3" i="301"/>
  <c r="C3" i="301"/>
  <c r="B2" i="301"/>
  <c r="A2" i="301"/>
  <c r="M5" i="95"/>
  <c r="M6" i="95"/>
  <c r="M7" i="95"/>
  <c r="M8" i="95"/>
  <c r="M9" i="95"/>
  <c r="M10" i="95"/>
  <c r="M11" i="95"/>
  <c r="M12" i="95"/>
  <c r="M13" i="95"/>
  <c r="M14" i="95"/>
  <c r="M15" i="95"/>
  <c r="M16" i="95"/>
  <c r="M17" i="95"/>
  <c r="M18" i="95"/>
  <c r="M19" i="95"/>
  <c r="M20" i="95"/>
  <c r="M21" i="95"/>
  <c r="M24" i="95"/>
  <c r="M25" i="95"/>
  <c r="M26" i="95"/>
  <c r="M27" i="95"/>
  <c r="M28" i="95"/>
  <c r="M29" i="95"/>
  <c r="M30" i="95"/>
  <c r="M31" i="95"/>
  <c r="M32" i="95"/>
  <c r="M33" i="95"/>
  <c r="M36" i="95"/>
  <c r="M37" i="95"/>
  <c r="M38" i="95"/>
  <c r="M39" i="95"/>
  <c r="M40" i="95"/>
  <c r="M41" i="95"/>
  <c r="M42" i="95"/>
  <c r="M43" i="95"/>
  <c r="M44" i="95"/>
  <c r="M45" i="95"/>
  <c r="M46" i="95"/>
  <c r="M49" i="95"/>
  <c r="M50" i="95"/>
  <c r="M51" i="95"/>
  <c r="M52" i="95"/>
  <c r="M54" i="95"/>
  <c r="M64" i="95"/>
  <c r="L21" i="95"/>
  <c r="L33" i="95"/>
  <c r="L46" i="95"/>
  <c r="L52" i="95"/>
  <c r="L54" i="95"/>
  <c r="L64" i="95"/>
  <c r="K21" i="95"/>
  <c r="K33" i="95"/>
  <c r="K46" i="95"/>
  <c r="K52" i="95"/>
  <c r="K54" i="95"/>
  <c r="K64" i="95"/>
  <c r="J21" i="95"/>
  <c r="J33" i="95"/>
  <c r="J46" i="95"/>
  <c r="J52" i="95"/>
  <c r="J54" i="95"/>
  <c r="J64" i="95"/>
  <c r="I21" i="95"/>
  <c r="I33" i="95"/>
  <c r="I46" i="95"/>
  <c r="I52" i="95"/>
  <c r="I54" i="95"/>
  <c r="I64" i="95"/>
  <c r="H21" i="95"/>
  <c r="H33" i="95"/>
  <c r="H46" i="95"/>
  <c r="H52" i="95"/>
  <c r="H54" i="95"/>
  <c r="H64" i="95"/>
  <c r="G21" i="95"/>
  <c r="G33" i="95"/>
  <c r="G46" i="95"/>
  <c r="G52" i="95"/>
  <c r="G54" i="95"/>
  <c r="G64" i="95"/>
  <c r="F21" i="95"/>
  <c r="F33" i="95"/>
  <c r="F46" i="95"/>
  <c r="F52" i="95"/>
  <c r="F54" i="95"/>
  <c r="F64" i="95"/>
  <c r="E21" i="95"/>
  <c r="E33" i="95"/>
  <c r="E46" i="95"/>
  <c r="E52" i="95"/>
  <c r="E54" i="95"/>
  <c r="E64" i="95"/>
  <c r="P46" i="95"/>
  <c r="P63" i="95"/>
  <c r="O46" i="95"/>
  <c r="O63" i="95"/>
  <c r="N46" i="95"/>
  <c r="N63" i="95"/>
  <c r="M63" i="95"/>
  <c r="L63" i="95"/>
  <c r="K63" i="95"/>
  <c r="J63" i="95"/>
  <c r="I63" i="95"/>
  <c r="H63" i="95"/>
  <c r="G63" i="95"/>
  <c r="F63" i="95"/>
  <c r="E63" i="95"/>
  <c r="A57" i="95"/>
  <c r="N55" i="95"/>
  <c r="N21" i="95"/>
  <c r="N33" i="95"/>
  <c r="N52" i="95"/>
  <c r="N54" i="95"/>
  <c r="N56" i="95"/>
  <c r="O55" i="95"/>
  <c r="O21" i="95"/>
  <c r="O33" i="95"/>
  <c r="O52" i="95"/>
  <c r="O54" i="95"/>
  <c r="O56" i="95"/>
  <c r="P55" i="95"/>
  <c r="P21" i="95"/>
  <c r="P33" i="95"/>
  <c r="P52" i="95"/>
  <c r="P54" i="95"/>
  <c r="P56" i="95"/>
  <c r="B21" i="95"/>
  <c r="B33" i="95"/>
  <c r="B46" i="95"/>
  <c r="B52" i="95"/>
  <c r="B54" i="95"/>
  <c r="B56" i="95"/>
  <c r="C55" i="95"/>
  <c r="C21" i="95"/>
  <c r="C33" i="95"/>
  <c r="C46" i="95"/>
  <c r="C52" i="95"/>
  <c r="C54" i="95"/>
  <c r="C56" i="95"/>
  <c r="D55" i="95"/>
  <c r="D21" i="95"/>
  <c r="D33" i="95"/>
  <c r="D46" i="95"/>
  <c r="D52" i="95"/>
  <c r="D54" i="95"/>
  <c r="D56" i="95"/>
  <c r="E55" i="95"/>
  <c r="E56" i="95"/>
  <c r="F55" i="95"/>
  <c r="F56" i="95"/>
  <c r="G55" i="95"/>
  <c r="G56" i="95"/>
  <c r="H55" i="95"/>
  <c r="H56" i="95"/>
  <c r="I55" i="95"/>
  <c r="I56" i="95"/>
  <c r="J55" i="95"/>
  <c r="J56" i="95"/>
  <c r="K55" i="95"/>
  <c r="K56" i="95"/>
  <c r="L55" i="95"/>
  <c r="L56" i="95"/>
  <c r="M55" i="95"/>
  <c r="M56" i="95"/>
  <c r="A51" i="95"/>
  <c r="A50" i="95"/>
  <c r="A49" i="95"/>
  <c r="A32" i="95"/>
  <c r="A31" i="95"/>
  <c r="A30" i="95"/>
  <c r="A29" i="95"/>
  <c r="A28" i="95"/>
  <c r="A27" i="95"/>
  <c r="A26" i="95"/>
  <c r="A25" i="95"/>
  <c r="A20" i="95"/>
  <c r="A18" i="95"/>
  <c r="A17" i="95"/>
  <c r="A16" i="95"/>
  <c r="A15" i="95"/>
  <c r="A14" i="95"/>
  <c r="A13" i="95"/>
  <c r="A12" i="95"/>
  <c r="A11" i="95"/>
  <c r="A10" i="95"/>
  <c r="A9" i="95"/>
  <c r="A8" i="95"/>
  <c r="A7" i="95"/>
  <c r="A6" i="95"/>
  <c r="A5" i="95"/>
  <c r="A28" i="300"/>
  <c r="A26" i="300"/>
  <c r="A25" i="300"/>
  <c r="Q24" i="300"/>
  <c r="P24" i="300"/>
  <c r="O24" i="300"/>
  <c r="N24" i="300"/>
  <c r="A24" i="300"/>
  <c r="Q23" i="300"/>
  <c r="P23" i="300"/>
  <c r="O23" i="300"/>
  <c r="N23" i="300"/>
  <c r="A23" i="300"/>
  <c r="Q22" i="300"/>
  <c r="P22" i="300"/>
  <c r="O22" i="300"/>
  <c r="N22" i="300"/>
  <c r="A22" i="300"/>
  <c r="Q21" i="300"/>
  <c r="P21" i="300"/>
  <c r="O21" i="300"/>
  <c r="N21" i="300"/>
  <c r="A21" i="300"/>
  <c r="Q20" i="300"/>
  <c r="P20" i="300"/>
  <c r="O20" i="300"/>
  <c r="N20" i="300"/>
  <c r="A20" i="300"/>
  <c r="L57" i="126"/>
  <c r="Q19" i="300"/>
  <c r="K57" i="126"/>
  <c r="P19" i="300"/>
  <c r="J57" i="126"/>
  <c r="O19" i="300"/>
  <c r="C19" i="300"/>
  <c r="D19" i="300"/>
  <c r="E19" i="300"/>
  <c r="F19" i="300"/>
  <c r="G19" i="300"/>
  <c r="H19" i="300"/>
  <c r="I19" i="300"/>
  <c r="J19" i="300"/>
  <c r="K19" i="300"/>
  <c r="L19" i="300"/>
  <c r="M19" i="300"/>
  <c r="N19" i="300"/>
  <c r="A19" i="300"/>
  <c r="Q18" i="300"/>
  <c r="P18" i="300"/>
  <c r="O18" i="300"/>
  <c r="N18" i="300"/>
  <c r="A18" i="300"/>
  <c r="Q17" i="300"/>
  <c r="P17" i="300"/>
  <c r="O17" i="300"/>
  <c r="N17" i="300"/>
  <c r="A17" i="300"/>
  <c r="Q16" i="300"/>
  <c r="P16" i="300"/>
  <c r="O16" i="300"/>
  <c r="N16" i="300"/>
  <c r="A16" i="300"/>
  <c r="L53" i="126"/>
  <c r="Q15" i="300"/>
  <c r="K53" i="126"/>
  <c r="P15" i="300"/>
  <c r="J53" i="126"/>
  <c r="O15" i="300"/>
  <c r="C15" i="300"/>
  <c r="D15" i="300"/>
  <c r="E15" i="300"/>
  <c r="F15" i="300"/>
  <c r="G15" i="300"/>
  <c r="H15" i="300"/>
  <c r="I15" i="300"/>
  <c r="J15" i="300"/>
  <c r="K15" i="300"/>
  <c r="L15" i="300"/>
  <c r="M15" i="300"/>
  <c r="N15" i="300"/>
  <c r="A15" i="300"/>
  <c r="Q14" i="300"/>
  <c r="P14" i="300"/>
  <c r="O14" i="300"/>
  <c r="N14" i="300"/>
  <c r="A14" i="300"/>
  <c r="Q13" i="300"/>
  <c r="P13" i="300"/>
  <c r="O13" i="300"/>
  <c r="N13" i="300"/>
  <c r="A13" i="300"/>
  <c r="Q12" i="300"/>
  <c r="P12" i="300"/>
  <c r="O12" i="300"/>
  <c r="N12" i="300"/>
  <c r="A12" i="300"/>
  <c r="Q11" i="300"/>
  <c r="P11" i="300"/>
  <c r="O11" i="300"/>
  <c r="N11" i="300"/>
  <c r="A11" i="300"/>
  <c r="Q10" i="300"/>
  <c r="P10" i="300"/>
  <c r="O10" i="300"/>
  <c r="N10" i="300"/>
  <c r="A10" i="300"/>
  <c r="L47" i="126"/>
  <c r="Q9" i="300"/>
  <c r="K47" i="126"/>
  <c r="P9" i="300"/>
  <c r="J47" i="126"/>
  <c r="O9" i="300"/>
  <c r="C9" i="300"/>
  <c r="D9" i="300"/>
  <c r="E9" i="300"/>
  <c r="F9" i="300"/>
  <c r="G9" i="300"/>
  <c r="H9" i="300"/>
  <c r="I9" i="300"/>
  <c r="J9" i="300"/>
  <c r="K9" i="300"/>
  <c r="L9" i="300"/>
  <c r="M9" i="300"/>
  <c r="N9" i="300"/>
  <c r="A9" i="300"/>
  <c r="Q8" i="300"/>
  <c r="P8" i="300"/>
  <c r="O8" i="300"/>
  <c r="N8" i="300"/>
  <c r="A8" i="300"/>
  <c r="Q7" i="300"/>
  <c r="P7" i="300"/>
  <c r="O7" i="300"/>
  <c r="N7" i="300"/>
  <c r="A7" i="300"/>
  <c r="Q6" i="300"/>
  <c r="P6" i="300"/>
  <c r="O6" i="300"/>
  <c r="N6" i="300"/>
  <c r="A6" i="300"/>
  <c r="L43" i="126"/>
  <c r="Q5" i="300"/>
  <c r="K43" i="126"/>
  <c r="P5" i="300"/>
  <c r="J43" i="126"/>
  <c r="O5" i="300"/>
  <c r="M5" i="300"/>
  <c r="L5" i="300"/>
  <c r="K5" i="300"/>
  <c r="J5" i="300"/>
  <c r="I5" i="300"/>
  <c r="H5" i="300"/>
  <c r="G5" i="300"/>
  <c r="F5" i="300"/>
  <c r="E5" i="300"/>
  <c r="D5" i="300"/>
  <c r="C5" i="300"/>
  <c r="A5" i="300"/>
  <c r="A4" i="300"/>
  <c r="B2" i="300"/>
  <c r="A2" i="300"/>
  <c r="A42" i="140"/>
  <c r="K20" i="140"/>
  <c r="K38" i="140"/>
  <c r="K39" i="140"/>
  <c r="J20" i="140"/>
  <c r="J38" i="140"/>
  <c r="J39" i="140"/>
  <c r="I20" i="140"/>
  <c r="I38" i="140"/>
  <c r="I39" i="140"/>
  <c r="H20" i="140"/>
  <c r="H38" i="140"/>
  <c r="H39" i="140"/>
  <c r="G20" i="140"/>
  <c r="G38" i="140"/>
  <c r="G39" i="140"/>
  <c r="F20" i="140"/>
  <c r="F38" i="140"/>
  <c r="F39" i="140"/>
  <c r="E20" i="140"/>
  <c r="E38" i="140"/>
  <c r="E39" i="140"/>
  <c r="D20" i="140"/>
  <c r="D38" i="140"/>
  <c r="D39" i="140"/>
  <c r="C20" i="140"/>
  <c r="C38" i="140"/>
  <c r="C39" i="140"/>
  <c r="M38" i="140"/>
  <c r="L38" i="140"/>
  <c r="O25" i="300"/>
  <c r="Q25" i="300"/>
  <c r="N5" i="300"/>
  <c r="N25" i="300"/>
  <c r="M25" i="300"/>
  <c r="L25" i="300"/>
  <c r="K25" i="300"/>
  <c r="J25" i="300"/>
  <c r="I25" i="300"/>
  <c r="H25" i="300"/>
  <c r="G25" i="300"/>
  <c r="F25" i="300"/>
  <c r="E25" i="300"/>
  <c r="D25" i="300"/>
  <c r="C25" i="300"/>
  <c r="P25" i="300"/>
  <c r="M20" i="140"/>
  <c r="L20" i="140"/>
  <c r="B2" i="140"/>
  <c r="A2" i="140"/>
  <c r="A54" i="298"/>
  <c r="A53" i="298"/>
  <c r="Q52" i="298"/>
  <c r="P52" i="298"/>
  <c r="O52" i="298"/>
  <c r="N52" i="298"/>
  <c r="A52" i="298"/>
  <c r="L5" i="298"/>
  <c r="L9" i="298"/>
  <c r="L15" i="298"/>
  <c r="L19" i="298"/>
  <c r="L25" i="298"/>
  <c r="L28" i="298"/>
  <c r="L32" i="298"/>
  <c r="L38" i="298"/>
  <c r="L42" i="298"/>
  <c r="L48" i="298"/>
  <c r="L50" i="298"/>
  <c r="K5" i="298"/>
  <c r="K9" i="298"/>
  <c r="K15" i="298"/>
  <c r="K19" i="298"/>
  <c r="K25" i="298"/>
  <c r="K28" i="298"/>
  <c r="K32" i="298"/>
  <c r="K38" i="298"/>
  <c r="K42" i="298"/>
  <c r="K48" i="298"/>
  <c r="K50" i="298"/>
  <c r="J5" i="298"/>
  <c r="J9" i="298"/>
  <c r="J15" i="298"/>
  <c r="J19" i="298"/>
  <c r="J25" i="298"/>
  <c r="J28" i="298"/>
  <c r="J32" i="298"/>
  <c r="J38" i="298"/>
  <c r="J42" i="298"/>
  <c r="J48" i="298"/>
  <c r="J50" i="298"/>
  <c r="I5" i="298"/>
  <c r="I9" i="298"/>
  <c r="I15" i="298"/>
  <c r="I19" i="298"/>
  <c r="I25" i="298"/>
  <c r="I28" i="298"/>
  <c r="I32" i="298"/>
  <c r="I38" i="298"/>
  <c r="I42" i="298"/>
  <c r="I48" i="298"/>
  <c r="I50" i="298"/>
  <c r="H5" i="298"/>
  <c r="H9" i="298"/>
  <c r="H15" i="298"/>
  <c r="H19" i="298"/>
  <c r="H25" i="298"/>
  <c r="H28" i="298"/>
  <c r="H32" i="298"/>
  <c r="H38" i="298"/>
  <c r="H42" i="298"/>
  <c r="H48" i="298"/>
  <c r="H50" i="298"/>
  <c r="G5" i="298"/>
  <c r="G9" i="298"/>
  <c r="G15" i="298"/>
  <c r="G19" i="298"/>
  <c r="G25" i="298"/>
  <c r="G28" i="298"/>
  <c r="G32" i="298"/>
  <c r="G38" i="298"/>
  <c r="G42" i="298"/>
  <c r="G48" i="298"/>
  <c r="G50" i="298"/>
  <c r="F5" i="298"/>
  <c r="F9" i="298"/>
  <c r="F15" i="298"/>
  <c r="F19" i="298"/>
  <c r="F25" i="298"/>
  <c r="F28" i="298"/>
  <c r="F32" i="298"/>
  <c r="F38" i="298"/>
  <c r="F42" i="298"/>
  <c r="F48" i="298"/>
  <c r="F50" i="298"/>
  <c r="E5" i="298"/>
  <c r="E9" i="298"/>
  <c r="E15" i="298"/>
  <c r="E19" i="298"/>
  <c r="E25" i="298"/>
  <c r="E28" i="298"/>
  <c r="E32" i="298"/>
  <c r="E38" i="298"/>
  <c r="E42" i="298"/>
  <c r="E48" i="298"/>
  <c r="E50" i="298"/>
  <c r="D5" i="298"/>
  <c r="D9" i="298"/>
  <c r="D15" i="298"/>
  <c r="D19" i="298"/>
  <c r="D25" i="298"/>
  <c r="D28" i="298"/>
  <c r="D32" i="298"/>
  <c r="D38" i="298"/>
  <c r="D42" i="298"/>
  <c r="D48" i="298"/>
  <c r="D50" i="298"/>
  <c r="C5" i="298"/>
  <c r="C9" i="298"/>
  <c r="C15" i="298"/>
  <c r="C19" i="298"/>
  <c r="C25" i="298"/>
  <c r="C28" i="298"/>
  <c r="C32" i="298"/>
  <c r="C38" i="298"/>
  <c r="C42" i="298"/>
  <c r="C48" i="298"/>
  <c r="C50" i="298"/>
  <c r="A50" i="298"/>
  <c r="M28" i="298"/>
  <c r="M32" i="298"/>
  <c r="M38" i="298"/>
  <c r="M42" i="298"/>
  <c r="M48" i="298"/>
  <c r="A48" i="133"/>
  <c r="A48" i="298"/>
  <c r="A47" i="133"/>
  <c r="A47" i="298"/>
  <c r="A42" i="133"/>
  <c r="A42" i="298"/>
  <c r="A38" i="133"/>
  <c r="A38" i="298"/>
  <c r="A32" i="133"/>
  <c r="A32" i="298"/>
  <c r="A28" i="133"/>
  <c r="A28" i="298"/>
  <c r="A27" i="298"/>
  <c r="M5" i="298"/>
  <c r="M9" i="298"/>
  <c r="M15" i="298"/>
  <c r="M19" i="298"/>
  <c r="M25" i="298"/>
  <c r="M26" i="298"/>
  <c r="L26" i="298"/>
  <c r="K26" i="298"/>
  <c r="J26" i="298"/>
  <c r="I26" i="298"/>
  <c r="H26" i="298"/>
  <c r="G26" i="298"/>
  <c r="F26" i="298"/>
  <c r="E26" i="298"/>
  <c r="D26" i="298"/>
  <c r="A25" i="133"/>
  <c r="A25" i="298"/>
  <c r="A24" i="298"/>
  <c r="A23" i="298"/>
  <c r="A22" i="298"/>
  <c r="A21" i="298"/>
  <c r="A20" i="298"/>
  <c r="A19" i="298"/>
  <c r="A18" i="298"/>
  <c r="A17" i="298"/>
  <c r="A16" i="298"/>
  <c r="A15" i="298"/>
  <c r="A14" i="298"/>
  <c r="A13" i="298"/>
  <c r="A12" i="298"/>
  <c r="A11" i="298"/>
  <c r="A10" i="298"/>
  <c r="A9" i="298"/>
  <c r="A8" i="298"/>
  <c r="A7" i="298"/>
  <c r="A6" i="298"/>
  <c r="A5" i="298"/>
  <c r="A4" i="298"/>
  <c r="B2" i="298"/>
  <c r="A2" i="298"/>
  <c r="A46" i="299"/>
  <c r="M20" i="299"/>
  <c r="M38" i="299"/>
  <c r="M40" i="299"/>
  <c r="M45" i="299"/>
  <c r="L20" i="299"/>
  <c r="L38" i="299"/>
  <c r="L40" i="299"/>
  <c r="L45" i="299"/>
  <c r="K20" i="299"/>
  <c r="K38" i="299"/>
  <c r="K40" i="299"/>
  <c r="K45" i="299"/>
  <c r="J20" i="299"/>
  <c r="J38" i="299"/>
  <c r="J40" i="299"/>
  <c r="J45" i="299"/>
  <c r="I20" i="299"/>
  <c r="I38" i="299"/>
  <c r="I40" i="299"/>
  <c r="I45" i="299"/>
  <c r="H20" i="299"/>
  <c r="H38" i="299"/>
  <c r="H40" i="299"/>
  <c r="H45" i="299"/>
  <c r="G20" i="299"/>
  <c r="G38" i="299"/>
  <c r="G40" i="299"/>
  <c r="G45" i="299"/>
  <c r="F20" i="299"/>
  <c r="F38" i="299"/>
  <c r="F40" i="299"/>
  <c r="F45" i="299"/>
  <c r="E20" i="299"/>
  <c r="E38" i="299"/>
  <c r="E40" i="299"/>
  <c r="E45" i="299"/>
  <c r="D20" i="299"/>
  <c r="D38" i="299"/>
  <c r="D40" i="299"/>
  <c r="D45" i="299"/>
  <c r="C20" i="299"/>
  <c r="C38" i="299"/>
  <c r="C40" i="299"/>
  <c r="C45" i="299"/>
  <c r="A45" i="299"/>
  <c r="Q44" i="299"/>
  <c r="P44" i="299"/>
  <c r="O44" i="299"/>
  <c r="N44" i="299"/>
  <c r="A44" i="299"/>
  <c r="A40" i="299"/>
  <c r="A38" i="299"/>
  <c r="A22" i="299"/>
  <c r="A20" i="299"/>
  <c r="A4" i="299"/>
  <c r="B2" i="299"/>
  <c r="A2" i="299"/>
  <c r="A47" i="137"/>
  <c r="A46" i="137"/>
  <c r="Q45" i="137"/>
  <c r="P45" i="137"/>
  <c r="O45" i="137"/>
  <c r="N45" i="137"/>
  <c r="A45" i="137"/>
  <c r="Q44" i="137"/>
  <c r="Q43" i="299"/>
  <c r="P44" i="137"/>
  <c r="P43" i="299"/>
  <c r="O44" i="137"/>
  <c r="N44" i="137"/>
  <c r="A44" i="137"/>
  <c r="Q43" i="137"/>
  <c r="P43" i="137"/>
  <c r="O43" i="137"/>
  <c r="O42" i="299"/>
  <c r="N42" i="299"/>
  <c r="A43" i="137"/>
  <c r="A42" i="299"/>
  <c r="I22" i="137"/>
  <c r="I36" i="137"/>
  <c r="I38" i="137"/>
  <c r="I42" i="137"/>
  <c r="H22" i="137"/>
  <c r="H36" i="137"/>
  <c r="H38" i="137"/>
  <c r="H42" i="137"/>
  <c r="G22" i="137"/>
  <c r="G36" i="137"/>
  <c r="G38" i="137"/>
  <c r="G42" i="137"/>
  <c r="F22" i="137"/>
  <c r="F36" i="137"/>
  <c r="F38" i="137"/>
  <c r="F42" i="137"/>
  <c r="E22" i="137"/>
  <c r="E36" i="137"/>
  <c r="E38" i="137"/>
  <c r="E42" i="137"/>
  <c r="D22" i="137"/>
  <c r="D36" i="137"/>
  <c r="D38" i="137"/>
  <c r="D42" i="137"/>
  <c r="C22" i="137"/>
  <c r="C36" i="137"/>
  <c r="C38" i="137"/>
  <c r="C42" i="137"/>
  <c r="A42" i="137"/>
  <c r="Q41" i="137"/>
  <c r="P41" i="137"/>
  <c r="O41" i="137"/>
  <c r="N41" i="137"/>
  <c r="A41" i="137"/>
  <c r="A40" i="137"/>
  <c r="Q39" i="137"/>
  <c r="P39" i="137"/>
  <c r="O39" i="137"/>
  <c r="N39" i="137"/>
  <c r="A39" i="137"/>
  <c r="K22" i="137"/>
  <c r="K36" i="137"/>
  <c r="K38" i="137"/>
  <c r="J22" i="137"/>
  <c r="J36" i="137"/>
  <c r="J38" i="137"/>
  <c r="N43" i="137"/>
  <c r="O43" i="299"/>
  <c r="N43" i="299"/>
  <c r="A43" i="299"/>
  <c r="Q42" i="299"/>
  <c r="P42" i="299"/>
  <c r="A38" i="137"/>
  <c r="M36" i="137"/>
  <c r="L36" i="137"/>
  <c r="A36" i="137"/>
  <c r="Q35" i="137"/>
  <c r="P35" i="137"/>
  <c r="O35" i="137"/>
  <c r="N35" i="137"/>
  <c r="A35" i="137"/>
  <c r="A34" i="137"/>
  <c r="A33" i="137"/>
  <c r="A32" i="137"/>
  <c r="Q31" i="137"/>
  <c r="P31" i="137"/>
  <c r="O31" i="137"/>
  <c r="N31" i="137"/>
  <c r="A31" i="137"/>
  <c r="A30" i="137"/>
  <c r="A29" i="137"/>
  <c r="A28" i="137"/>
  <c r="Q27" i="137"/>
  <c r="P27" i="137"/>
  <c r="O27" i="137"/>
  <c r="N27" i="137"/>
  <c r="A27" i="137"/>
  <c r="Q26" i="137"/>
  <c r="P26" i="137"/>
  <c r="O26" i="137"/>
  <c r="N26" i="137"/>
  <c r="A26" i="137"/>
  <c r="A25" i="137"/>
  <c r="A24" i="137"/>
  <c r="M22" i="137"/>
  <c r="L22" i="137"/>
  <c r="A22" i="137"/>
  <c r="Q21" i="137"/>
  <c r="P21" i="137"/>
  <c r="O21" i="137"/>
  <c r="N21" i="137"/>
  <c r="A21" i="137"/>
  <c r="A20" i="137"/>
  <c r="Q19" i="137"/>
  <c r="P19" i="137"/>
  <c r="O19" i="137"/>
  <c r="N19" i="137"/>
  <c r="A19" i="137"/>
  <c r="Q18" i="137"/>
  <c r="P18" i="137"/>
  <c r="O18" i="137"/>
  <c r="N18" i="137"/>
  <c r="A18" i="137"/>
  <c r="Q17" i="137"/>
  <c r="P17" i="137"/>
  <c r="O17" i="137"/>
  <c r="N17" i="137"/>
  <c r="A17" i="137"/>
  <c r="Q16" i="137"/>
  <c r="P16" i="137"/>
  <c r="O16" i="137"/>
  <c r="N16" i="137"/>
  <c r="A16" i="137"/>
  <c r="Q15" i="137"/>
  <c r="P15" i="137"/>
  <c r="O15" i="137"/>
  <c r="N15" i="137"/>
  <c r="A15" i="137"/>
  <c r="Q14" i="137"/>
  <c r="P14" i="137"/>
  <c r="O14" i="137"/>
  <c r="N14" i="137"/>
  <c r="A14" i="137"/>
  <c r="Q13" i="137"/>
  <c r="P13" i="137"/>
  <c r="O13" i="137"/>
  <c r="N13" i="137"/>
  <c r="A13" i="137"/>
  <c r="Q12" i="137"/>
  <c r="P12" i="137"/>
  <c r="O12" i="137"/>
  <c r="N12" i="137"/>
  <c r="A12" i="137"/>
  <c r="Q11" i="137"/>
  <c r="P11" i="137"/>
  <c r="O11" i="137"/>
  <c r="N11" i="137"/>
  <c r="A11" i="137"/>
  <c r="A10" i="137"/>
  <c r="A9" i="137"/>
  <c r="A8" i="137"/>
  <c r="A7" i="137"/>
  <c r="Q6" i="137"/>
  <c r="P6" i="137"/>
  <c r="O6" i="137"/>
  <c r="N6" i="137"/>
  <c r="A6" i="137"/>
  <c r="A5" i="137"/>
  <c r="A4" i="137"/>
  <c r="B2" i="137"/>
  <c r="A2" i="137"/>
  <c r="A43" i="148"/>
  <c r="K36" i="148"/>
  <c r="H36" i="148"/>
  <c r="K37" i="148"/>
  <c r="J36" i="148"/>
  <c r="G36" i="148"/>
  <c r="J37" i="148"/>
  <c r="I36" i="148"/>
  <c r="F36" i="148"/>
  <c r="I37" i="148"/>
  <c r="E36" i="148"/>
  <c r="H37" i="148"/>
  <c r="D36" i="148"/>
  <c r="G37" i="148"/>
  <c r="C36" i="148"/>
  <c r="F37" i="148"/>
  <c r="K20" i="148"/>
  <c r="J20" i="148"/>
  <c r="I20" i="148"/>
  <c r="H20" i="148"/>
  <c r="G20" i="148"/>
  <c r="F20" i="148"/>
  <c r="E20" i="148"/>
  <c r="D20" i="148"/>
  <c r="C20" i="148"/>
  <c r="K10" i="148"/>
  <c r="J10" i="148"/>
  <c r="I10" i="148"/>
  <c r="H10" i="148"/>
  <c r="G10" i="148"/>
  <c r="F10" i="148"/>
  <c r="E10" i="148"/>
  <c r="D10" i="148"/>
  <c r="C10" i="148"/>
  <c r="B2" i="148"/>
  <c r="A59" i="145"/>
  <c r="G55" i="145"/>
  <c r="F55" i="145"/>
  <c r="E55" i="145"/>
  <c r="D55" i="145"/>
  <c r="C55" i="145"/>
  <c r="I54" i="145"/>
  <c r="I53" i="145"/>
  <c r="I52" i="145"/>
  <c r="I51" i="145"/>
  <c r="I50" i="145"/>
  <c r="I49" i="145"/>
  <c r="I48" i="145"/>
  <c r="I47" i="145"/>
  <c r="I46" i="145"/>
  <c r="I45" i="145"/>
  <c r="I44" i="145"/>
  <c r="I43" i="145"/>
  <c r="I42" i="145"/>
  <c r="I41" i="145"/>
  <c r="I40" i="145"/>
  <c r="I39" i="145"/>
  <c r="G35" i="145"/>
  <c r="F35" i="145"/>
  <c r="E35" i="145"/>
  <c r="D35" i="145"/>
  <c r="C35" i="145"/>
  <c r="A35" i="145"/>
  <c r="I34" i="145"/>
  <c r="I33" i="145"/>
  <c r="I32" i="145"/>
  <c r="I31" i="145"/>
  <c r="I30" i="145"/>
  <c r="I29" i="145"/>
  <c r="I28" i="145"/>
  <c r="I27" i="145"/>
  <c r="I26" i="145"/>
  <c r="I25" i="145"/>
  <c r="I24" i="145"/>
  <c r="I23" i="145"/>
  <c r="I22" i="145"/>
  <c r="I19" i="145"/>
  <c r="I18" i="145"/>
  <c r="I17" i="145"/>
  <c r="I16" i="145"/>
  <c r="I15" i="145"/>
  <c r="I14" i="145"/>
  <c r="I5" i="145"/>
  <c r="I6" i="145"/>
  <c r="I7" i="145"/>
  <c r="I8" i="145"/>
  <c r="I9" i="145"/>
  <c r="I10" i="145"/>
  <c r="I11" i="145"/>
  <c r="F11" i="145"/>
  <c r="E11" i="145"/>
  <c r="D11" i="145"/>
  <c r="C11" i="145"/>
  <c r="A11" i="145"/>
  <c r="B2" i="145"/>
  <c r="A105" i="146"/>
  <c r="E13" i="146"/>
  <c r="E29" i="146"/>
  <c r="E45" i="146"/>
  <c r="E48" i="146"/>
  <c r="E65" i="146"/>
  <c r="E81" i="146"/>
  <c r="E97" i="146"/>
  <c r="E100" i="146"/>
  <c r="E102" i="146"/>
  <c r="D13" i="146"/>
  <c r="D29" i="146"/>
  <c r="D45" i="146"/>
  <c r="D48" i="146"/>
  <c r="D65" i="146"/>
  <c r="D81" i="146"/>
  <c r="D97" i="146"/>
  <c r="D100" i="146"/>
  <c r="D102" i="146"/>
  <c r="E103" i="146"/>
  <c r="C13" i="146"/>
  <c r="C29" i="146"/>
  <c r="C45" i="146"/>
  <c r="C48" i="146"/>
  <c r="C65" i="146"/>
  <c r="C81" i="146"/>
  <c r="C97" i="146"/>
  <c r="C100" i="146"/>
  <c r="C102" i="146"/>
  <c r="D103" i="146"/>
  <c r="B103" i="146"/>
  <c r="A103" i="146"/>
  <c r="I35" i="145"/>
  <c r="I55" i="145"/>
  <c r="I57" i="145"/>
  <c r="G57" i="145"/>
  <c r="F57" i="145"/>
  <c r="E57" i="145"/>
  <c r="D57" i="145"/>
  <c r="C57" i="145"/>
  <c r="K65" i="146"/>
  <c r="K81" i="146"/>
  <c r="K97" i="146"/>
  <c r="K100" i="146"/>
  <c r="J65" i="146"/>
  <c r="J81" i="146"/>
  <c r="J97" i="146"/>
  <c r="J100" i="146"/>
  <c r="I65" i="146"/>
  <c r="I81" i="146"/>
  <c r="I97" i="146"/>
  <c r="I100" i="146"/>
  <c r="H65" i="146"/>
  <c r="H81" i="146"/>
  <c r="H97" i="146"/>
  <c r="H100" i="146"/>
  <c r="G65" i="146"/>
  <c r="G81" i="146"/>
  <c r="G97" i="146"/>
  <c r="G100" i="146"/>
  <c r="F65" i="146"/>
  <c r="F81" i="146"/>
  <c r="F97" i="146"/>
  <c r="F100" i="146"/>
  <c r="K98" i="146"/>
  <c r="J98" i="146"/>
  <c r="I98" i="146"/>
  <c r="H98" i="146"/>
  <c r="G98" i="146"/>
  <c r="F98" i="146"/>
  <c r="E98" i="146"/>
  <c r="D98" i="146"/>
  <c r="B98" i="146"/>
  <c r="A98" i="146"/>
  <c r="K82" i="146"/>
  <c r="J82" i="146"/>
  <c r="I82" i="146"/>
  <c r="H82" i="146"/>
  <c r="G82" i="146"/>
  <c r="F82" i="146"/>
  <c r="E82" i="146"/>
  <c r="D82" i="146"/>
  <c r="B82" i="146"/>
  <c r="A82" i="146"/>
  <c r="K66" i="146"/>
  <c r="J66" i="146"/>
  <c r="I66" i="146"/>
  <c r="H66" i="146"/>
  <c r="G66" i="146"/>
  <c r="F66" i="146"/>
  <c r="E66" i="146"/>
  <c r="D66" i="146"/>
  <c r="B66" i="146"/>
  <c r="A66" i="146"/>
  <c r="E49" i="146"/>
  <c r="D49" i="146"/>
  <c r="B46" i="146"/>
  <c r="A46" i="146"/>
  <c r="K45" i="146"/>
  <c r="J45" i="146"/>
  <c r="I45" i="146"/>
  <c r="H45" i="146"/>
  <c r="G45" i="146"/>
  <c r="F45" i="146"/>
  <c r="E30" i="146"/>
  <c r="D30" i="146"/>
  <c r="B30" i="146"/>
  <c r="A30" i="146"/>
  <c r="K29" i="146"/>
  <c r="J29" i="146"/>
  <c r="I29" i="146"/>
  <c r="H29" i="146"/>
  <c r="G29" i="146"/>
  <c r="F29" i="146"/>
  <c r="F30" i="146"/>
  <c r="E14" i="146"/>
  <c r="D14" i="146"/>
  <c r="K13" i="146"/>
  <c r="J13" i="146"/>
  <c r="I13" i="146"/>
  <c r="H6" i="146"/>
  <c r="H13" i="146"/>
  <c r="G6" i="146"/>
  <c r="G13" i="146"/>
  <c r="F13" i="146"/>
  <c r="H3" i="146"/>
  <c r="G3" i="146"/>
  <c r="F3" i="146"/>
  <c r="E3" i="146"/>
  <c r="D3" i="146"/>
  <c r="C3" i="146"/>
  <c r="B2" i="146"/>
  <c r="A67" i="305"/>
  <c r="L9" i="305"/>
  <c r="L15" i="305"/>
  <c r="L21" i="305"/>
  <c r="L27" i="305"/>
  <c r="L33" i="305"/>
  <c r="L34" i="305"/>
  <c r="L40" i="305"/>
  <c r="L46" i="305"/>
  <c r="L52" i="305"/>
  <c r="L58" i="305"/>
  <c r="L64" i="305"/>
  <c r="L65" i="305"/>
  <c r="L66" i="305"/>
  <c r="K9" i="305"/>
  <c r="K15" i="305"/>
  <c r="K21" i="305"/>
  <c r="K27" i="305"/>
  <c r="K33" i="305"/>
  <c r="K34" i="305"/>
  <c r="K40" i="305"/>
  <c r="K46" i="305"/>
  <c r="K52" i="305"/>
  <c r="K58" i="305"/>
  <c r="K64" i="305"/>
  <c r="K65" i="305"/>
  <c r="K66" i="305"/>
  <c r="J9" i="305"/>
  <c r="J15" i="305"/>
  <c r="J21" i="305"/>
  <c r="J27" i="305"/>
  <c r="J33" i="305"/>
  <c r="J34" i="305"/>
  <c r="J40" i="305"/>
  <c r="J46" i="305"/>
  <c r="J52" i="305"/>
  <c r="J58" i="305"/>
  <c r="J64" i="305"/>
  <c r="J65" i="305"/>
  <c r="J66" i="305"/>
  <c r="I9" i="305"/>
  <c r="I15" i="305"/>
  <c r="I21" i="305"/>
  <c r="I27" i="305"/>
  <c r="I33" i="305"/>
  <c r="I34" i="305"/>
  <c r="I40" i="305"/>
  <c r="I46" i="305"/>
  <c r="I52" i="305"/>
  <c r="I58" i="305"/>
  <c r="I64" i="305"/>
  <c r="I65" i="305"/>
  <c r="I66" i="305"/>
  <c r="H9" i="305"/>
  <c r="H15" i="305"/>
  <c r="H21" i="305"/>
  <c r="H27" i="305"/>
  <c r="H33" i="305"/>
  <c r="H34" i="305"/>
  <c r="H40" i="305"/>
  <c r="H46" i="305"/>
  <c r="H52" i="305"/>
  <c r="H58" i="305"/>
  <c r="H64" i="305"/>
  <c r="H65" i="305"/>
  <c r="H66" i="305"/>
  <c r="G9" i="305"/>
  <c r="G15" i="305"/>
  <c r="G21" i="305"/>
  <c r="G27" i="305"/>
  <c r="G33" i="305"/>
  <c r="G34" i="305"/>
  <c r="G40" i="305"/>
  <c r="G46" i="305"/>
  <c r="G52" i="305"/>
  <c r="G58" i="305"/>
  <c r="G64" i="305"/>
  <c r="G65" i="305"/>
  <c r="G66" i="305"/>
  <c r="F9" i="305"/>
  <c r="F15" i="305"/>
  <c r="F21" i="305"/>
  <c r="F27" i="305"/>
  <c r="F33" i="305"/>
  <c r="F34" i="305"/>
  <c r="F40" i="305"/>
  <c r="F46" i="305"/>
  <c r="F52" i="305"/>
  <c r="F58" i="305"/>
  <c r="F64" i="305"/>
  <c r="F65" i="305"/>
  <c r="F66" i="305"/>
  <c r="E9" i="305"/>
  <c r="E15" i="305"/>
  <c r="E21" i="305"/>
  <c r="E27" i="305"/>
  <c r="E33" i="305"/>
  <c r="E34" i="305"/>
  <c r="E40" i="305"/>
  <c r="E46" i="305"/>
  <c r="E52" i="305"/>
  <c r="E58" i="305"/>
  <c r="E64" i="305"/>
  <c r="E65" i="305"/>
  <c r="E66" i="305"/>
  <c r="D9" i="305"/>
  <c r="D15" i="305"/>
  <c r="D21" i="305"/>
  <c r="D27" i="305"/>
  <c r="D33" i="305"/>
  <c r="D34" i="305"/>
  <c r="D40" i="305"/>
  <c r="D46" i="305"/>
  <c r="D52" i="305"/>
  <c r="D58" i="305"/>
  <c r="D64" i="305"/>
  <c r="D65" i="305"/>
  <c r="D66" i="305"/>
  <c r="C9" i="305"/>
  <c r="C15" i="305"/>
  <c r="C21" i="305"/>
  <c r="C27" i="305"/>
  <c r="C33" i="305"/>
  <c r="C34" i="305"/>
  <c r="C40" i="305"/>
  <c r="C46" i="305"/>
  <c r="C52" i="305"/>
  <c r="C58" i="305"/>
  <c r="C64" i="305"/>
  <c r="C65" i="305"/>
  <c r="C66" i="305"/>
  <c r="A61" i="305"/>
  <c r="A55" i="305"/>
  <c r="A49" i="305"/>
  <c r="A43" i="305"/>
  <c r="A30" i="305"/>
  <c r="A18" i="305"/>
  <c r="A12" i="305"/>
  <c r="H30" i="146"/>
  <c r="G30" i="146"/>
  <c r="I104" i="146"/>
  <c r="H104" i="146"/>
  <c r="G104" i="146"/>
  <c r="F104" i="146"/>
  <c r="E104" i="146"/>
  <c r="D104" i="146"/>
  <c r="C104" i="146"/>
  <c r="K104" i="146"/>
  <c r="J104" i="146"/>
  <c r="K46" i="146"/>
  <c r="J46" i="146"/>
  <c r="I46" i="146"/>
  <c r="H46" i="146"/>
  <c r="G46" i="146"/>
  <c r="F46" i="146"/>
  <c r="E46" i="146"/>
  <c r="D46" i="146"/>
  <c r="K30" i="146"/>
  <c r="J30" i="146"/>
  <c r="I48" i="146"/>
  <c r="I102" i="146"/>
  <c r="I30" i="146"/>
  <c r="K14" i="146"/>
  <c r="J14" i="146"/>
  <c r="I14" i="146"/>
  <c r="H14" i="146"/>
  <c r="G14" i="146"/>
  <c r="F14" i="146"/>
  <c r="K48" i="146"/>
  <c r="K102" i="146"/>
  <c r="H48" i="146"/>
  <c r="G48" i="146"/>
  <c r="J48" i="146"/>
  <c r="I3" i="305"/>
  <c r="H3" i="305"/>
  <c r="G3" i="305"/>
  <c r="F3" i="305"/>
  <c r="E3" i="305"/>
  <c r="D3" i="305"/>
  <c r="C3" i="305"/>
  <c r="B2" i="305"/>
  <c r="A2" i="305"/>
  <c r="A54" i="316"/>
  <c r="K26" i="316"/>
  <c r="K50" i="316"/>
  <c r="K53" i="316"/>
  <c r="J26" i="316"/>
  <c r="J50" i="316"/>
  <c r="J53" i="316"/>
  <c r="I26" i="316"/>
  <c r="I50" i="316"/>
  <c r="I53" i="316"/>
  <c r="H26" i="316"/>
  <c r="H50" i="316"/>
  <c r="H53" i="316"/>
  <c r="G26" i="316"/>
  <c r="G50" i="316"/>
  <c r="G53" i="316"/>
  <c r="F26" i="316"/>
  <c r="F50" i="316"/>
  <c r="F53" i="316"/>
  <c r="E26" i="316"/>
  <c r="E50" i="316"/>
  <c r="E53" i="316"/>
  <c r="D26" i="316"/>
  <c r="D50" i="316"/>
  <c r="D53" i="316"/>
  <c r="C26" i="316"/>
  <c r="C50" i="316"/>
  <c r="C53" i="316"/>
  <c r="K47" i="316"/>
  <c r="J47" i="316"/>
  <c r="I47" i="316"/>
  <c r="H47" i="316"/>
  <c r="G47" i="316"/>
  <c r="F47" i="316"/>
  <c r="E47" i="316"/>
  <c r="D47" i="316"/>
  <c r="C47" i="316"/>
  <c r="A37" i="316"/>
  <c r="A47" i="316"/>
  <c r="A36" i="316"/>
  <c r="A46" i="316"/>
  <c r="A45" i="316"/>
  <c r="A38" i="316"/>
  <c r="A43" i="316"/>
  <c r="K42" i="316"/>
  <c r="J42" i="316"/>
  <c r="I42" i="316"/>
  <c r="H42" i="316"/>
  <c r="G42" i="316"/>
  <c r="F42" i="316"/>
  <c r="E42" i="316"/>
  <c r="D42" i="316"/>
  <c r="C42" i="316"/>
  <c r="A42" i="316"/>
  <c r="A41" i="316"/>
  <c r="A40" i="316"/>
  <c r="K37" i="316"/>
  <c r="J37" i="316"/>
  <c r="J32" i="316"/>
  <c r="J49" i="316"/>
  <c r="I37" i="316"/>
  <c r="H37" i="316"/>
  <c r="G37" i="316"/>
  <c r="F37" i="316"/>
  <c r="E37" i="316"/>
  <c r="D37" i="316"/>
  <c r="C37" i="316"/>
  <c r="K32" i="316"/>
  <c r="K49" i="316"/>
  <c r="I32" i="316"/>
  <c r="H32" i="316"/>
  <c r="G32" i="316"/>
  <c r="F32" i="316"/>
  <c r="E32" i="316"/>
  <c r="D32" i="316"/>
  <c r="C32" i="316"/>
  <c r="K23" i="316"/>
  <c r="J23" i="316"/>
  <c r="I23" i="316"/>
  <c r="H23" i="316"/>
  <c r="G23" i="316"/>
  <c r="F23" i="316"/>
  <c r="E23" i="316"/>
  <c r="D23" i="316"/>
  <c r="C23" i="316"/>
  <c r="A13" i="316"/>
  <c r="A23" i="316"/>
  <c r="A12" i="316"/>
  <c r="A22" i="316"/>
  <c r="A21" i="316"/>
  <c r="A14" i="316"/>
  <c r="A19" i="316"/>
  <c r="K18" i="316"/>
  <c r="J18" i="316"/>
  <c r="I18" i="316"/>
  <c r="H18" i="316"/>
  <c r="G18" i="316"/>
  <c r="F18" i="316"/>
  <c r="E18" i="316"/>
  <c r="D18" i="316"/>
  <c r="C18" i="316"/>
  <c r="A18" i="316"/>
  <c r="A17" i="316"/>
  <c r="A16" i="316"/>
  <c r="K13" i="316"/>
  <c r="J13" i="316"/>
  <c r="I13" i="316"/>
  <c r="H13" i="316"/>
  <c r="G13" i="316"/>
  <c r="F13" i="316"/>
  <c r="E13" i="316"/>
  <c r="D13" i="316"/>
  <c r="C13" i="316"/>
  <c r="K8" i="316"/>
  <c r="K25" i="316"/>
  <c r="K59" i="316"/>
  <c r="J8" i="316"/>
  <c r="I8" i="316"/>
  <c r="I25" i="316"/>
  <c r="H8" i="316"/>
  <c r="G8" i="316"/>
  <c r="F8" i="316"/>
  <c r="E8" i="316"/>
  <c r="E25" i="316"/>
  <c r="D8" i="316"/>
  <c r="C8" i="316"/>
  <c r="C25" i="316"/>
  <c r="A24" i="316"/>
  <c r="A5" i="316"/>
  <c r="H3" i="316"/>
  <c r="G3" i="316"/>
  <c r="F3" i="316"/>
  <c r="E3" i="316"/>
  <c r="D3" i="316"/>
  <c r="C3" i="316"/>
  <c r="B2" i="316"/>
  <c r="A2" i="316"/>
  <c r="A53" i="249"/>
  <c r="C35" i="249"/>
  <c r="C42" i="249"/>
  <c r="C44" i="249"/>
  <c r="C47" i="249"/>
  <c r="C50" i="249"/>
  <c r="A48" i="249"/>
  <c r="K47" i="249"/>
  <c r="J47" i="249"/>
  <c r="I47" i="249"/>
  <c r="H47" i="249"/>
  <c r="G47" i="249"/>
  <c r="F47" i="249"/>
  <c r="E47" i="249"/>
  <c r="D47" i="249"/>
  <c r="A47" i="136"/>
  <c r="A47" i="249"/>
  <c r="A45" i="136"/>
  <c r="A45" i="249"/>
  <c r="K44" i="249"/>
  <c r="J44" i="249"/>
  <c r="I44" i="249"/>
  <c r="H44" i="249"/>
  <c r="G44" i="249"/>
  <c r="F44" i="249"/>
  <c r="E44" i="249"/>
  <c r="D44" i="249"/>
  <c r="A44" i="136"/>
  <c r="A44" i="249"/>
  <c r="A43" i="249"/>
  <c r="K42" i="249"/>
  <c r="J42" i="249"/>
  <c r="I42" i="249"/>
  <c r="H42" i="249"/>
  <c r="G42" i="249"/>
  <c r="F42" i="249"/>
  <c r="E42" i="249"/>
  <c r="D42" i="249"/>
  <c r="A42" i="136"/>
  <c r="A42" i="249"/>
  <c r="E41" i="249"/>
  <c r="A41" i="249"/>
  <c r="A40" i="249"/>
  <c r="A39" i="249"/>
  <c r="A38" i="249"/>
  <c r="A37" i="249"/>
  <c r="A36" i="249"/>
  <c r="K35" i="249"/>
  <c r="J35" i="249"/>
  <c r="I35" i="249"/>
  <c r="H35" i="249"/>
  <c r="G35" i="249"/>
  <c r="F35" i="249"/>
  <c r="E35" i="249"/>
  <c r="D35" i="249"/>
  <c r="A35" i="136"/>
  <c r="A35" i="249"/>
  <c r="H7" i="249"/>
  <c r="H19" i="249"/>
  <c r="H26" i="249"/>
  <c r="H29" i="249"/>
  <c r="H32" i="249"/>
  <c r="G7" i="249"/>
  <c r="G19" i="249"/>
  <c r="G26" i="249"/>
  <c r="G29" i="249"/>
  <c r="G32" i="249"/>
  <c r="F7" i="249"/>
  <c r="F19" i="249"/>
  <c r="F26" i="249"/>
  <c r="F29" i="249"/>
  <c r="F32" i="249"/>
  <c r="E7" i="249"/>
  <c r="E19" i="249"/>
  <c r="E26" i="249"/>
  <c r="E29" i="249"/>
  <c r="E32" i="249"/>
  <c r="D7" i="249"/>
  <c r="D19" i="249"/>
  <c r="D26" i="249"/>
  <c r="D31" i="249"/>
  <c r="D29" i="249"/>
  <c r="D32" i="249"/>
  <c r="C7" i="249"/>
  <c r="C19" i="249"/>
  <c r="C26" i="249"/>
  <c r="C29" i="249"/>
  <c r="C32" i="249"/>
  <c r="A30" i="249"/>
  <c r="K29" i="249"/>
  <c r="J29" i="249"/>
  <c r="I29" i="249"/>
  <c r="A29" i="249"/>
  <c r="A27" i="249"/>
  <c r="K26" i="249"/>
  <c r="J26" i="249"/>
  <c r="I26" i="249"/>
  <c r="A26" i="249"/>
  <c r="A25" i="249"/>
  <c r="A23" i="249"/>
  <c r="A22" i="249"/>
  <c r="A21" i="249"/>
  <c r="A20" i="249"/>
  <c r="K19" i="249"/>
  <c r="K7" i="249"/>
  <c r="K32" i="249"/>
  <c r="J19" i="249"/>
  <c r="I19" i="249"/>
  <c r="A19" i="249"/>
  <c r="A18" i="249"/>
  <c r="A13" i="249"/>
  <c r="A12" i="249"/>
  <c r="A11" i="249"/>
  <c r="A10" i="249"/>
  <c r="A9" i="249"/>
  <c r="A8" i="249"/>
  <c r="J7" i="249"/>
  <c r="J32" i="249"/>
  <c r="I7" i="249"/>
  <c r="I32" i="249"/>
  <c r="A7" i="249"/>
  <c r="H3" i="249"/>
  <c r="G3" i="249"/>
  <c r="F3" i="249"/>
  <c r="E3" i="249"/>
  <c r="D3" i="249"/>
  <c r="C3" i="249"/>
  <c r="B2" i="249"/>
  <c r="A2" i="249"/>
  <c r="A52" i="136"/>
  <c r="F7" i="136"/>
  <c r="F19" i="136"/>
  <c r="F26" i="136"/>
  <c r="F29" i="136"/>
  <c r="F32" i="136"/>
  <c r="F35" i="136"/>
  <c r="F42" i="136"/>
  <c r="F44" i="136"/>
  <c r="F47" i="136"/>
  <c r="F50" i="136"/>
  <c r="F51" i="136"/>
  <c r="E7" i="136"/>
  <c r="E19" i="136"/>
  <c r="E26" i="136"/>
  <c r="E29" i="136"/>
  <c r="E32" i="136"/>
  <c r="E35" i="136"/>
  <c r="E42" i="136"/>
  <c r="E44" i="136"/>
  <c r="E47" i="136"/>
  <c r="E50" i="136"/>
  <c r="E51" i="136"/>
  <c r="D7" i="136"/>
  <c r="D19" i="136"/>
  <c r="D26" i="136"/>
  <c r="D31" i="136"/>
  <c r="D29" i="136"/>
  <c r="D32" i="136"/>
  <c r="D35" i="136"/>
  <c r="D42" i="136"/>
  <c r="D44" i="136"/>
  <c r="D47" i="136"/>
  <c r="D50" i="136"/>
  <c r="D51" i="136"/>
  <c r="C7" i="136"/>
  <c r="C19" i="136"/>
  <c r="C26" i="136"/>
  <c r="C29" i="136"/>
  <c r="C32" i="136"/>
  <c r="C35" i="136"/>
  <c r="C42" i="136"/>
  <c r="C44" i="136"/>
  <c r="C47" i="136"/>
  <c r="C50" i="136"/>
  <c r="C51" i="136"/>
  <c r="K47" i="136"/>
  <c r="J47" i="136"/>
  <c r="I47" i="136"/>
  <c r="H47" i="136"/>
  <c r="G47" i="136"/>
  <c r="K44" i="136"/>
  <c r="J44" i="136"/>
  <c r="I44" i="136"/>
  <c r="H44" i="136"/>
  <c r="G44" i="136"/>
  <c r="K42" i="136"/>
  <c r="J42" i="136"/>
  <c r="I42" i="136"/>
  <c r="H42" i="136"/>
  <c r="G42" i="136"/>
  <c r="K35" i="136"/>
  <c r="J35" i="136"/>
  <c r="I35" i="136"/>
  <c r="I50" i="136"/>
  <c r="H35" i="136"/>
  <c r="H50" i="136"/>
  <c r="G35" i="136"/>
  <c r="G50" i="136"/>
  <c r="H7" i="136"/>
  <c r="H19" i="136"/>
  <c r="H26" i="136"/>
  <c r="H29" i="136"/>
  <c r="H32" i="136"/>
  <c r="G7" i="136"/>
  <c r="G19" i="136"/>
  <c r="G26" i="136"/>
  <c r="G29" i="136"/>
  <c r="G32" i="136"/>
  <c r="K29" i="136"/>
  <c r="J29" i="136"/>
  <c r="I29" i="136"/>
  <c r="K26" i="136"/>
  <c r="J26" i="136"/>
  <c r="I26" i="136"/>
  <c r="B23" i="136"/>
  <c r="B22" i="136"/>
  <c r="B21" i="136"/>
  <c r="B20" i="136"/>
  <c r="K19" i="136"/>
  <c r="J19" i="136"/>
  <c r="I19" i="136"/>
  <c r="B13" i="136"/>
  <c r="B12" i="136"/>
  <c r="B11" i="136"/>
  <c r="B10" i="136"/>
  <c r="B9" i="136"/>
  <c r="B8" i="136"/>
  <c r="K7" i="136"/>
  <c r="J7" i="136"/>
  <c r="I7" i="136"/>
  <c r="I32" i="136"/>
  <c r="H3" i="136"/>
  <c r="G3" i="136"/>
  <c r="F3" i="136"/>
  <c r="E3" i="136"/>
  <c r="D3" i="136"/>
  <c r="C3" i="136"/>
  <c r="B2" i="136"/>
  <c r="A2" i="136"/>
  <c r="A69" i="144"/>
  <c r="K50" i="144"/>
  <c r="K65" i="144"/>
  <c r="K67" i="144"/>
  <c r="J50" i="144"/>
  <c r="J65" i="144"/>
  <c r="J67" i="144"/>
  <c r="I50" i="144"/>
  <c r="I65" i="144"/>
  <c r="I67" i="144"/>
  <c r="H50" i="144"/>
  <c r="H65" i="144"/>
  <c r="H67" i="144"/>
  <c r="G50" i="144"/>
  <c r="G65" i="144"/>
  <c r="G67" i="144"/>
  <c r="F50" i="144"/>
  <c r="F65" i="144"/>
  <c r="F67" i="144"/>
  <c r="E50" i="144"/>
  <c r="E65" i="144"/>
  <c r="E67" i="144"/>
  <c r="D50" i="144"/>
  <c r="D65" i="144"/>
  <c r="D67" i="144"/>
  <c r="C50" i="144"/>
  <c r="C65" i="144"/>
  <c r="C67" i="144"/>
  <c r="A64" i="144"/>
  <c r="A63" i="144"/>
  <c r="A62" i="144"/>
  <c r="A61" i="144"/>
  <c r="A60" i="144"/>
  <c r="A59" i="144"/>
  <c r="A58" i="144"/>
  <c r="A57" i="144"/>
  <c r="A56" i="144"/>
  <c r="A55" i="144"/>
  <c r="A54" i="144"/>
  <c r="A53" i="144"/>
  <c r="K17" i="144"/>
  <c r="K32" i="144"/>
  <c r="K34" i="144"/>
  <c r="J17" i="144"/>
  <c r="J32" i="144"/>
  <c r="J34" i="144"/>
  <c r="I49" i="316"/>
  <c r="H49" i="316"/>
  <c r="G49" i="316"/>
  <c r="F49" i="316"/>
  <c r="E49" i="316"/>
  <c r="F25" i="316"/>
  <c r="D25" i="316"/>
  <c r="H25" i="316"/>
  <c r="G25" i="316"/>
  <c r="I59" i="316"/>
  <c r="J25" i="316"/>
  <c r="J52" i="316"/>
  <c r="K52" i="316"/>
  <c r="I50" i="249"/>
  <c r="H50" i="249"/>
  <c r="G50" i="249"/>
  <c r="F50" i="249"/>
  <c r="E50" i="249"/>
  <c r="D50" i="249"/>
  <c r="J50" i="136"/>
  <c r="K50" i="136"/>
  <c r="K32" i="136"/>
  <c r="J32" i="136"/>
  <c r="J51" i="136"/>
  <c r="I51" i="136"/>
  <c r="H51" i="136"/>
  <c r="G51" i="136"/>
  <c r="H102" i="146"/>
  <c r="F48" i="146"/>
  <c r="G102" i="146"/>
  <c r="I49" i="146"/>
  <c r="H49" i="146"/>
  <c r="A29" i="316"/>
  <c r="J102" i="146"/>
  <c r="J49" i="146"/>
  <c r="K49" i="146"/>
  <c r="I17" i="144"/>
  <c r="I32" i="144"/>
  <c r="I34" i="144"/>
  <c r="H17" i="144"/>
  <c r="H32" i="144"/>
  <c r="H34" i="144"/>
  <c r="G17" i="144"/>
  <c r="G32" i="144"/>
  <c r="G34" i="144"/>
  <c r="F17" i="144"/>
  <c r="F32" i="144"/>
  <c r="F34" i="144"/>
  <c r="E17" i="144"/>
  <c r="E32" i="144"/>
  <c r="E34" i="144"/>
  <c r="D17" i="144"/>
  <c r="D32" i="144"/>
  <c r="D34" i="144"/>
  <c r="C17" i="144"/>
  <c r="C32" i="144"/>
  <c r="C34" i="144"/>
  <c r="A31" i="144"/>
  <c r="A30" i="144"/>
  <c r="A29" i="144"/>
  <c r="A28" i="144"/>
  <c r="A27" i="144"/>
  <c r="A26" i="144"/>
  <c r="A25" i="144"/>
  <c r="A24" i="144"/>
  <c r="A23" i="144"/>
  <c r="A22" i="144"/>
  <c r="A21" i="144"/>
  <c r="A20" i="144"/>
  <c r="H3" i="144"/>
  <c r="G3" i="144"/>
  <c r="F3" i="144"/>
  <c r="E3" i="144"/>
  <c r="D3" i="144"/>
  <c r="C3" i="144"/>
  <c r="B2" i="144"/>
  <c r="A86" i="143"/>
  <c r="L72" i="143"/>
  <c r="L82" i="143"/>
  <c r="L84" i="143"/>
  <c r="K72" i="143"/>
  <c r="K82" i="143"/>
  <c r="K84" i="143"/>
  <c r="B2" i="143"/>
  <c r="A34" i="142"/>
  <c r="K17" i="142"/>
  <c r="K30" i="142"/>
  <c r="K32" i="142"/>
  <c r="J17" i="142"/>
  <c r="J30" i="142"/>
  <c r="J32" i="142"/>
  <c r="I17" i="142"/>
  <c r="I30" i="142"/>
  <c r="I32" i="142"/>
  <c r="H8" i="142"/>
  <c r="H17" i="142"/>
  <c r="H30" i="142"/>
  <c r="H32" i="142"/>
  <c r="G17" i="142"/>
  <c r="G30" i="142"/>
  <c r="G32" i="142"/>
  <c r="F8" i="142"/>
  <c r="F17" i="142"/>
  <c r="F30" i="142"/>
  <c r="F32" i="142"/>
  <c r="E17" i="142"/>
  <c r="E30" i="142"/>
  <c r="E32" i="142"/>
  <c r="D17" i="142"/>
  <c r="D30" i="142"/>
  <c r="D32" i="142"/>
  <c r="C17" i="142"/>
  <c r="C30" i="142"/>
  <c r="C32" i="142"/>
  <c r="A28" i="142"/>
  <c r="A27" i="142"/>
  <c r="A26" i="142"/>
  <c r="A25" i="142"/>
  <c r="A24" i="142"/>
  <c r="A23" i="142"/>
  <c r="A22" i="142"/>
  <c r="A21" i="142"/>
  <c r="A20" i="142"/>
  <c r="H3" i="142"/>
  <c r="G3" i="142"/>
  <c r="F3" i="142"/>
  <c r="E3" i="142"/>
  <c r="D3" i="142"/>
  <c r="C3" i="142"/>
  <c r="B2" i="142"/>
  <c r="A50" i="337"/>
  <c r="L45" i="337"/>
  <c r="L47" i="337"/>
  <c r="K45" i="337"/>
  <c r="K47" i="337"/>
  <c r="L48" i="337"/>
  <c r="J45" i="337"/>
  <c r="J47" i="337"/>
  <c r="K48" i="337"/>
  <c r="H45" i="337"/>
  <c r="H47" i="337"/>
  <c r="J48" i="337"/>
  <c r="G45" i="337"/>
  <c r="G47" i="337"/>
  <c r="H48" i="337"/>
  <c r="F45" i="337"/>
  <c r="F47" i="337"/>
  <c r="G48" i="337"/>
  <c r="E45" i="337"/>
  <c r="E47" i="337"/>
  <c r="F48" i="337"/>
  <c r="D45" i="337"/>
  <c r="D47" i="337"/>
  <c r="E48" i="337"/>
  <c r="C45" i="337"/>
  <c r="C47" i="337"/>
  <c r="D48" i="337"/>
  <c r="A48" i="337"/>
  <c r="I47" i="337"/>
  <c r="A46" i="337"/>
  <c r="I45" i="337"/>
  <c r="A45" i="337"/>
  <c r="A44" i="337"/>
  <c r="A43" i="337"/>
  <c r="A42" i="337"/>
  <c r="A41" i="337"/>
  <c r="A40" i="337"/>
  <c r="A39" i="337"/>
  <c r="A38" i="337"/>
  <c r="A37" i="337"/>
  <c r="A36" i="337"/>
  <c r="H30" i="337"/>
  <c r="H32" i="337"/>
  <c r="G30" i="337"/>
  <c r="G32" i="337"/>
  <c r="H33" i="337"/>
  <c r="F30" i="337"/>
  <c r="F31" i="337"/>
  <c r="F32" i="337"/>
  <c r="G33" i="337"/>
  <c r="H34" i="337"/>
  <c r="E30" i="337"/>
  <c r="E32" i="337"/>
  <c r="F33" i="337"/>
  <c r="G34" i="337"/>
  <c r="D30" i="337"/>
  <c r="D32" i="337"/>
  <c r="E33" i="337"/>
  <c r="F34" i="337"/>
  <c r="I52" i="316"/>
  <c r="H52" i="316"/>
  <c r="D49" i="316"/>
  <c r="C49" i="316"/>
  <c r="E70" i="126"/>
  <c r="E60" i="316"/>
  <c r="G52" i="316"/>
  <c r="F52" i="316"/>
  <c r="E52" i="316"/>
  <c r="D59" i="316"/>
  <c r="C59" i="316"/>
  <c r="J59" i="316"/>
  <c r="H59" i="316"/>
  <c r="G59" i="316"/>
  <c r="F59" i="316"/>
  <c r="E59" i="316"/>
  <c r="I52" i="249"/>
  <c r="H52" i="249"/>
  <c r="G52" i="249"/>
  <c r="F52" i="249"/>
  <c r="E52" i="249"/>
  <c r="D52" i="249"/>
  <c r="C52" i="249"/>
  <c r="K50" i="249"/>
  <c r="K51" i="136"/>
  <c r="F102" i="146"/>
  <c r="F103" i="146"/>
  <c r="F49" i="146"/>
  <c r="G49" i="146"/>
  <c r="J103" i="146"/>
  <c r="I103" i="146"/>
  <c r="H103" i="146"/>
  <c r="K103" i="146"/>
  <c r="C30" i="337"/>
  <c r="C32" i="337"/>
  <c r="D33" i="337"/>
  <c r="E34" i="337"/>
  <c r="L30" i="337"/>
  <c r="L32" i="337"/>
  <c r="K30" i="337"/>
  <c r="K32" i="337"/>
  <c r="L33" i="337"/>
  <c r="J30" i="337"/>
  <c r="J32" i="337"/>
  <c r="K33" i="337"/>
  <c r="J33" i="337"/>
  <c r="D70" i="126"/>
  <c r="D60" i="316"/>
  <c r="C70" i="126"/>
  <c r="C60" i="316"/>
  <c r="A48" i="316"/>
  <c r="C52" i="316"/>
  <c r="D52" i="316"/>
  <c r="J50" i="249"/>
  <c r="J52" i="249"/>
  <c r="K52" i="249"/>
  <c r="G103" i="146"/>
  <c r="I32" i="337"/>
  <c r="A31" i="337"/>
  <c r="I30" i="337"/>
  <c r="A30" i="337"/>
  <c r="A29" i="337"/>
  <c r="A28" i="337"/>
  <c r="A27" i="337"/>
  <c r="A26" i="337"/>
  <c r="A25" i="337"/>
  <c r="A24" i="337"/>
  <c r="A23" i="337"/>
  <c r="A22" i="337"/>
  <c r="A21" i="337"/>
  <c r="L15" i="337"/>
  <c r="L17" i="337"/>
  <c r="K15" i="337"/>
  <c r="K17" i="337"/>
  <c r="L18" i="337"/>
  <c r="J15" i="337"/>
  <c r="J17" i="337"/>
  <c r="K18" i="337"/>
  <c r="H15" i="337"/>
  <c r="H17" i="337"/>
  <c r="J18" i="337"/>
  <c r="G15" i="337"/>
  <c r="G17" i="337"/>
  <c r="H18" i="337"/>
  <c r="F15" i="337"/>
  <c r="F17" i="337"/>
  <c r="G18" i="337"/>
  <c r="E15" i="337"/>
  <c r="E17" i="337"/>
  <c r="F18" i="337"/>
  <c r="D15" i="337"/>
  <c r="D17" i="337"/>
  <c r="E18" i="337"/>
  <c r="C15" i="337"/>
  <c r="C17" i="337"/>
  <c r="D18" i="337"/>
  <c r="I17" i="337"/>
  <c r="I15" i="337"/>
  <c r="H3" i="337"/>
  <c r="G3" i="337"/>
  <c r="F3" i="337"/>
  <c r="E3" i="337"/>
  <c r="D3" i="337"/>
  <c r="C3" i="337"/>
  <c r="B2" i="337"/>
  <c r="A2" i="337"/>
  <c r="A90" i="361"/>
  <c r="I63" i="361"/>
  <c r="J63" i="361"/>
  <c r="S41" i="361"/>
  <c r="S40" i="361"/>
  <c r="B2" i="361"/>
  <c r="A2" i="361"/>
  <c r="A50" i="360"/>
  <c r="S40" i="360"/>
  <c r="S39" i="360"/>
  <c r="B2" i="360"/>
  <c r="A2" i="360"/>
  <c r="A50" i="335"/>
  <c r="S40" i="335"/>
  <c r="S39" i="335"/>
  <c r="B2" i="335"/>
  <c r="A2" i="335"/>
  <c r="F103" i="100"/>
  <c r="A71" i="336"/>
  <c r="A65" i="336"/>
  <c r="K63" i="336"/>
  <c r="J63" i="336"/>
  <c r="I63" i="336"/>
  <c r="H63" i="336"/>
  <c r="G63" i="336"/>
  <c r="F63" i="336"/>
  <c r="E63" i="336"/>
  <c r="D63" i="336"/>
  <c r="C63" i="336"/>
  <c r="K37" i="336"/>
  <c r="J37" i="336"/>
  <c r="I37" i="336"/>
  <c r="H37" i="336"/>
  <c r="G37" i="336"/>
  <c r="F37" i="336"/>
  <c r="E37" i="336"/>
  <c r="D37" i="336"/>
  <c r="C37" i="336"/>
  <c r="I19" i="336"/>
  <c r="J19" i="336"/>
  <c r="K19" i="336"/>
  <c r="I18" i="336"/>
  <c r="J18" i="336"/>
  <c r="K18" i="336"/>
  <c r="H3" i="336"/>
  <c r="G3" i="336"/>
  <c r="F3" i="336"/>
  <c r="E3" i="336"/>
  <c r="D3" i="336"/>
  <c r="C3" i="336"/>
  <c r="B2" i="336"/>
  <c r="A2" i="336"/>
  <c r="A137" i="123"/>
  <c r="K120" i="123"/>
  <c r="L82" i="255"/>
  <c r="K82" i="255"/>
  <c r="M98" i="123"/>
  <c r="J82" i="255"/>
  <c r="L98" i="123"/>
  <c r="K98" i="123"/>
  <c r="J98" i="123"/>
  <c r="I98" i="123"/>
  <c r="H98" i="123"/>
  <c r="G98" i="123"/>
  <c r="F98" i="123"/>
  <c r="E98" i="123"/>
  <c r="J38" i="131"/>
  <c r="K89" i="123"/>
  <c r="M84" i="123"/>
  <c r="L84" i="123"/>
  <c r="K84" i="123"/>
  <c r="A84" i="123"/>
  <c r="M82" i="123"/>
  <c r="L82" i="123"/>
  <c r="K82" i="123"/>
  <c r="M76" i="123"/>
  <c r="L76" i="123"/>
  <c r="K76" i="123"/>
  <c r="M68" i="123"/>
  <c r="L68" i="123"/>
  <c r="K68" i="123"/>
  <c r="B57" i="123"/>
  <c r="M56" i="123"/>
  <c r="L56" i="123"/>
  <c r="K56" i="123"/>
  <c r="J56" i="123"/>
  <c r="I56" i="123"/>
  <c r="H56" i="123"/>
  <c r="G56" i="123"/>
  <c r="F56" i="123"/>
  <c r="E56" i="123"/>
  <c r="D56" i="123"/>
  <c r="L6" i="131"/>
  <c r="M53" i="123"/>
  <c r="L53" i="123"/>
  <c r="K53" i="123"/>
  <c r="J53" i="123"/>
  <c r="I53" i="123"/>
  <c r="H53" i="123"/>
  <c r="G53" i="123"/>
  <c r="F53" i="123"/>
  <c r="E53" i="123"/>
  <c r="D53" i="123"/>
  <c r="M51" i="123"/>
  <c r="L51" i="123"/>
  <c r="K51" i="123"/>
  <c r="J51" i="123"/>
  <c r="I51" i="123"/>
  <c r="H51" i="123"/>
  <c r="G51" i="123"/>
  <c r="F51" i="123"/>
  <c r="E51" i="123"/>
  <c r="D51" i="123"/>
  <c r="A51" i="123"/>
  <c r="M50" i="123"/>
  <c r="L50" i="123"/>
  <c r="M42" i="123"/>
  <c r="K50" i="123"/>
  <c r="J50" i="123"/>
  <c r="I50" i="123"/>
  <c r="H50" i="123"/>
  <c r="G50" i="123"/>
  <c r="F50" i="123"/>
  <c r="E50" i="123"/>
  <c r="F42" i="123"/>
  <c r="D50" i="123"/>
  <c r="J42" i="123"/>
  <c r="I42" i="123"/>
  <c r="A42" i="123"/>
  <c r="A41" i="123"/>
  <c r="A40" i="123"/>
  <c r="K42" i="123"/>
  <c r="E42" i="123"/>
  <c r="H42" i="123"/>
  <c r="G42" i="123"/>
  <c r="L42" i="123"/>
  <c r="A39" i="123"/>
  <c r="A38" i="123"/>
  <c r="A20" i="123"/>
  <c r="B18" i="123"/>
  <c r="M16" i="123"/>
  <c r="L16" i="123"/>
  <c r="K16" i="123"/>
  <c r="J16" i="123"/>
  <c r="I16" i="123"/>
  <c r="H16" i="123"/>
  <c r="G16" i="123"/>
  <c r="F16" i="123"/>
  <c r="E16" i="123"/>
  <c r="M14" i="123"/>
  <c r="L14" i="123"/>
  <c r="K14" i="123"/>
  <c r="L12" i="131"/>
  <c r="L15" i="131"/>
  <c r="L25" i="131"/>
  <c r="L34" i="131"/>
  <c r="L36" i="131"/>
  <c r="K37" i="131"/>
  <c r="K38" i="131"/>
  <c r="L37" i="131"/>
  <c r="L38" i="131"/>
  <c r="M5" i="123"/>
  <c r="L5" i="123"/>
  <c r="K5" i="123"/>
  <c r="I37" i="131"/>
  <c r="I38" i="131"/>
  <c r="J5" i="123"/>
  <c r="H37" i="131"/>
  <c r="H38" i="131"/>
  <c r="I5" i="123"/>
  <c r="G38" i="131"/>
  <c r="H5" i="123"/>
  <c r="C38" i="131"/>
  <c r="D37" i="131"/>
  <c r="D38" i="131"/>
  <c r="E37" i="131"/>
  <c r="E38" i="131"/>
  <c r="F37" i="131"/>
  <c r="F38" i="131"/>
  <c r="G5" i="123"/>
  <c r="F5" i="123"/>
  <c r="E5" i="123"/>
  <c r="D5" i="123"/>
  <c r="A5" i="123"/>
  <c r="J3" i="123"/>
  <c r="I3" i="123"/>
  <c r="H3" i="123"/>
  <c r="G3" i="123"/>
  <c r="F3" i="123"/>
  <c r="E3" i="123"/>
  <c r="D3" i="123"/>
  <c r="C2" i="123"/>
  <c r="A2" i="123"/>
  <c r="A248" i="235"/>
  <c r="M238" i="235"/>
  <c r="M244" i="235"/>
  <c r="M245" i="235"/>
  <c r="L238" i="235"/>
  <c r="L244" i="235"/>
  <c r="L245" i="235"/>
  <c r="K238" i="235"/>
  <c r="K244" i="235"/>
  <c r="K245" i="235"/>
  <c r="J238" i="235"/>
  <c r="J244" i="235"/>
  <c r="J245" i="235"/>
  <c r="I238" i="235"/>
  <c r="I244" i="235"/>
  <c r="I245" i="235"/>
  <c r="H238" i="235"/>
  <c r="H244" i="235"/>
  <c r="H245" i="235"/>
  <c r="G238" i="235"/>
  <c r="G244" i="235"/>
  <c r="G245" i="235"/>
  <c r="F238" i="235"/>
  <c r="F244" i="235"/>
  <c r="F245" i="235"/>
  <c r="E238" i="235"/>
  <c r="E244" i="235"/>
  <c r="E245" i="235"/>
  <c r="M230" i="235"/>
  <c r="M234" i="235"/>
  <c r="M235" i="235"/>
  <c r="L230" i="235"/>
  <c r="L234" i="235"/>
  <c r="L235" i="235"/>
  <c r="K230" i="235"/>
  <c r="K234" i="235"/>
  <c r="K235" i="235"/>
  <c r="J230" i="235"/>
  <c r="J234" i="235"/>
  <c r="J235" i="235"/>
  <c r="I230" i="235"/>
  <c r="I234" i="235"/>
  <c r="I235" i="235"/>
  <c r="H230" i="235"/>
  <c r="H234" i="235"/>
  <c r="H235" i="235"/>
  <c r="G230" i="235"/>
  <c r="G234" i="235"/>
  <c r="G235" i="235"/>
  <c r="F230" i="235"/>
  <c r="F234" i="235"/>
  <c r="F235" i="235"/>
  <c r="E230" i="235"/>
  <c r="E234" i="235"/>
  <c r="E235" i="235"/>
  <c r="M221" i="235"/>
  <c r="M225" i="235"/>
  <c r="M226" i="235"/>
  <c r="L221" i="235"/>
  <c r="L225" i="235"/>
  <c r="L226" i="235"/>
  <c r="K221" i="235"/>
  <c r="K225" i="235"/>
  <c r="K226" i="235"/>
  <c r="J221" i="235"/>
  <c r="J225" i="235"/>
  <c r="J226" i="235"/>
  <c r="I221" i="235"/>
  <c r="I225" i="235"/>
  <c r="I226" i="235"/>
  <c r="H221" i="235"/>
  <c r="H225" i="235"/>
  <c r="H226" i="235"/>
  <c r="G221" i="235"/>
  <c r="G225" i="235"/>
  <c r="G226" i="235"/>
  <c r="F221" i="235"/>
  <c r="F225" i="235"/>
  <c r="F226" i="235"/>
  <c r="E221" i="235"/>
  <c r="E225" i="235"/>
  <c r="E226" i="235"/>
  <c r="M209" i="235"/>
  <c r="M213" i="235"/>
  <c r="M214" i="235"/>
  <c r="L209" i="235"/>
  <c r="L213" i="235"/>
  <c r="L214" i="235"/>
  <c r="K209" i="235"/>
  <c r="K213" i="235"/>
  <c r="K214" i="235"/>
  <c r="J209" i="235"/>
  <c r="J213" i="235"/>
  <c r="J214" i="235"/>
  <c r="I209" i="235"/>
  <c r="I213" i="235"/>
  <c r="I214" i="235"/>
  <c r="H209" i="235"/>
  <c r="H213" i="235"/>
  <c r="H214" i="235"/>
  <c r="G209" i="235"/>
  <c r="G213" i="235"/>
  <c r="G214" i="235"/>
  <c r="F209" i="235"/>
  <c r="F213" i="235"/>
  <c r="F214" i="235"/>
  <c r="E209" i="235"/>
  <c r="E213" i="235"/>
  <c r="E214" i="235"/>
  <c r="J202" i="235"/>
  <c r="I202" i="235"/>
  <c r="H202" i="235"/>
  <c r="G202" i="235"/>
  <c r="F202" i="235"/>
  <c r="E202" i="235"/>
  <c r="K192" i="235"/>
  <c r="K198" i="235"/>
  <c r="K199" i="235"/>
  <c r="J192" i="235"/>
  <c r="J198" i="235"/>
  <c r="J199" i="235"/>
  <c r="I192" i="235"/>
  <c r="I198" i="235"/>
  <c r="I199" i="235"/>
  <c r="H192" i="235"/>
  <c r="H198" i="235"/>
  <c r="H199" i="235"/>
  <c r="G192" i="235"/>
  <c r="G198" i="235"/>
  <c r="G199" i="235"/>
  <c r="F192" i="235"/>
  <c r="F198" i="235"/>
  <c r="F199" i="235"/>
  <c r="E192" i="235"/>
  <c r="E198" i="235"/>
  <c r="E199" i="235"/>
  <c r="M198" i="235"/>
  <c r="L198" i="235"/>
  <c r="M192" i="235"/>
  <c r="L192" i="235"/>
  <c r="M184" i="235"/>
  <c r="M188" i="235"/>
  <c r="M189" i="235"/>
  <c r="L184" i="235"/>
  <c r="L188" i="235"/>
  <c r="L189" i="235"/>
  <c r="K184" i="235"/>
  <c r="K188" i="235"/>
  <c r="K189" i="235"/>
  <c r="J184" i="235"/>
  <c r="J188" i="235"/>
  <c r="J189" i="235"/>
  <c r="I184" i="235"/>
  <c r="I188" i="235"/>
  <c r="I189" i="235"/>
  <c r="H184" i="235"/>
  <c r="H188" i="235"/>
  <c r="H189" i="235"/>
  <c r="G184" i="235"/>
  <c r="G188" i="235"/>
  <c r="G189" i="235"/>
  <c r="F184" i="235"/>
  <c r="F188" i="235"/>
  <c r="F189" i="235"/>
  <c r="E184" i="235"/>
  <c r="E188" i="235"/>
  <c r="E189" i="235"/>
  <c r="M175" i="235"/>
  <c r="M179" i="235"/>
  <c r="M180" i="235"/>
  <c r="L175" i="235"/>
  <c r="L179" i="235"/>
  <c r="L180" i="235"/>
  <c r="K175" i="235"/>
  <c r="K179" i="235"/>
  <c r="K180" i="235"/>
  <c r="J175" i="235"/>
  <c r="J179" i="235"/>
  <c r="J180" i="235"/>
  <c r="I175" i="235"/>
  <c r="I179" i="235"/>
  <c r="I180" i="235"/>
  <c r="H175" i="235"/>
  <c r="H179" i="235"/>
  <c r="H180" i="235"/>
  <c r="G175" i="235"/>
  <c r="G179" i="235"/>
  <c r="G180" i="235"/>
  <c r="F175" i="235"/>
  <c r="F179" i="235"/>
  <c r="F180" i="235"/>
  <c r="E175" i="235"/>
  <c r="E179" i="235"/>
  <c r="E180" i="235"/>
  <c r="M163" i="235"/>
  <c r="M167" i="235"/>
  <c r="M168" i="235"/>
  <c r="L163" i="235"/>
  <c r="L167" i="235"/>
  <c r="L168" i="235"/>
  <c r="K163" i="235"/>
  <c r="K167" i="235"/>
  <c r="K168" i="235"/>
  <c r="J163" i="235"/>
  <c r="J167" i="235"/>
  <c r="J168" i="235"/>
  <c r="I163" i="235"/>
  <c r="I167" i="235"/>
  <c r="I168" i="235"/>
  <c r="H163" i="235"/>
  <c r="H167" i="235"/>
  <c r="H168" i="235"/>
  <c r="G163" i="235"/>
  <c r="G167" i="235"/>
  <c r="G168" i="235"/>
  <c r="F163" i="235"/>
  <c r="F167" i="235"/>
  <c r="F168" i="235"/>
  <c r="E163" i="235"/>
  <c r="E167" i="235"/>
  <c r="E168" i="235"/>
  <c r="J156" i="235"/>
  <c r="I156" i="235"/>
  <c r="H156" i="235"/>
  <c r="G156" i="235"/>
  <c r="F156" i="235"/>
  <c r="E156" i="235"/>
  <c r="J146" i="235"/>
  <c r="J152" i="235"/>
  <c r="J153" i="235"/>
  <c r="I146" i="235"/>
  <c r="I152" i="235"/>
  <c r="I153" i="235"/>
  <c r="H146" i="235"/>
  <c r="H152" i="235"/>
  <c r="H153" i="235"/>
  <c r="G146" i="235"/>
  <c r="G152" i="235"/>
  <c r="G153" i="235"/>
  <c r="F146" i="235"/>
  <c r="F152" i="235"/>
  <c r="F153" i="235"/>
  <c r="E146" i="235"/>
  <c r="E152" i="235"/>
  <c r="E153" i="235"/>
  <c r="M152" i="235"/>
  <c r="L152" i="235"/>
  <c r="K152" i="235"/>
  <c r="M146" i="235"/>
  <c r="L146" i="235"/>
  <c r="K146" i="235"/>
  <c r="M138" i="235"/>
  <c r="M142" i="235"/>
  <c r="M143" i="235"/>
  <c r="L138" i="235"/>
  <c r="L142" i="235"/>
  <c r="L143" i="235"/>
  <c r="K138" i="235"/>
  <c r="K142" i="235"/>
  <c r="K143" i="235"/>
  <c r="J138" i="235"/>
  <c r="J142" i="235"/>
  <c r="J143" i="235"/>
  <c r="I138" i="235"/>
  <c r="I142" i="235"/>
  <c r="I143" i="235"/>
  <c r="H138" i="235"/>
  <c r="H142" i="235"/>
  <c r="H143" i="235"/>
  <c r="G138" i="235"/>
  <c r="G142" i="235"/>
  <c r="G143" i="235"/>
  <c r="F138" i="235"/>
  <c r="F142" i="235"/>
  <c r="F143" i="235"/>
  <c r="E138" i="235"/>
  <c r="E142" i="235"/>
  <c r="E143" i="235"/>
  <c r="M129" i="235"/>
  <c r="M133" i="235"/>
  <c r="M134" i="235"/>
  <c r="L129" i="235"/>
  <c r="L133" i="235"/>
  <c r="L134" i="235"/>
  <c r="K129" i="235"/>
  <c r="K133" i="235"/>
  <c r="K134" i="235"/>
  <c r="J129" i="235"/>
  <c r="J133" i="235"/>
  <c r="J134" i="235"/>
  <c r="I129" i="235"/>
  <c r="I133" i="235"/>
  <c r="I134" i="235"/>
  <c r="H129" i="235"/>
  <c r="H133" i="235"/>
  <c r="H134" i="235"/>
  <c r="G129" i="235"/>
  <c r="G133" i="235"/>
  <c r="G134" i="235"/>
  <c r="F129" i="235"/>
  <c r="F133" i="235"/>
  <c r="F134" i="235"/>
  <c r="E129" i="235"/>
  <c r="E133" i="235"/>
  <c r="E134" i="235"/>
  <c r="M117" i="235"/>
  <c r="M121" i="235"/>
  <c r="M122" i="235"/>
  <c r="L117" i="235"/>
  <c r="L121" i="235"/>
  <c r="L122" i="235"/>
  <c r="K117" i="235"/>
  <c r="K121" i="235"/>
  <c r="K122" i="235"/>
  <c r="J117" i="235"/>
  <c r="J121" i="235"/>
  <c r="J122" i="235"/>
  <c r="I117" i="235"/>
  <c r="I121" i="235"/>
  <c r="I122" i="235"/>
  <c r="H117" i="235"/>
  <c r="H121" i="235"/>
  <c r="H122" i="235"/>
  <c r="G117" i="235"/>
  <c r="G121" i="235"/>
  <c r="G122" i="235"/>
  <c r="F117" i="235"/>
  <c r="F121" i="235"/>
  <c r="F122" i="235"/>
  <c r="E117" i="235"/>
  <c r="E121" i="235"/>
  <c r="E122" i="235"/>
  <c r="J110" i="235"/>
  <c r="I110" i="235"/>
  <c r="H110" i="235"/>
  <c r="G110" i="235"/>
  <c r="F110" i="235"/>
  <c r="E110" i="235"/>
  <c r="M100" i="235"/>
  <c r="M106" i="235"/>
  <c r="M107" i="235"/>
  <c r="L100" i="235"/>
  <c r="L106" i="235"/>
  <c r="L107" i="235"/>
  <c r="K100" i="235"/>
  <c r="K106" i="235"/>
  <c r="K107" i="235"/>
  <c r="J100" i="235"/>
  <c r="J106" i="235"/>
  <c r="J107" i="235"/>
  <c r="I100" i="235"/>
  <c r="I106" i="235"/>
  <c r="I107" i="235"/>
  <c r="H100" i="235"/>
  <c r="H106" i="235"/>
  <c r="H107" i="235"/>
  <c r="G100" i="235"/>
  <c r="G106" i="235"/>
  <c r="G107" i="235"/>
  <c r="F100" i="235"/>
  <c r="F106" i="235"/>
  <c r="F107" i="235"/>
  <c r="E100" i="235"/>
  <c r="E106" i="235"/>
  <c r="E107" i="235"/>
  <c r="M92" i="235"/>
  <c r="M96" i="235"/>
  <c r="M97" i="235"/>
  <c r="L92" i="235"/>
  <c r="L96" i="235"/>
  <c r="L97" i="235"/>
  <c r="K92" i="235"/>
  <c r="K96" i="235"/>
  <c r="K97" i="235"/>
  <c r="J92" i="235"/>
  <c r="J96" i="235"/>
  <c r="J97" i="235"/>
  <c r="I92" i="235"/>
  <c r="I96" i="235"/>
  <c r="I97" i="235"/>
  <c r="H92" i="235"/>
  <c r="H96" i="235"/>
  <c r="H97" i="235"/>
  <c r="G92" i="235"/>
  <c r="G96" i="235"/>
  <c r="G97" i="235"/>
  <c r="F92" i="235"/>
  <c r="F96" i="235"/>
  <c r="F97" i="235"/>
  <c r="E92" i="235"/>
  <c r="E96" i="235"/>
  <c r="E97" i="235"/>
  <c r="M83" i="235"/>
  <c r="M87" i="235"/>
  <c r="M88" i="235"/>
  <c r="L83" i="235"/>
  <c r="L87" i="235"/>
  <c r="L88" i="235"/>
  <c r="K83" i="235"/>
  <c r="K87" i="235"/>
  <c r="K88" i="235"/>
  <c r="J83" i="235"/>
  <c r="J87" i="235"/>
  <c r="J88" i="235"/>
  <c r="I83" i="235"/>
  <c r="I87" i="235"/>
  <c r="I88" i="235"/>
  <c r="H83" i="235"/>
  <c r="H87" i="235"/>
  <c r="H88" i="235"/>
  <c r="G83" i="235"/>
  <c r="G87" i="235"/>
  <c r="G88" i="235"/>
  <c r="F83" i="235"/>
  <c r="F87" i="235"/>
  <c r="F88" i="235"/>
  <c r="E83" i="235"/>
  <c r="E87" i="235"/>
  <c r="E88" i="235"/>
  <c r="M71" i="235"/>
  <c r="M75" i="235"/>
  <c r="M76" i="235"/>
  <c r="L71" i="235"/>
  <c r="L75" i="235"/>
  <c r="L76" i="235"/>
  <c r="K71" i="235"/>
  <c r="K75" i="235"/>
  <c r="K76" i="235"/>
  <c r="J71" i="235"/>
  <c r="J75" i="235"/>
  <c r="J76" i="235"/>
  <c r="I71" i="235"/>
  <c r="I75" i="235"/>
  <c r="I76" i="235"/>
  <c r="H71" i="235"/>
  <c r="H75" i="235"/>
  <c r="H76" i="235"/>
  <c r="G71" i="235"/>
  <c r="G75" i="235"/>
  <c r="G76" i="235"/>
  <c r="F71" i="235"/>
  <c r="F75" i="235"/>
  <c r="F76" i="235"/>
  <c r="E71" i="235"/>
  <c r="E75" i="235"/>
  <c r="E76" i="235"/>
  <c r="J64" i="235"/>
  <c r="I64" i="235"/>
  <c r="H64" i="235"/>
  <c r="G64" i="235"/>
  <c r="F64" i="235"/>
  <c r="E64" i="235"/>
  <c r="M45" i="235"/>
  <c r="L45" i="235"/>
  <c r="K45" i="235"/>
  <c r="J45" i="235"/>
  <c r="I45" i="235"/>
  <c r="H45" i="235"/>
  <c r="G45" i="235"/>
  <c r="F45" i="235"/>
  <c r="E45" i="235"/>
  <c r="D45" i="235"/>
  <c r="M41" i="235"/>
  <c r="L41" i="235"/>
  <c r="K41" i="235"/>
  <c r="J41" i="235"/>
  <c r="I41" i="235"/>
  <c r="H41" i="235"/>
  <c r="G41" i="235"/>
  <c r="F41" i="235"/>
  <c r="E41" i="235"/>
  <c r="D41" i="235"/>
  <c r="M3" i="235"/>
  <c r="L3" i="235"/>
  <c r="K3" i="235"/>
  <c r="J3" i="235"/>
  <c r="I3" i="235"/>
  <c r="H3" i="235"/>
  <c r="G3" i="235"/>
  <c r="E2" i="235"/>
  <c r="D2" i="235"/>
  <c r="L45" i="88"/>
  <c r="K45" i="88"/>
  <c r="J45" i="88"/>
  <c r="I45" i="88"/>
  <c r="H45" i="88"/>
  <c r="G45" i="88"/>
  <c r="F45" i="88"/>
  <c r="E45" i="88"/>
  <c r="D45" i="88"/>
  <c r="C45" i="88"/>
  <c r="L43" i="88"/>
  <c r="K43" i="88"/>
  <c r="J43" i="88"/>
  <c r="I43" i="88"/>
  <c r="H43" i="88"/>
  <c r="G43" i="88"/>
  <c r="F43" i="88"/>
  <c r="E43" i="88"/>
  <c r="D43" i="88"/>
  <c r="A36" i="88"/>
  <c r="L23" i="88"/>
  <c r="K23" i="88"/>
  <c r="J23" i="88"/>
  <c r="I23" i="88"/>
  <c r="H23" i="88"/>
  <c r="G23" i="88"/>
  <c r="F35" i="128"/>
  <c r="F23" i="88"/>
  <c r="E23" i="88"/>
  <c r="D23" i="88"/>
  <c r="C23" i="88"/>
  <c r="I3" i="88"/>
  <c r="H3" i="88"/>
  <c r="G3" i="88"/>
  <c r="F3" i="88"/>
  <c r="E3" i="88"/>
  <c r="D3" i="88"/>
  <c r="C3" i="88"/>
  <c r="A84" i="147"/>
  <c r="A80" i="147"/>
  <c r="H74" i="147"/>
  <c r="G74" i="147"/>
  <c r="F74" i="147"/>
  <c r="E74" i="147"/>
  <c r="D74" i="147"/>
  <c r="C74" i="147"/>
  <c r="A73" i="147"/>
  <c r="H3" i="147"/>
  <c r="G3" i="147"/>
  <c r="F3" i="147"/>
  <c r="E3" i="147"/>
  <c r="D3" i="147"/>
  <c r="C3" i="147"/>
  <c r="A132" i="314"/>
  <c r="M131" i="314"/>
  <c r="L64" i="314"/>
  <c r="L131" i="314"/>
  <c r="K64" i="314"/>
  <c r="K131" i="314"/>
  <c r="J131" i="314"/>
  <c r="I131" i="314"/>
  <c r="H131" i="314"/>
  <c r="G131" i="314"/>
  <c r="F131" i="314"/>
  <c r="E131" i="314"/>
  <c r="J3" i="314"/>
  <c r="I3" i="314"/>
  <c r="H3" i="314"/>
  <c r="G3" i="314"/>
  <c r="F3" i="314"/>
  <c r="E3" i="314"/>
  <c r="D2" i="314"/>
  <c r="A127" i="315"/>
  <c r="A126" i="315"/>
  <c r="M125" i="315"/>
  <c r="L125" i="315"/>
  <c r="K125" i="315"/>
  <c r="J125" i="315"/>
  <c r="I125" i="315"/>
  <c r="H125" i="315"/>
  <c r="G125" i="315"/>
  <c r="F125" i="315"/>
  <c r="E125" i="315"/>
  <c r="A125" i="315"/>
  <c r="J3" i="315"/>
  <c r="I3" i="315"/>
  <c r="H3" i="315"/>
  <c r="G3" i="315"/>
  <c r="F3" i="315"/>
  <c r="E3" i="315"/>
  <c r="D2" i="315"/>
  <c r="A124" i="141"/>
  <c r="A123" i="141"/>
  <c r="M122" i="141"/>
  <c r="L122" i="141"/>
  <c r="K122" i="141"/>
  <c r="J122" i="141"/>
  <c r="I122" i="141"/>
  <c r="H122" i="141"/>
  <c r="G122" i="141"/>
  <c r="F122" i="141"/>
  <c r="E122" i="141"/>
  <c r="A122" i="141"/>
  <c r="J3" i="141"/>
  <c r="I3" i="141"/>
  <c r="H3" i="141"/>
  <c r="G3" i="141"/>
  <c r="F3" i="141"/>
  <c r="E3" i="141"/>
  <c r="D2" i="141"/>
  <c r="I82" i="128"/>
  <c r="H82" i="128"/>
  <c r="G82" i="128"/>
  <c r="F82" i="128"/>
  <c r="E82" i="128"/>
  <c r="D82" i="128"/>
  <c r="C82" i="128"/>
  <c r="A77" i="128"/>
  <c r="A76" i="128"/>
  <c r="A70" i="128"/>
  <c r="J64" i="128"/>
  <c r="K64" i="128"/>
  <c r="L64" i="128"/>
  <c r="J65" i="128"/>
  <c r="K65" i="128"/>
  <c r="L65" i="128"/>
  <c r="J66" i="128"/>
  <c r="K66" i="128"/>
  <c r="L66" i="128"/>
  <c r="L69" i="128"/>
  <c r="K69" i="128"/>
  <c r="J69" i="128"/>
  <c r="I69" i="128"/>
  <c r="H69" i="128"/>
  <c r="G69" i="128"/>
  <c r="F65" i="128"/>
  <c r="F69" i="128"/>
  <c r="E69" i="128"/>
  <c r="D69" i="128"/>
  <c r="C69" i="128"/>
  <c r="K61" i="128"/>
  <c r="E61" i="128"/>
  <c r="D61" i="128"/>
  <c r="C61" i="128"/>
  <c r="J60" i="128"/>
  <c r="F59" i="128"/>
  <c r="C59" i="128"/>
  <c r="C58" i="128"/>
  <c r="A57" i="128"/>
  <c r="I56" i="128"/>
  <c r="H56" i="128"/>
  <c r="G56" i="128"/>
  <c r="F54" i="128"/>
  <c r="F56" i="128"/>
  <c r="E56" i="128"/>
  <c r="C56" i="128"/>
  <c r="A53" i="128"/>
  <c r="J46" i="128"/>
  <c r="K46" i="128"/>
  <c r="L46" i="128"/>
  <c r="J48" i="128"/>
  <c r="K48" i="128"/>
  <c r="L48" i="128"/>
  <c r="L50" i="128"/>
  <c r="K50" i="128"/>
  <c r="J50" i="128"/>
  <c r="I50" i="128"/>
  <c r="H50" i="128"/>
  <c r="G50" i="128"/>
  <c r="F50" i="128"/>
  <c r="E50" i="128"/>
  <c r="D50" i="128"/>
  <c r="C50" i="128"/>
  <c r="A45" i="128"/>
  <c r="L43" i="128"/>
  <c r="K43" i="128"/>
  <c r="J43" i="128"/>
  <c r="I43" i="128"/>
  <c r="H43" i="128"/>
  <c r="G43" i="128"/>
  <c r="F43" i="128"/>
  <c r="E43" i="128"/>
  <c r="D43" i="128"/>
  <c r="C43" i="128"/>
  <c r="A40" i="128"/>
  <c r="J37" i="128"/>
  <c r="K37" i="128"/>
  <c r="L37" i="128"/>
  <c r="L38" i="128"/>
  <c r="K38" i="128"/>
  <c r="J38" i="128"/>
  <c r="I38" i="128"/>
  <c r="H38" i="128"/>
  <c r="G38" i="128"/>
  <c r="F37" i="128"/>
  <c r="F38" i="128"/>
  <c r="E38" i="128"/>
  <c r="D38" i="128"/>
  <c r="C38" i="128"/>
  <c r="A43" i="128"/>
  <c r="A50" i="128"/>
  <c r="A34" i="128"/>
  <c r="A38" i="128"/>
  <c r="L31" i="128"/>
  <c r="L32" i="128"/>
  <c r="K31" i="128"/>
  <c r="K32" i="128"/>
  <c r="J31" i="128"/>
  <c r="J32" i="128"/>
  <c r="I32" i="128"/>
  <c r="H32" i="128"/>
  <c r="G32" i="128"/>
  <c r="F32" i="128"/>
  <c r="E32" i="128"/>
  <c r="D32" i="128"/>
  <c r="C32" i="128"/>
  <c r="A29" i="128"/>
  <c r="A32" i="128"/>
  <c r="L23" i="128"/>
  <c r="L25" i="128"/>
  <c r="L26" i="128"/>
  <c r="K23" i="128"/>
  <c r="K26" i="128"/>
  <c r="J23" i="128"/>
  <c r="J26" i="128"/>
  <c r="I23" i="128"/>
  <c r="I26" i="128"/>
  <c r="H23" i="128"/>
  <c r="H26" i="128"/>
  <c r="G26" i="128"/>
  <c r="F26" i="128"/>
  <c r="E25" i="128"/>
  <c r="E26" i="128"/>
  <c r="D26" i="128"/>
  <c r="C26" i="128"/>
  <c r="A22" i="128"/>
  <c r="E20" i="128"/>
  <c r="I17" i="128"/>
  <c r="I20" i="128"/>
  <c r="J17" i="128"/>
  <c r="J18" i="128"/>
  <c r="J20" i="128"/>
  <c r="K17" i="128"/>
  <c r="K18" i="128"/>
  <c r="K20" i="128"/>
  <c r="L17" i="128"/>
  <c r="L18" i="128"/>
  <c r="L20" i="128"/>
  <c r="A26" i="128"/>
  <c r="H17" i="128"/>
  <c r="H18" i="128"/>
  <c r="H20" i="128"/>
  <c r="G17" i="128"/>
  <c r="G20" i="128"/>
  <c r="F17" i="128"/>
  <c r="F20" i="128"/>
  <c r="D20" i="128"/>
  <c r="C20" i="128"/>
  <c r="L13" i="128"/>
  <c r="L14" i="128"/>
  <c r="K13" i="128"/>
  <c r="K14" i="128"/>
  <c r="J13" i="128"/>
  <c r="J14" i="128"/>
  <c r="I13" i="128"/>
  <c r="I14" i="128"/>
  <c r="H12" i="128"/>
  <c r="H13" i="128"/>
  <c r="H14" i="128"/>
  <c r="G14" i="128"/>
  <c r="F14" i="128"/>
  <c r="E14" i="128"/>
  <c r="D14" i="128"/>
  <c r="C14" i="128"/>
  <c r="A11" i="128"/>
  <c r="A14" i="128"/>
  <c r="L9" i="128"/>
  <c r="K9" i="128"/>
  <c r="J9" i="128"/>
  <c r="I7" i="128"/>
  <c r="I9" i="128"/>
  <c r="H7" i="128"/>
  <c r="H9" i="128"/>
  <c r="G9" i="128"/>
  <c r="F9" i="128"/>
  <c r="E9" i="128"/>
  <c r="D9" i="128"/>
  <c r="C9" i="128"/>
  <c r="A6" i="128"/>
  <c r="A9" i="128"/>
  <c r="I3" i="128"/>
  <c r="H3" i="128"/>
  <c r="G3" i="128"/>
  <c r="F3" i="128"/>
  <c r="E3" i="128"/>
  <c r="D3" i="128"/>
  <c r="C3" i="128"/>
  <c r="B2" i="128"/>
  <c r="A2" i="128"/>
  <c r="A43" i="246"/>
  <c r="R5" i="246"/>
  <c r="R6" i="246"/>
  <c r="R7" i="246"/>
  <c r="R8" i="246"/>
  <c r="R9" i="246"/>
  <c r="R10" i="246"/>
  <c r="R11" i="246"/>
  <c r="R12" i="246"/>
  <c r="R13" i="246"/>
  <c r="R14" i="246"/>
  <c r="R15" i="246"/>
  <c r="R16" i="246"/>
  <c r="R17" i="246"/>
  <c r="R18" i="246"/>
  <c r="R19" i="246"/>
  <c r="R20" i="246"/>
  <c r="R21" i="246"/>
  <c r="R22" i="246"/>
  <c r="R25" i="246"/>
  <c r="R26" i="246"/>
  <c r="R27" i="246"/>
  <c r="R28" i="246"/>
  <c r="R29" i="246"/>
  <c r="R30" i="246"/>
  <c r="R31" i="246"/>
  <c r="R32" i="246"/>
  <c r="R33" i="246"/>
  <c r="R34" i="246"/>
  <c r="R35" i="246"/>
  <c r="R36" i="246"/>
  <c r="R38" i="246"/>
  <c r="R39" i="246"/>
  <c r="R40" i="246"/>
  <c r="R41" i="246"/>
  <c r="R42" i="246"/>
  <c r="Q22" i="246"/>
  <c r="Q36" i="246"/>
  <c r="Q38" i="246"/>
  <c r="Q42" i="246"/>
  <c r="P22" i="246"/>
  <c r="P36" i="246"/>
  <c r="P38" i="246"/>
  <c r="P42" i="246"/>
  <c r="O22" i="246"/>
  <c r="O36" i="246"/>
  <c r="O38" i="246"/>
  <c r="O42" i="246"/>
  <c r="N22" i="246"/>
  <c r="N36" i="246"/>
  <c r="N38" i="246"/>
  <c r="N42" i="246"/>
  <c r="M22" i="246"/>
  <c r="M36" i="246"/>
  <c r="M38" i="246"/>
  <c r="M42" i="246"/>
  <c r="L22" i="246"/>
  <c r="L36" i="246"/>
  <c r="L38" i="246"/>
  <c r="L42" i="246"/>
  <c r="K22" i="246"/>
  <c r="K36" i="246"/>
  <c r="K38" i="246"/>
  <c r="K42" i="246"/>
  <c r="J22" i="246"/>
  <c r="J36" i="246"/>
  <c r="J38" i="246"/>
  <c r="J42" i="246"/>
  <c r="I22" i="246"/>
  <c r="I36" i="246"/>
  <c r="I38" i="246"/>
  <c r="I42" i="246"/>
  <c r="H22" i="246"/>
  <c r="H36" i="246"/>
  <c r="H38" i="246"/>
  <c r="H42" i="246"/>
  <c r="G22" i="246"/>
  <c r="G36" i="246"/>
  <c r="G38" i="246"/>
  <c r="G42" i="246"/>
  <c r="F22" i="246"/>
  <c r="F36" i="246"/>
  <c r="F38" i="246"/>
  <c r="F42" i="246"/>
  <c r="E22" i="246"/>
  <c r="E36" i="246"/>
  <c r="E38" i="246"/>
  <c r="E42" i="246"/>
  <c r="D22" i="246"/>
  <c r="D36" i="246"/>
  <c r="D38" i="246"/>
  <c r="D42" i="246"/>
  <c r="C22" i="246"/>
  <c r="C36" i="246"/>
  <c r="C38" i="246"/>
  <c r="C42" i="246"/>
  <c r="A42" i="246"/>
  <c r="A41" i="246"/>
  <c r="A40" i="246"/>
  <c r="A39" i="246"/>
  <c r="A12" i="128"/>
  <c r="A38" i="246"/>
  <c r="A35" i="246"/>
  <c r="A34" i="246"/>
  <c r="A33" i="246"/>
  <c r="A32" i="246"/>
  <c r="A31" i="246"/>
  <c r="A30" i="246"/>
  <c r="A29" i="246"/>
  <c r="A28" i="246"/>
  <c r="A27" i="246"/>
  <c r="A26" i="246"/>
  <c r="A25" i="246"/>
  <c r="A24" i="246"/>
  <c r="A22" i="246"/>
  <c r="A21" i="246"/>
  <c r="A20" i="246"/>
  <c r="A19" i="246"/>
  <c r="A18" i="246"/>
  <c r="A17" i="246"/>
  <c r="A16" i="246"/>
  <c r="A15" i="246"/>
  <c r="A14" i="246"/>
  <c r="A13" i="246"/>
  <c r="A12" i="246"/>
  <c r="A11" i="246"/>
  <c r="A10" i="246"/>
  <c r="A9" i="246"/>
  <c r="A8" i="246"/>
  <c r="A7" i="246"/>
  <c r="A6" i="246"/>
  <c r="A5" i="246"/>
  <c r="A4" i="246"/>
  <c r="B2" i="246"/>
  <c r="A2" i="246"/>
  <c r="A165" i="255"/>
  <c r="L162" i="255"/>
  <c r="K162" i="255"/>
  <c r="J162" i="255"/>
  <c r="H162" i="255"/>
  <c r="G162" i="255"/>
  <c r="F162" i="255"/>
  <c r="I160" i="255"/>
  <c r="E160" i="255"/>
  <c r="E100" i="349"/>
  <c r="D160" i="255"/>
  <c r="D100" i="349"/>
  <c r="C160" i="255"/>
  <c r="C100" i="349"/>
  <c r="L130" i="255"/>
  <c r="L153" i="255"/>
  <c r="K130" i="255"/>
  <c r="K153" i="255"/>
  <c r="J130" i="255"/>
  <c r="J153" i="255"/>
  <c r="I153" i="255"/>
  <c r="H153" i="255"/>
  <c r="G153" i="255"/>
  <c r="F153" i="255"/>
  <c r="E153" i="255"/>
  <c r="D153" i="255"/>
  <c r="C153" i="255"/>
  <c r="L117" i="255"/>
  <c r="L123" i="255"/>
  <c r="K117" i="255"/>
  <c r="K123" i="255"/>
  <c r="J117" i="255"/>
  <c r="J123" i="255"/>
  <c r="I116" i="255"/>
  <c r="I117" i="255"/>
  <c r="I123" i="255"/>
  <c r="H116" i="255"/>
  <c r="H117" i="255"/>
  <c r="H123" i="255"/>
  <c r="G116" i="255"/>
  <c r="G117" i="255"/>
  <c r="G123" i="255"/>
  <c r="F117" i="255"/>
  <c r="F123" i="255"/>
  <c r="E117" i="255"/>
  <c r="D117" i="255"/>
  <c r="C117" i="255"/>
  <c r="A91" i="255"/>
  <c r="L88" i="255"/>
  <c r="K88" i="255"/>
  <c r="J88" i="255"/>
  <c r="I88" i="255"/>
  <c r="H88" i="255"/>
  <c r="G88" i="255"/>
  <c r="F88" i="255"/>
  <c r="E88" i="255"/>
  <c r="D88" i="255"/>
  <c r="C88" i="255"/>
  <c r="L87" i="255"/>
  <c r="K87" i="255"/>
  <c r="J87" i="255"/>
  <c r="I87" i="255"/>
  <c r="H87" i="255"/>
  <c r="G87" i="255"/>
  <c r="F87" i="255"/>
  <c r="E87" i="255"/>
  <c r="D87" i="255"/>
  <c r="C87" i="255"/>
  <c r="L83" i="255"/>
  <c r="L84" i="255"/>
  <c r="K83" i="255"/>
  <c r="K84" i="255"/>
  <c r="J83" i="255"/>
  <c r="J84" i="255"/>
  <c r="I84" i="255"/>
  <c r="H84" i="255"/>
  <c r="G84" i="255"/>
  <c r="F84" i="255"/>
  <c r="E84" i="255"/>
  <c r="D84" i="255"/>
  <c r="C84" i="255"/>
  <c r="A81" i="255"/>
  <c r="L75" i="255"/>
  <c r="L79" i="255"/>
  <c r="K75" i="255"/>
  <c r="K79" i="255"/>
  <c r="J75" i="255"/>
  <c r="J79" i="255"/>
  <c r="I79" i="255"/>
  <c r="H79" i="255"/>
  <c r="G79" i="255"/>
  <c r="F79" i="255"/>
  <c r="E79" i="255"/>
  <c r="D79" i="255"/>
  <c r="C79" i="255"/>
  <c r="A74" i="255"/>
  <c r="L72" i="255"/>
  <c r="K72" i="255"/>
  <c r="J72" i="255"/>
  <c r="I72" i="255"/>
  <c r="H72" i="255"/>
  <c r="G72" i="255"/>
  <c r="F72" i="255"/>
  <c r="E72" i="255"/>
  <c r="D72" i="255"/>
  <c r="C72" i="255"/>
  <c r="A72" i="255"/>
  <c r="E61" i="255"/>
  <c r="D61" i="255"/>
  <c r="C61" i="255"/>
  <c r="C63" i="255"/>
  <c r="D35" i="338"/>
  <c r="A48" i="255"/>
  <c r="L45" i="255"/>
  <c r="K45" i="255"/>
  <c r="J45" i="255"/>
  <c r="I45" i="255"/>
  <c r="H45" i="255"/>
  <c r="G45" i="255"/>
  <c r="F45" i="255"/>
  <c r="E45" i="255"/>
  <c r="D45" i="255"/>
  <c r="C45" i="255"/>
  <c r="L30" i="255"/>
  <c r="K30" i="255"/>
  <c r="J30" i="255"/>
  <c r="I30" i="255"/>
  <c r="H30" i="255"/>
  <c r="G30" i="255"/>
  <c r="F30" i="255"/>
  <c r="E30" i="255"/>
  <c r="D30" i="255"/>
  <c r="C30" i="255"/>
  <c r="A29" i="255"/>
  <c r="A26" i="255"/>
  <c r="L24" i="255"/>
  <c r="K24" i="255"/>
  <c r="J24" i="255"/>
  <c r="I24" i="255"/>
  <c r="H24" i="255"/>
  <c r="G24" i="255"/>
  <c r="F24" i="255"/>
  <c r="E24" i="255"/>
  <c r="D24" i="255"/>
  <c r="C24" i="255"/>
  <c r="A23" i="255"/>
  <c r="A21" i="255"/>
  <c r="A24" i="255"/>
  <c r="L19" i="255"/>
  <c r="K19" i="255"/>
  <c r="J19" i="255"/>
  <c r="I19" i="255"/>
  <c r="H19" i="255"/>
  <c r="G19" i="255"/>
  <c r="F19" i="255"/>
  <c r="E19" i="255"/>
  <c r="D19" i="255"/>
  <c r="C19" i="255"/>
  <c r="A18" i="255"/>
  <c r="A16" i="255"/>
  <c r="A17" i="255"/>
  <c r="L14" i="255"/>
  <c r="K14" i="255"/>
  <c r="J14" i="255"/>
  <c r="I14" i="255"/>
  <c r="H14" i="255"/>
  <c r="G14" i="255"/>
  <c r="F14" i="255"/>
  <c r="E14" i="255"/>
  <c r="D14" i="255"/>
  <c r="C14" i="255"/>
  <c r="A13" i="255"/>
  <c r="A11" i="255"/>
  <c r="A14" i="255"/>
  <c r="L7" i="255"/>
  <c r="L9" i="255"/>
  <c r="K7" i="255"/>
  <c r="K9" i="255"/>
  <c r="J7" i="255"/>
  <c r="J9" i="255"/>
  <c r="I9" i="255"/>
  <c r="H9" i="255"/>
  <c r="G9" i="255"/>
  <c r="F9" i="255"/>
  <c r="E9" i="255"/>
  <c r="D9" i="255"/>
  <c r="C9" i="255"/>
  <c r="A6" i="255"/>
  <c r="I3" i="255"/>
  <c r="H3" i="255"/>
  <c r="G3" i="255"/>
  <c r="F3" i="255"/>
  <c r="E3" i="255"/>
  <c r="D3" i="255"/>
  <c r="C3" i="255"/>
  <c r="B2" i="255"/>
  <c r="A2" i="255"/>
  <c r="I39" i="253"/>
  <c r="I45" i="253"/>
  <c r="I46" i="253"/>
  <c r="I95" i="253"/>
  <c r="H39" i="253"/>
  <c r="H45" i="253"/>
  <c r="H46" i="253"/>
  <c r="H95" i="253"/>
  <c r="G39" i="253"/>
  <c r="G45" i="253"/>
  <c r="G46" i="253"/>
  <c r="G95" i="253"/>
  <c r="F39" i="253"/>
  <c r="F45" i="253"/>
  <c r="F46" i="253"/>
  <c r="F95" i="253"/>
  <c r="E39" i="253"/>
  <c r="E45" i="253"/>
  <c r="E46" i="253"/>
  <c r="E95" i="253"/>
  <c r="D39" i="253"/>
  <c r="D45" i="253"/>
  <c r="D46" i="253"/>
  <c r="D95" i="253"/>
  <c r="C39" i="253"/>
  <c r="C45" i="253"/>
  <c r="C46" i="253"/>
  <c r="C95" i="253"/>
  <c r="K31" i="253"/>
  <c r="K35" i="253"/>
  <c r="K36" i="253"/>
  <c r="K94" i="253"/>
  <c r="J31" i="253"/>
  <c r="J35" i="253"/>
  <c r="J36" i="253"/>
  <c r="J94" i="253"/>
  <c r="I31" i="253"/>
  <c r="I35" i="253"/>
  <c r="I36" i="253"/>
  <c r="I94" i="253"/>
  <c r="H31" i="253"/>
  <c r="H35" i="253"/>
  <c r="H36" i="253"/>
  <c r="H94" i="253"/>
  <c r="G31" i="253"/>
  <c r="G35" i="253"/>
  <c r="G36" i="253"/>
  <c r="G94" i="253"/>
  <c r="F31" i="253"/>
  <c r="F35" i="253"/>
  <c r="F36" i="253"/>
  <c r="F94" i="253"/>
  <c r="E31" i="253"/>
  <c r="E35" i="253"/>
  <c r="E36" i="253"/>
  <c r="E94" i="253"/>
  <c r="D31" i="253"/>
  <c r="D35" i="253"/>
  <c r="D36" i="253"/>
  <c r="D94" i="253"/>
  <c r="C31" i="253"/>
  <c r="C35" i="253"/>
  <c r="C36" i="253"/>
  <c r="C94" i="253"/>
  <c r="K22" i="253"/>
  <c r="K26" i="253"/>
  <c r="K27" i="253"/>
  <c r="K93" i="253"/>
  <c r="J22" i="253"/>
  <c r="J26" i="253"/>
  <c r="J27" i="253"/>
  <c r="J93" i="253"/>
  <c r="I22" i="253"/>
  <c r="I26" i="253"/>
  <c r="I27" i="253"/>
  <c r="I93" i="253"/>
  <c r="H22" i="253"/>
  <c r="H26" i="253"/>
  <c r="H27" i="253"/>
  <c r="H93" i="253"/>
  <c r="G22" i="253"/>
  <c r="G26" i="253"/>
  <c r="G27" i="253"/>
  <c r="G93" i="253"/>
  <c r="F22" i="253"/>
  <c r="F26" i="253"/>
  <c r="F27" i="253"/>
  <c r="F93" i="253"/>
  <c r="E22" i="253"/>
  <c r="E26" i="253"/>
  <c r="E27" i="253"/>
  <c r="E93" i="253"/>
  <c r="D22" i="253"/>
  <c r="D26" i="253"/>
  <c r="D27" i="253"/>
  <c r="D93" i="253"/>
  <c r="C22" i="253"/>
  <c r="C26" i="253"/>
  <c r="C27" i="253"/>
  <c r="C93" i="253"/>
  <c r="K10" i="253"/>
  <c r="K14" i="253"/>
  <c r="K15" i="253"/>
  <c r="K92" i="253"/>
  <c r="J10" i="253"/>
  <c r="J14" i="253"/>
  <c r="J15" i="253"/>
  <c r="J92" i="253"/>
  <c r="I10" i="253"/>
  <c r="I14" i="253"/>
  <c r="I15" i="253"/>
  <c r="I92" i="253"/>
  <c r="H10" i="253"/>
  <c r="H14" i="253"/>
  <c r="H15" i="253"/>
  <c r="H92" i="253"/>
  <c r="G10" i="253"/>
  <c r="G14" i="253"/>
  <c r="G15" i="253"/>
  <c r="G92" i="253"/>
  <c r="F10" i="253"/>
  <c r="F14" i="253"/>
  <c r="F15" i="253"/>
  <c r="F92" i="253"/>
  <c r="E10" i="253"/>
  <c r="E14" i="253"/>
  <c r="E15" i="253"/>
  <c r="E92" i="253"/>
  <c r="D10" i="253"/>
  <c r="D14" i="253"/>
  <c r="D15" i="253"/>
  <c r="D92" i="253"/>
  <c r="C10" i="253"/>
  <c r="C14" i="253"/>
  <c r="C15" i="253"/>
  <c r="C92" i="253"/>
  <c r="A79" i="253"/>
  <c r="K78" i="253"/>
  <c r="J78" i="253"/>
  <c r="K59" i="253"/>
  <c r="J59" i="253"/>
  <c r="I59" i="253"/>
  <c r="H59" i="253"/>
  <c r="G59" i="253"/>
  <c r="F59" i="253"/>
  <c r="E59" i="253"/>
  <c r="D59" i="253"/>
  <c r="C59" i="253"/>
  <c r="K39" i="253"/>
  <c r="K45" i="253"/>
  <c r="K46" i="253"/>
  <c r="J39" i="253"/>
  <c r="J45" i="253"/>
  <c r="J46" i="253"/>
  <c r="B46" i="253"/>
  <c r="A46" i="253"/>
  <c r="A45" i="253"/>
  <c r="A39" i="253"/>
  <c r="B36" i="253"/>
  <c r="A36" i="253"/>
  <c r="A35" i="253"/>
  <c r="A31" i="253"/>
  <c r="B27" i="253"/>
  <c r="A27" i="253"/>
  <c r="A26" i="253"/>
  <c r="A22" i="253"/>
  <c r="B12" i="253"/>
  <c r="H3" i="253"/>
  <c r="G3" i="253"/>
  <c r="F3" i="253"/>
  <c r="E3" i="253"/>
  <c r="D3" i="253"/>
  <c r="C3" i="253"/>
  <c r="B2" i="253"/>
  <c r="A2" i="253"/>
  <c r="A87" i="248"/>
  <c r="F89" i="255"/>
  <c r="D89" i="255"/>
  <c r="A30" i="255"/>
  <c r="H89" i="255"/>
  <c r="G89" i="255"/>
  <c r="E162" i="255"/>
  <c r="D162" i="255"/>
  <c r="C162" i="255"/>
  <c r="E123" i="255"/>
  <c r="D123" i="255"/>
  <c r="C123" i="255"/>
  <c r="M34" i="338"/>
  <c r="D34" i="338"/>
  <c r="E63" i="255"/>
  <c r="C89" i="255"/>
  <c r="L89" i="255"/>
  <c r="A12" i="255"/>
  <c r="A22" i="255"/>
  <c r="A79" i="255"/>
  <c r="A19" i="255"/>
  <c r="A63" i="255"/>
  <c r="E89" i="255"/>
  <c r="J89" i="255"/>
  <c r="I89" i="255"/>
  <c r="K89" i="255"/>
  <c r="J79" i="248"/>
  <c r="I79" i="248"/>
  <c r="H79" i="248"/>
  <c r="G79" i="248"/>
  <c r="F79" i="248"/>
  <c r="E79" i="248"/>
  <c r="D79" i="248"/>
  <c r="C79" i="248"/>
  <c r="K78" i="248"/>
  <c r="J78" i="248"/>
  <c r="I78" i="248"/>
  <c r="H78" i="248"/>
  <c r="G78" i="248"/>
  <c r="F78" i="248"/>
  <c r="E78" i="248"/>
  <c r="D78" i="248"/>
  <c r="C78" i="248"/>
  <c r="K77" i="248"/>
  <c r="J77" i="248"/>
  <c r="I77" i="248"/>
  <c r="H77" i="248"/>
  <c r="G77" i="248"/>
  <c r="F77" i="248"/>
  <c r="E77" i="248"/>
  <c r="D77" i="248"/>
  <c r="C77" i="248"/>
  <c r="H76" i="248"/>
  <c r="G76" i="248"/>
  <c r="F76" i="248"/>
  <c r="E76" i="248"/>
  <c r="D76" i="248"/>
  <c r="C76" i="248"/>
  <c r="A75" i="248"/>
  <c r="K74" i="248"/>
  <c r="J74" i="248"/>
  <c r="I74" i="248"/>
  <c r="H74" i="248"/>
  <c r="G74" i="248"/>
  <c r="F74" i="248"/>
  <c r="E74" i="248"/>
  <c r="D74" i="248"/>
  <c r="C74" i="248"/>
  <c r="K73" i="248"/>
  <c r="J73" i="248"/>
  <c r="I73" i="248"/>
  <c r="H73" i="248"/>
  <c r="G73" i="248"/>
  <c r="F73" i="248"/>
  <c r="E73" i="248"/>
  <c r="D73" i="248"/>
  <c r="C73" i="248"/>
  <c r="K72" i="248"/>
  <c r="J72" i="248"/>
  <c r="I72" i="248"/>
  <c r="H72" i="248"/>
  <c r="G72" i="248"/>
  <c r="F72" i="248"/>
  <c r="E72" i="248"/>
  <c r="D72" i="248"/>
  <c r="C72" i="248"/>
  <c r="K71" i="248"/>
  <c r="J71" i="248"/>
  <c r="I71" i="248"/>
  <c r="H71" i="248"/>
  <c r="G71" i="248"/>
  <c r="F71" i="248"/>
  <c r="E71" i="248"/>
  <c r="D71" i="248"/>
  <c r="C71" i="248"/>
  <c r="K70" i="248"/>
  <c r="J70" i="248"/>
  <c r="I70" i="248"/>
  <c r="H70" i="248"/>
  <c r="G70" i="248"/>
  <c r="F70" i="248"/>
  <c r="E70" i="248"/>
  <c r="D70" i="248"/>
  <c r="C70" i="248"/>
  <c r="A68" i="248"/>
  <c r="K64" i="248"/>
  <c r="J64" i="248"/>
  <c r="I64" i="248"/>
  <c r="H64" i="248"/>
  <c r="G64" i="248"/>
  <c r="F64" i="248"/>
  <c r="E64" i="248"/>
  <c r="D64" i="248"/>
  <c r="C64" i="248"/>
  <c r="K63" i="248"/>
  <c r="J63" i="248"/>
  <c r="I63" i="248"/>
  <c r="H63" i="248"/>
  <c r="G63" i="248"/>
  <c r="F63" i="248"/>
  <c r="E63" i="248"/>
  <c r="D63" i="248"/>
  <c r="C63" i="248"/>
  <c r="K62" i="248"/>
  <c r="J62" i="248"/>
  <c r="I62" i="248"/>
  <c r="H62" i="248"/>
  <c r="G62" i="248"/>
  <c r="F62" i="248"/>
  <c r="E62" i="248"/>
  <c r="D62" i="248"/>
  <c r="C62" i="248"/>
  <c r="E61" i="248"/>
  <c r="K60" i="248"/>
  <c r="J60" i="248"/>
  <c r="I60" i="248"/>
  <c r="H60" i="248"/>
  <c r="H52" i="248"/>
  <c r="H53" i="248"/>
  <c r="H54" i="248"/>
  <c r="H55" i="248"/>
  <c r="H56" i="248"/>
  <c r="H57" i="248"/>
  <c r="H65" i="248"/>
  <c r="G60" i="248"/>
  <c r="F60" i="248"/>
  <c r="E60" i="248"/>
  <c r="D60" i="248"/>
  <c r="D57" i="248"/>
  <c r="D65" i="248"/>
  <c r="C60" i="248"/>
  <c r="K52" i="248"/>
  <c r="K53" i="248"/>
  <c r="K54" i="248"/>
  <c r="K55" i="248"/>
  <c r="K56" i="248"/>
  <c r="K57" i="248"/>
  <c r="J52" i="248"/>
  <c r="J53" i="248"/>
  <c r="J54" i="248"/>
  <c r="J55" i="248"/>
  <c r="J56" i="248"/>
  <c r="J57" i="248"/>
  <c r="I52" i="248"/>
  <c r="I53" i="248"/>
  <c r="I54" i="248"/>
  <c r="I55" i="248"/>
  <c r="I56" i="248"/>
  <c r="I57" i="248"/>
  <c r="G52" i="248"/>
  <c r="G57" i="248"/>
  <c r="F52" i="248"/>
  <c r="F55" i="248"/>
  <c r="F57" i="248"/>
  <c r="E57" i="248"/>
  <c r="C57" i="248"/>
  <c r="A41" i="248"/>
  <c r="A57" i="248"/>
  <c r="D63" i="255"/>
  <c r="F35" i="338"/>
  <c r="C65" i="248"/>
  <c r="G65" i="248"/>
  <c r="K65" i="248"/>
  <c r="E75" i="248"/>
  <c r="F75" i="248"/>
  <c r="E65" i="248"/>
  <c r="I65" i="248"/>
  <c r="C75" i="248"/>
  <c r="F65" i="248"/>
  <c r="J65" i="248"/>
  <c r="D75" i="248"/>
  <c r="K75" i="248"/>
  <c r="G75" i="248"/>
  <c r="G69" i="248"/>
  <c r="H75" i="248"/>
  <c r="H69" i="248"/>
  <c r="I75" i="248"/>
  <c r="J75" i="248"/>
  <c r="E35" i="338"/>
  <c r="E34" i="338"/>
  <c r="F34" i="338"/>
  <c r="F69" i="248"/>
  <c r="E69" i="248"/>
  <c r="D69" i="248"/>
  <c r="C69" i="248"/>
  <c r="A45" i="248"/>
  <c r="A44" i="248"/>
  <c r="A43" i="248"/>
  <c r="A42" i="248"/>
  <c r="K33" i="248"/>
  <c r="J33" i="248"/>
  <c r="I33" i="248"/>
  <c r="H33" i="248"/>
  <c r="G33" i="248"/>
  <c r="F33" i="248"/>
  <c r="E33" i="248"/>
  <c r="D33" i="248"/>
  <c r="C33" i="248"/>
  <c r="G32" i="248"/>
  <c r="F32" i="248"/>
  <c r="E32" i="248"/>
  <c r="D32" i="248"/>
  <c r="C32" i="248"/>
  <c r="K31" i="248"/>
  <c r="J31" i="248"/>
  <c r="I31" i="248"/>
  <c r="H31" i="248"/>
  <c r="G31" i="248"/>
  <c r="F31" i="248"/>
  <c r="E31" i="248"/>
  <c r="D31" i="248"/>
  <c r="C31" i="248"/>
  <c r="K30" i="248"/>
  <c r="J30" i="248"/>
  <c r="I30" i="248"/>
  <c r="H30" i="248"/>
  <c r="G30" i="248"/>
  <c r="F30" i="248"/>
  <c r="E30" i="248"/>
  <c r="D30" i="248"/>
  <c r="C30" i="248"/>
  <c r="J29" i="248"/>
  <c r="I29" i="248"/>
  <c r="H29" i="248"/>
  <c r="G29" i="248"/>
  <c r="F29" i="248"/>
  <c r="E29" i="248"/>
  <c r="D29" i="248"/>
  <c r="C29" i="248"/>
  <c r="K28" i="248"/>
  <c r="J28" i="248"/>
  <c r="I28" i="248"/>
  <c r="H28" i="248"/>
  <c r="G28" i="248"/>
  <c r="F28" i="248"/>
  <c r="E28" i="248"/>
  <c r="D28" i="248"/>
  <c r="C28" i="248"/>
  <c r="K27" i="248"/>
  <c r="J27" i="248"/>
  <c r="I27" i="248"/>
  <c r="H27" i="248"/>
  <c r="G27" i="248"/>
  <c r="F27" i="248"/>
  <c r="E27" i="248"/>
  <c r="D27" i="248"/>
  <c r="C27" i="248"/>
  <c r="A26" i="248"/>
  <c r="K25" i="248"/>
  <c r="J25" i="248"/>
  <c r="I25" i="248"/>
  <c r="H25" i="248"/>
  <c r="G25" i="248"/>
  <c r="F25" i="248"/>
  <c r="E25" i="248"/>
  <c r="D25" i="248"/>
  <c r="C25" i="248"/>
  <c r="K24" i="248"/>
  <c r="J24" i="248"/>
  <c r="I24" i="248"/>
  <c r="H24" i="248"/>
  <c r="G24" i="248"/>
  <c r="F24" i="248"/>
  <c r="E24" i="248"/>
  <c r="D24" i="248"/>
  <c r="C24" i="248"/>
  <c r="K23" i="248"/>
  <c r="J23" i="248"/>
  <c r="I23" i="248"/>
  <c r="H23" i="248"/>
  <c r="G23" i="248"/>
  <c r="F23" i="248"/>
  <c r="E23" i="248"/>
  <c r="D23" i="248"/>
  <c r="C23" i="248"/>
  <c r="K22" i="248"/>
  <c r="J22" i="248"/>
  <c r="I22" i="248"/>
  <c r="H22" i="248"/>
  <c r="G22" i="248"/>
  <c r="F22" i="248"/>
  <c r="E22" i="248"/>
  <c r="D22" i="248"/>
  <c r="C22" i="248"/>
  <c r="K21" i="248"/>
  <c r="J21" i="248"/>
  <c r="I21" i="248"/>
  <c r="H21" i="248"/>
  <c r="G21" i="248"/>
  <c r="F21" i="248"/>
  <c r="E21" i="248"/>
  <c r="D21" i="248"/>
  <c r="C21" i="248"/>
  <c r="K18" i="248"/>
  <c r="J18" i="248"/>
  <c r="I18" i="248"/>
  <c r="H18" i="248"/>
  <c r="G18" i="248"/>
  <c r="F18" i="248"/>
  <c r="F48" i="248"/>
  <c r="E18" i="248"/>
  <c r="D18" i="248"/>
  <c r="C18" i="248"/>
  <c r="A18" i="248"/>
  <c r="A33" i="248"/>
  <c r="K17" i="248"/>
  <c r="J17" i="248"/>
  <c r="I17" i="248"/>
  <c r="H17" i="248"/>
  <c r="G17" i="248"/>
  <c r="G47" i="248"/>
  <c r="F17" i="248"/>
  <c r="E17" i="248"/>
  <c r="D17" i="248"/>
  <c r="C17" i="248"/>
  <c r="A17" i="248"/>
  <c r="A32" i="248"/>
  <c r="K16" i="248"/>
  <c r="J16" i="248"/>
  <c r="I16" i="248"/>
  <c r="I46" i="248"/>
  <c r="H16" i="248"/>
  <c r="H46" i="248"/>
  <c r="G16" i="248"/>
  <c r="G46" i="248"/>
  <c r="F16" i="248"/>
  <c r="F46" i="248"/>
  <c r="E16" i="248"/>
  <c r="D16" i="248"/>
  <c r="C16" i="248"/>
  <c r="K15" i="248"/>
  <c r="J15" i="248"/>
  <c r="I15" i="248"/>
  <c r="H15" i="248"/>
  <c r="D15" i="248"/>
  <c r="A15" i="248"/>
  <c r="A30" i="248"/>
  <c r="K29" i="248"/>
  <c r="K14" i="248"/>
  <c r="J14" i="248"/>
  <c r="I14" i="248"/>
  <c r="G14" i="248"/>
  <c r="F14" i="248"/>
  <c r="E14" i="248"/>
  <c r="C14" i="248"/>
  <c r="A14" i="248"/>
  <c r="A29" i="248"/>
  <c r="K13" i="248"/>
  <c r="K43" i="248"/>
  <c r="J13" i="248"/>
  <c r="I13" i="248"/>
  <c r="I43" i="248"/>
  <c r="H13" i="248"/>
  <c r="G13" i="248"/>
  <c r="F13" i="248"/>
  <c r="E13" i="248"/>
  <c r="D13" i="248"/>
  <c r="A13" i="248"/>
  <c r="A28" i="248"/>
  <c r="K12" i="248"/>
  <c r="J12" i="248"/>
  <c r="I12" i="248"/>
  <c r="A12" i="248"/>
  <c r="A27" i="248"/>
  <c r="K10" i="248"/>
  <c r="K40" i="248"/>
  <c r="J10" i="248"/>
  <c r="J40" i="248"/>
  <c r="I10" i="248"/>
  <c r="H10" i="248"/>
  <c r="G10" i="248"/>
  <c r="F10" i="248"/>
  <c r="C10" i="248"/>
  <c r="K9" i="248"/>
  <c r="J9" i="248"/>
  <c r="I9" i="248"/>
  <c r="G9" i="248"/>
  <c r="F9" i="248"/>
  <c r="C9" i="248"/>
  <c r="K8" i="248"/>
  <c r="J8" i="248"/>
  <c r="I8" i="248"/>
  <c r="H8" i="248"/>
  <c r="G8" i="248"/>
  <c r="G38" i="248"/>
  <c r="F8" i="248"/>
  <c r="E8" i="248"/>
  <c r="D8" i="248"/>
  <c r="C8" i="248"/>
  <c r="C38" i="248"/>
  <c r="K7" i="248"/>
  <c r="J7" i="248"/>
  <c r="I7" i="248"/>
  <c r="H7" i="248"/>
  <c r="G7" i="248"/>
  <c r="F7" i="248"/>
  <c r="E7" i="248"/>
  <c r="D7" i="248"/>
  <c r="C7" i="248"/>
  <c r="K6" i="248"/>
  <c r="J6" i="248"/>
  <c r="I6" i="248"/>
  <c r="H6" i="248"/>
  <c r="G6" i="248"/>
  <c r="F6" i="248"/>
  <c r="E6" i="248"/>
  <c r="D6" i="248"/>
  <c r="D36" i="248"/>
  <c r="C6" i="248"/>
  <c r="C36" i="248"/>
  <c r="H3" i="248"/>
  <c r="G3" i="248"/>
  <c r="F3" i="248"/>
  <c r="E3" i="248"/>
  <c r="D3" i="248"/>
  <c r="C3" i="248"/>
  <c r="B2" i="248"/>
  <c r="A2" i="248"/>
  <c r="A56" i="237"/>
  <c r="L55" i="237"/>
  <c r="K55" i="237"/>
  <c r="J55" i="237"/>
  <c r="F55" i="237"/>
  <c r="A55" i="237"/>
  <c r="L54" i="237"/>
  <c r="K54" i="237"/>
  <c r="J54" i="237"/>
  <c r="I54" i="237"/>
  <c r="I67" i="237"/>
  <c r="H54" i="237"/>
  <c r="G54" i="237"/>
  <c r="F54" i="237"/>
  <c r="E54" i="237"/>
  <c r="D54" i="237"/>
  <c r="C54" i="237"/>
  <c r="C67" i="237"/>
  <c r="A54" i="237"/>
  <c r="A53" i="237"/>
  <c r="L52" i="237"/>
  <c r="K52" i="237"/>
  <c r="J52" i="237"/>
  <c r="I52" i="237"/>
  <c r="H52" i="237"/>
  <c r="G52" i="237"/>
  <c r="F52" i="237"/>
  <c r="E52" i="237"/>
  <c r="D52" i="237"/>
  <c r="C52" i="237"/>
  <c r="A40" i="237"/>
  <c r="L31" i="237"/>
  <c r="K31" i="237"/>
  <c r="J31" i="237"/>
  <c r="I31" i="237"/>
  <c r="H31" i="237"/>
  <c r="G31" i="237"/>
  <c r="F31" i="237"/>
  <c r="E31" i="237"/>
  <c r="D31" i="237"/>
  <c r="C31" i="237"/>
  <c r="E47" i="248"/>
  <c r="D47" i="248"/>
  <c r="C26" i="248"/>
  <c r="E38" i="248"/>
  <c r="J48" i="248"/>
  <c r="L56" i="338"/>
  <c r="K42" i="248"/>
  <c r="H67" i="237"/>
  <c r="G67" i="237"/>
  <c r="F67" i="237"/>
  <c r="E67" i="237"/>
  <c r="D67" i="237"/>
  <c r="E43" i="248"/>
  <c r="C44" i="248"/>
  <c r="F47" i="248"/>
  <c r="E48" i="248"/>
  <c r="F56" i="338"/>
  <c r="E26" i="248"/>
  <c r="E20" i="248"/>
  <c r="E85" i="248"/>
  <c r="J67" i="237"/>
  <c r="K11" i="248"/>
  <c r="K5" i="248"/>
  <c r="J11" i="248"/>
  <c r="J5" i="248"/>
  <c r="D38" i="248"/>
  <c r="H43" i="248"/>
  <c r="G43" i="248"/>
  <c r="F43" i="248"/>
  <c r="G44" i="248"/>
  <c r="K44" i="248"/>
  <c r="J44" i="248"/>
  <c r="D26" i="248"/>
  <c r="J26" i="248"/>
  <c r="I45" i="248"/>
  <c r="C48" i="248"/>
  <c r="K26" i="248"/>
  <c r="F44" i="248"/>
  <c r="D46" i="248"/>
  <c r="C46" i="248"/>
  <c r="K45" i="248"/>
  <c r="J45" i="248"/>
  <c r="I48" i="248"/>
  <c r="J56" i="338"/>
  <c r="J54" i="338"/>
  <c r="F38" i="248"/>
  <c r="G39" i="248"/>
  <c r="G40" i="248"/>
  <c r="D20" i="248"/>
  <c r="F58" i="123"/>
  <c r="C15" i="248"/>
  <c r="C45" i="248"/>
  <c r="D45" i="248"/>
  <c r="E9" i="248"/>
  <c r="F39" i="248"/>
  <c r="H12" i="248"/>
  <c r="G12" i="248"/>
  <c r="I42" i="248"/>
  <c r="C13" i="248"/>
  <c r="D43" i="248"/>
  <c r="H5" i="339"/>
  <c r="A58" i="248"/>
  <c r="A76" i="248"/>
  <c r="H6" i="339"/>
  <c r="A59" i="248"/>
  <c r="A77" i="248"/>
  <c r="K76" i="248"/>
  <c r="F11" i="248"/>
  <c r="G26" i="248"/>
  <c r="I40" i="248"/>
  <c r="I11" i="248"/>
  <c r="I5" i="248"/>
  <c r="H48" i="248"/>
  <c r="I26" i="248"/>
  <c r="F36" i="248"/>
  <c r="J37" i="248"/>
  <c r="I37" i="248"/>
  <c r="H37" i="248"/>
  <c r="G37" i="248"/>
  <c r="F37" i="248"/>
  <c r="H14" i="248"/>
  <c r="I44" i="248"/>
  <c r="D48" i="248"/>
  <c r="K32" i="248"/>
  <c r="J32" i="248"/>
  <c r="I32" i="248"/>
  <c r="H32" i="248"/>
  <c r="H47" i="248"/>
  <c r="A48" i="248"/>
  <c r="E10" i="248"/>
  <c r="F40" i="248"/>
  <c r="H7" i="339"/>
  <c r="A60" i="248"/>
  <c r="A78" i="248"/>
  <c r="H8" i="339"/>
  <c r="A79" i="248"/>
  <c r="A61" i="248"/>
  <c r="H10" i="339"/>
  <c r="A63" i="248"/>
  <c r="H9" i="248"/>
  <c r="H39" i="248"/>
  <c r="I39" i="248"/>
  <c r="D14" i="248"/>
  <c r="E44" i="248"/>
  <c r="G15" i="248"/>
  <c r="F15" i="248"/>
  <c r="E15" i="248"/>
  <c r="E45" i="248"/>
  <c r="H45" i="248"/>
  <c r="H9" i="339"/>
  <c r="A64" i="248"/>
  <c r="I36" i="248"/>
  <c r="I38" i="248"/>
  <c r="H38" i="248"/>
  <c r="F26" i="248"/>
  <c r="F20" i="248"/>
  <c r="G36" i="248"/>
  <c r="K37" i="248"/>
  <c r="H40" i="248"/>
  <c r="C11" i="248"/>
  <c r="G11" i="248"/>
  <c r="J42" i="248"/>
  <c r="J43" i="248"/>
  <c r="E46" i="248"/>
  <c r="J46" i="248"/>
  <c r="C47" i="248"/>
  <c r="A47" i="248"/>
  <c r="K46" i="248"/>
  <c r="K48" i="248"/>
  <c r="M56" i="338"/>
  <c r="M54" i="338"/>
  <c r="L54" i="338"/>
  <c r="H26" i="248"/>
  <c r="H20" i="248"/>
  <c r="E37" i="248"/>
  <c r="D37" i="248"/>
  <c r="C37" i="248"/>
  <c r="K36" i="248"/>
  <c r="K56" i="338"/>
  <c r="K54" i="338"/>
  <c r="J47" i="248"/>
  <c r="K47" i="248"/>
  <c r="G41" i="248"/>
  <c r="I47" i="248"/>
  <c r="J20" i="248"/>
  <c r="L58" i="123"/>
  <c r="E11" i="248"/>
  <c r="C43" i="248"/>
  <c r="G45" i="248"/>
  <c r="F45" i="248"/>
  <c r="H44" i="248"/>
  <c r="I20" i="248"/>
  <c r="K58" i="123"/>
  <c r="G58" i="123"/>
  <c r="F85" i="248"/>
  <c r="D10" i="248"/>
  <c r="E40" i="248"/>
  <c r="F12" i="248"/>
  <c r="E12" i="248"/>
  <c r="G42" i="248"/>
  <c r="E56" i="338"/>
  <c r="D56" i="338"/>
  <c r="F54" i="338"/>
  <c r="J36" i="248"/>
  <c r="J76" i="248"/>
  <c r="D44" i="248"/>
  <c r="H11" i="248"/>
  <c r="E36" i="248"/>
  <c r="F41" i="248"/>
  <c r="G20" i="248"/>
  <c r="I58" i="123"/>
  <c r="H85" i="248"/>
  <c r="H36" i="248"/>
  <c r="H41" i="248"/>
  <c r="I41" i="248"/>
  <c r="G48" i="248"/>
  <c r="H56" i="338"/>
  <c r="G56" i="338"/>
  <c r="G54" i="338"/>
  <c r="I56" i="338"/>
  <c r="I54" i="338"/>
  <c r="D9" i="248"/>
  <c r="E39" i="248"/>
  <c r="C20" i="248"/>
  <c r="E58" i="123"/>
  <c r="D85" i="248"/>
  <c r="H5" i="248"/>
  <c r="H42" i="248"/>
  <c r="G5" i="248"/>
  <c r="K20" i="248"/>
  <c r="A20" i="237"/>
  <c r="I49" i="248"/>
  <c r="H54" i="338"/>
  <c r="E54" i="338"/>
  <c r="D54" i="338"/>
  <c r="M53" i="338"/>
  <c r="L53" i="338"/>
  <c r="D11" i="248"/>
  <c r="D40" i="248"/>
  <c r="C40" i="248"/>
  <c r="K39" i="248"/>
  <c r="J39" i="248"/>
  <c r="F5" i="248"/>
  <c r="E5" i="248"/>
  <c r="K53" i="338"/>
  <c r="J53" i="338"/>
  <c r="D39" i="248"/>
  <c r="E41" i="248"/>
  <c r="D58" i="123"/>
  <c r="B58" i="123"/>
  <c r="C39" i="248"/>
  <c r="K38" i="248"/>
  <c r="I53" i="338"/>
  <c r="C85" i="248"/>
  <c r="M58" i="123"/>
  <c r="G85" i="248"/>
  <c r="D12" i="248"/>
  <c r="C12" i="248"/>
  <c r="E42" i="248"/>
  <c r="I76" i="248"/>
  <c r="I69" i="248"/>
  <c r="J69" i="248"/>
  <c r="G49" i="248"/>
  <c r="G85" i="350"/>
  <c r="H49" i="248"/>
  <c r="H58" i="123"/>
  <c r="F42" i="248"/>
  <c r="F49" i="248"/>
  <c r="A18" i="237"/>
  <c r="L16" i="237"/>
  <c r="K16" i="237"/>
  <c r="J16" i="237"/>
  <c r="I16" i="237"/>
  <c r="H16" i="237"/>
  <c r="G16" i="237"/>
  <c r="F16" i="237"/>
  <c r="E16" i="237"/>
  <c r="D16" i="237"/>
  <c r="C16" i="237"/>
  <c r="E15" i="237"/>
  <c r="D41" i="248"/>
  <c r="H53" i="338"/>
  <c r="G53" i="338"/>
  <c r="F53" i="338"/>
  <c r="E53" i="338"/>
  <c r="D53" i="338"/>
  <c r="M52" i="338"/>
  <c r="D42" i="248"/>
  <c r="D49" i="248"/>
  <c r="D85" i="350"/>
  <c r="D5" i="248"/>
  <c r="G82" i="248"/>
  <c r="F85" i="350"/>
  <c r="F82" i="248"/>
  <c r="I85" i="248"/>
  <c r="K102" i="123"/>
  <c r="I102" i="123"/>
  <c r="H102" i="123"/>
  <c r="G102" i="123"/>
  <c r="F102" i="123"/>
  <c r="E102" i="123"/>
  <c r="D102" i="123"/>
  <c r="J85" i="248"/>
  <c r="H85" i="350"/>
  <c r="H82" i="248"/>
  <c r="C41" i="248"/>
  <c r="L52" i="338"/>
  <c r="M49" i="338"/>
  <c r="C42" i="248"/>
  <c r="C5" i="248"/>
  <c r="J38" i="248"/>
  <c r="J41" i="248"/>
  <c r="J49" i="248"/>
  <c r="J82" i="248"/>
  <c r="I82" i="248"/>
  <c r="K41" i="248"/>
  <c r="K49" i="248"/>
  <c r="E49" i="248"/>
  <c r="L12" i="237"/>
  <c r="K12" i="237"/>
  <c r="J12" i="237"/>
  <c r="H12" i="237"/>
  <c r="G12" i="237"/>
  <c r="F12" i="237"/>
  <c r="E12" i="237"/>
  <c r="D12" i="237"/>
  <c r="C12" i="237"/>
  <c r="L11" i="237"/>
  <c r="K11" i="237"/>
  <c r="J11" i="237"/>
  <c r="I11" i="237"/>
  <c r="H11" i="237"/>
  <c r="G11" i="237"/>
  <c r="F11" i="237"/>
  <c r="E11" i="237"/>
  <c r="D11" i="237"/>
  <c r="C11" i="237"/>
  <c r="A11" i="237"/>
  <c r="L7" i="237"/>
  <c r="K7" i="237"/>
  <c r="J7" i="237"/>
  <c r="I16" i="129"/>
  <c r="I7" i="237"/>
  <c r="H16" i="129"/>
  <c r="H7" i="237"/>
  <c r="G16" i="129"/>
  <c r="G7" i="237"/>
  <c r="F16" i="129"/>
  <c r="F7" i="237"/>
  <c r="E7" i="237"/>
  <c r="D7" i="237"/>
  <c r="C7" i="237"/>
  <c r="A7" i="237"/>
  <c r="L5" i="237"/>
  <c r="K5" i="237"/>
  <c r="J5" i="237"/>
  <c r="I5" i="237"/>
  <c r="H5" i="237"/>
  <c r="G5" i="237"/>
  <c r="F5" i="237"/>
  <c r="E5" i="237"/>
  <c r="D5" i="237"/>
  <c r="C5" i="237"/>
  <c r="A5" i="237"/>
  <c r="I3" i="237"/>
  <c r="H3" i="237"/>
  <c r="G3" i="237"/>
  <c r="F3" i="237"/>
  <c r="E3" i="237"/>
  <c r="D3" i="237"/>
  <c r="C3" i="237"/>
  <c r="B2" i="237"/>
  <c r="A2" i="237"/>
  <c r="L49" i="338"/>
  <c r="K49" i="338"/>
  <c r="E85" i="350"/>
  <c r="E82" i="248"/>
  <c r="D82" i="248"/>
  <c r="C49" i="248"/>
  <c r="K85" i="350"/>
  <c r="J85" i="350"/>
  <c r="I85" i="350"/>
  <c r="K82" i="248"/>
  <c r="J43" i="131"/>
  <c r="J44" i="131"/>
  <c r="J45" i="131"/>
  <c r="J46" i="131"/>
  <c r="J47" i="131"/>
  <c r="J48" i="131"/>
  <c r="J49" i="131"/>
  <c r="I43" i="131"/>
  <c r="I44" i="131"/>
  <c r="I45" i="131"/>
  <c r="I46" i="131"/>
  <c r="I47" i="131"/>
  <c r="I48" i="131"/>
  <c r="I49" i="131"/>
  <c r="H43" i="131"/>
  <c r="H44" i="131"/>
  <c r="H45" i="131"/>
  <c r="H46" i="131"/>
  <c r="H47" i="131"/>
  <c r="H48" i="131"/>
  <c r="H49" i="131"/>
  <c r="G43" i="131"/>
  <c r="G44" i="131"/>
  <c r="G45" i="131"/>
  <c r="G46" i="131"/>
  <c r="G47" i="131"/>
  <c r="G48" i="131"/>
  <c r="G49" i="131"/>
  <c r="F43" i="131"/>
  <c r="F44" i="131"/>
  <c r="F45" i="131"/>
  <c r="F46" i="131"/>
  <c r="F47" i="131"/>
  <c r="F48" i="131"/>
  <c r="F49" i="131"/>
  <c r="E43" i="131"/>
  <c r="E44" i="131"/>
  <c r="E45" i="131"/>
  <c r="E46" i="131"/>
  <c r="E47" i="131"/>
  <c r="E48" i="131"/>
  <c r="E49" i="131"/>
  <c r="D43" i="131"/>
  <c r="D44" i="131"/>
  <c r="D45" i="131"/>
  <c r="D46" i="131"/>
  <c r="D47" i="131"/>
  <c r="D48" i="131"/>
  <c r="D49" i="131"/>
  <c r="C43" i="131"/>
  <c r="C44" i="131"/>
  <c r="C45" i="131"/>
  <c r="C46" i="131"/>
  <c r="C47" i="131"/>
  <c r="C48" i="131"/>
  <c r="C49" i="131"/>
  <c r="L43" i="131"/>
  <c r="L44" i="131"/>
  <c r="L45" i="131"/>
  <c r="L46" i="131"/>
  <c r="L47" i="131"/>
  <c r="L48" i="131"/>
  <c r="K43" i="131"/>
  <c r="K44" i="131"/>
  <c r="K45" i="131"/>
  <c r="K46" i="131"/>
  <c r="K47" i="131"/>
  <c r="K48" i="131"/>
  <c r="A47" i="131"/>
  <c r="A39" i="131"/>
  <c r="C85" i="350"/>
  <c r="C82" i="248"/>
  <c r="I3" i="131"/>
  <c r="H3" i="131"/>
  <c r="G3" i="131"/>
  <c r="F3" i="131"/>
  <c r="E3" i="131"/>
  <c r="D3" i="131"/>
  <c r="C3" i="131"/>
  <c r="B2" i="131"/>
  <c r="A2" i="131"/>
  <c r="A49" i="129"/>
  <c r="L46" i="129"/>
  <c r="K46" i="129"/>
  <c r="J46" i="129"/>
  <c r="I46" i="129"/>
  <c r="H46" i="129"/>
  <c r="G46" i="129"/>
  <c r="F46" i="129"/>
  <c r="F45" i="129"/>
  <c r="F48" i="129"/>
  <c r="E46" i="129"/>
  <c r="E48" i="129"/>
  <c r="D46" i="129"/>
  <c r="C46" i="129"/>
  <c r="I45" i="129"/>
  <c r="H45" i="129"/>
  <c r="G45" i="129"/>
  <c r="L38" i="129"/>
  <c r="K38" i="129"/>
  <c r="J38" i="129"/>
  <c r="I38" i="129"/>
  <c r="H38" i="129"/>
  <c r="G38" i="129"/>
  <c r="F38" i="129"/>
  <c r="E38" i="129"/>
  <c r="D38" i="129"/>
  <c r="C38" i="129"/>
  <c r="L37" i="129"/>
  <c r="K37" i="129"/>
  <c r="J37" i="129"/>
  <c r="I37" i="129"/>
  <c r="I11" i="88"/>
  <c r="H37" i="129"/>
  <c r="G37" i="129"/>
  <c r="G39" i="129"/>
  <c r="F37" i="129"/>
  <c r="E37" i="129"/>
  <c r="D37" i="129"/>
  <c r="C37" i="129"/>
  <c r="L32" i="129"/>
  <c r="K32" i="129"/>
  <c r="J32" i="129"/>
  <c r="I32" i="129"/>
  <c r="H32" i="129"/>
  <c r="G32" i="129"/>
  <c r="F32" i="129"/>
  <c r="E32" i="129"/>
  <c r="D32" i="129"/>
  <c r="C32" i="129"/>
  <c r="L30" i="129"/>
  <c r="K30" i="129"/>
  <c r="J30" i="129"/>
  <c r="I30" i="129"/>
  <c r="H30" i="129"/>
  <c r="G30" i="129"/>
  <c r="F30" i="129"/>
  <c r="E30" i="129"/>
  <c r="D30" i="129"/>
  <c r="C30" i="129"/>
  <c r="L19" i="129"/>
  <c r="K19" i="129"/>
  <c r="J19" i="129"/>
  <c r="I19" i="129"/>
  <c r="J17" i="123"/>
  <c r="H19" i="129"/>
  <c r="G19" i="129"/>
  <c r="G24" i="129"/>
  <c r="F19" i="129"/>
  <c r="E19" i="129"/>
  <c r="D19" i="129"/>
  <c r="C19" i="129"/>
  <c r="J11" i="129"/>
  <c r="K11" i="129"/>
  <c r="L8" i="129"/>
  <c r="K8" i="129"/>
  <c r="I8" i="129"/>
  <c r="G8" i="129"/>
  <c r="F8" i="129"/>
  <c r="E8" i="129"/>
  <c r="D8" i="129"/>
  <c r="C8" i="129"/>
  <c r="L7" i="129"/>
  <c r="L6" i="237"/>
  <c r="K7" i="129"/>
  <c r="K12" i="129"/>
  <c r="J7" i="129"/>
  <c r="I7" i="129"/>
  <c r="H7" i="129"/>
  <c r="G7" i="129"/>
  <c r="F7" i="129"/>
  <c r="E7" i="129"/>
  <c r="D7" i="129"/>
  <c r="D12" i="129"/>
  <c r="C7" i="129"/>
  <c r="I3" i="129"/>
  <c r="H3" i="129"/>
  <c r="G3" i="129"/>
  <c r="F3" i="129"/>
  <c r="E3" i="129"/>
  <c r="D3" i="129"/>
  <c r="C3" i="129"/>
  <c r="B2" i="129"/>
  <c r="A2" i="129"/>
  <c r="F6" i="343"/>
  <c r="F17" i="343"/>
  <c r="F31" i="343"/>
  <c r="F34" i="343"/>
  <c r="F29" i="343"/>
  <c r="F40" i="343"/>
  <c r="F55" i="343"/>
  <c r="F51" i="343"/>
  <c r="F62" i="343"/>
  <c r="F73" i="343"/>
  <c r="F84" i="343"/>
  <c r="F100" i="343"/>
  <c r="F103" i="343"/>
  <c r="F95" i="343"/>
  <c r="F106" i="343"/>
  <c r="F117" i="343"/>
  <c r="F128" i="343"/>
  <c r="F139" i="343"/>
  <c r="F150" i="343"/>
  <c r="F161" i="343"/>
  <c r="F172" i="343"/>
  <c r="F176" i="343"/>
  <c r="F187" i="343"/>
  <c r="F200" i="343"/>
  <c r="F211" i="343"/>
  <c r="F222" i="343"/>
  <c r="F233" i="343"/>
  <c r="F244" i="343"/>
  <c r="F255" i="343"/>
  <c r="F266" i="343"/>
  <c r="F277" i="343"/>
  <c r="F288" i="343"/>
  <c r="F299" i="343"/>
  <c r="F310" i="343"/>
  <c r="F321" i="343"/>
  <c r="F332" i="343"/>
  <c r="F343" i="343"/>
  <c r="F344" i="343"/>
  <c r="E6" i="343"/>
  <c r="E17" i="343"/>
  <c r="E29" i="343"/>
  <c r="E40" i="343"/>
  <c r="E51" i="343"/>
  <c r="E62" i="343"/>
  <c r="E73" i="343"/>
  <c r="E84" i="343"/>
  <c r="E95" i="343"/>
  <c r="E106" i="343"/>
  <c r="E117" i="343"/>
  <c r="E128" i="343"/>
  <c r="E139" i="343"/>
  <c r="E150" i="343"/>
  <c r="E161" i="343"/>
  <c r="E172" i="343"/>
  <c r="E176" i="343"/>
  <c r="E187" i="343"/>
  <c r="E200" i="343"/>
  <c r="E211" i="343"/>
  <c r="E222" i="343"/>
  <c r="E233" i="343"/>
  <c r="E244" i="343"/>
  <c r="E255" i="343"/>
  <c r="E266" i="343"/>
  <c r="E277" i="343"/>
  <c r="E288" i="343"/>
  <c r="E299" i="343"/>
  <c r="E310" i="343"/>
  <c r="E321" i="343"/>
  <c r="E332" i="343"/>
  <c r="E343" i="343"/>
  <c r="E344" i="343"/>
  <c r="D6" i="343"/>
  <c r="D17" i="343"/>
  <c r="D29" i="343"/>
  <c r="D40" i="343"/>
  <c r="D51" i="343"/>
  <c r="D62" i="343"/>
  <c r="D73" i="343"/>
  <c r="D84" i="343"/>
  <c r="D95" i="343"/>
  <c r="D106" i="343"/>
  <c r="D117" i="343"/>
  <c r="D128" i="343"/>
  <c r="D139" i="343"/>
  <c r="D150" i="343"/>
  <c r="D161" i="343"/>
  <c r="D172" i="343"/>
  <c r="D176" i="343"/>
  <c r="D187" i="343"/>
  <c r="D200" i="343"/>
  <c r="D211" i="343"/>
  <c r="D222" i="343"/>
  <c r="D233" i="343"/>
  <c r="D244" i="343"/>
  <c r="D255" i="343"/>
  <c r="D266" i="343"/>
  <c r="D277" i="343"/>
  <c r="D288" i="343"/>
  <c r="D299" i="343"/>
  <c r="D310" i="343"/>
  <c r="D321" i="343"/>
  <c r="D332" i="343"/>
  <c r="D343" i="343"/>
  <c r="D344" i="343"/>
  <c r="C6" i="343"/>
  <c r="C17" i="343"/>
  <c r="C29" i="343"/>
  <c r="C40" i="343"/>
  <c r="C51" i="343"/>
  <c r="C62" i="343"/>
  <c r="C73" i="343"/>
  <c r="C84" i="343"/>
  <c r="C95" i="343"/>
  <c r="C106" i="343"/>
  <c r="C117" i="343"/>
  <c r="C128" i="343"/>
  <c r="C139" i="343"/>
  <c r="C150" i="343"/>
  <c r="C161" i="343"/>
  <c r="C172" i="343"/>
  <c r="C176" i="343"/>
  <c r="C187" i="343"/>
  <c r="C200" i="343"/>
  <c r="C211" i="343"/>
  <c r="C222" i="343"/>
  <c r="C233" i="343"/>
  <c r="C244" i="343"/>
  <c r="C255" i="343"/>
  <c r="C266" i="343"/>
  <c r="C277" i="343"/>
  <c r="C288" i="343"/>
  <c r="C299" i="343"/>
  <c r="C310" i="343"/>
  <c r="C321" i="343"/>
  <c r="C332" i="343"/>
  <c r="C343" i="343"/>
  <c r="C344" i="343"/>
  <c r="L176" i="343"/>
  <c r="L187" i="343"/>
  <c r="L200" i="343"/>
  <c r="L211" i="343"/>
  <c r="L222" i="343"/>
  <c r="L233" i="343"/>
  <c r="L244" i="343"/>
  <c r="L255" i="343"/>
  <c r="L266" i="343"/>
  <c r="L277" i="343"/>
  <c r="L288" i="343"/>
  <c r="L299" i="343"/>
  <c r="L310" i="343"/>
  <c r="L321" i="343"/>
  <c r="L332" i="343"/>
  <c r="L343" i="343"/>
  <c r="K176" i="343"/>
  <c r="K187" i="343"/>
  <c r="K200" i="343"/>
  <c r="K211" i="343"/>
  <c r="K222" i="343"/>
  <c r="K233" i="343"/>
  <c r="K244" i="343"/>
  <c r="K255" i="343"/>
  <c r="K266" i="343"/>
  <c r="K277" i="343"/>
  <c r="K288" i="343"/>
  <c r="K299" i="343"/>
  <c r="K310" i="343"/>
  <c r="K321" i="343"/>
  <c r="K332" i="343"/>
  <c r="K343" i="343"/>
  <c r="J176" i="343"/>
  <c r="J187" i="343"/>
  <c r="J200" i="343"/>
  <c r="J211" i="343"/>
  <c r="J222" i="343"/>
  <c r="J233" i="343"/>
  <c r="J244" i="343"/>
  <c r="J255" i="343"/>
  <c r="J266" i="343"/>
  <c r="J277" i="343"/>
  <c r="J288" i="343"/>
  <c r="J299" i="343"/>
  <c r="J310" i="343"/>
  <c r="J321" i="343"/>
  <c r="J332" i="343"/>
  <c r="J343" i="343"/>
  <c r="I176" i="343"/>
  <c r="I187" i="343"/>
  <c r="I200" i="343"/>
  <c r="I211" i="343"/>
  <c r="I222" i="343"/>
  <c r="I233" i="343"/>
  <c r="I244" i="343"/>
  <c r="I255" i="343"/>
  <c r="I266" i="343"/>
  <c r="I277" i="343"/>
  <c r="I288" i="343"/>
  <c r="I299" i="343"/>
  <c r="I310" i="343"/>
  <c r="I321" i="343"/>
  <c r="I332" i="343"/>
  <c r="I343" i="343"/>
  <c r="H176" i="343"/>
  <c r="H187" i="343"/>
  <c r="H200" i="343"/>
  <c r="H211" i="343"/>
  <c r="H222" i="343"/>
  <c r="H233" i="343"/>
  <c r="H244" i="343"/>
  <c r="H255" i="343"/>
  <c r="H266" i="343"/>
  <c r="H277" i="343"/>
  <c r="H288" i="343"/>
  <c r="H299" i="343"/>
  <c r="H310" i="343"/>
  <c r="H321" i="343"/>
  <c r="H332" i="343"/>
  <c r="H343" i="343"/>
  <c r="G176" i="343"/>
  <c r="G187" i="343"/>
  <c r="G200" i="343"/>
  <c r="G211" i="343"/>
  <c r="G222" i="343"/>
  <c r="G233" i="343"/>
  <c r="G244" i="343"/>
  <c r="G255" i="343"/>
  <c r="G266" i="343"/>
  <c r="G277" i="343"/>
  <c r="G288" i="343"/>
  <c r="G299" i="343"/>
  <c r="G310" i="343"/>
  <c r="G321" i="343"/>
  <c r="G332" i="343"/>
  <c r="G343" i="343"/>
  <c r="X6" i="343"/>
  <c r="X17" i="343"/>
  <c r="X29" i="343"/>
  <c r="X40" i="343"/>
  <c r="X51" i="343"/>
  <c r="X62" i="343"/>
  <c r="X73" i="343"/>
  <c r="X84" i="343"/>
  <c r="X95" i="343"/>
  <c r="X106" i="343"/>
  <c r="X117" i="343"/>
  <c r="X128" i="343"/>
  <c r="X139" i="343"/>
  <c r="X150" i="343"/>
  <c r="X161" i="343"/>
  <c r="X172" i="343"/>
  <c r="W6" i="343"/>
  <c r="W17" i="343"/>
  <c r="W29" i="343"/>
  <c r="W40" i="343"/>
  <c r="W51" i="343"/>
  <c r="W62" i="343"/>
  <c r="W73" i="343"/>
  <c r="W84" i="343"/>
  <c r="W95" i="343"/>
  <c r="W106" i="343"/>
  <c r="W117" i="343"/>
  <c r="W128" i="343"/>
  <c r="W139" i="343"/>
  <c r="W150" i="343"/>
  <c r="W161" i="343"/>
  <c r="W172" i="343"/>
  <c r="V6" i="343"/>
  <c r="V17" i="343"/>
  <c r="V29" i="343"/>
  <c r="V40" i="343"/>
  <c r="V51" i="343"/>
  <c r="V62" i="343"/>
  <c r="V73" i="343"/>
  <c r="V84" i="343"/>
  <c r="V100" i="343"/>
  <c r="V95" i="343"/>
  <c r="V106" i="343"/>
  <c r="V117" i="343"/>
  <c r="V128" i="343"/>
  <c r="V139" i="343"/>
  <c r="V150" i="343"/>
  <c r="V161" i="343"/>
  <c r="V172" i="343"/>
  <c r="U7" i="343"/>
  <c r="U8" i="343"/>
  <c r="U9" i="343"/>
  <c r="U10" i="343"/>
  <c r="U11" i="343"/>
  <c r="U12" i="343"/>
  <c r="U13" i="343"/>
  <c r="U14" i="343"/>
  <c r="U15" i="343"/>
  <c r="U16" i="343"/>
  <c r="U6" i="343"/>
  <c r="U18" i="343"/>
  <c r="U19" i="343"/>
  <c r="U20" i="343"/>
  <c r="U21" i="343"/>
  <c r="U22" i="343"/>
  <c r="U23" i="343"/>
  <c r="U24" i="343"/>
  <c r="U25" i="343"/>
  <c r="U26" i="343"/>
  <c r="U27" i="343"/>
  <c r="U17" i="343"/>
  <c r="U30" i="343"/>
  <c r="U31" i="343"/>
  <c r="U32" i="343"/>
  <c r="U33" i="343"/>
  <c r="U34" i="343"/>
  <c r="U35" i="343"/>
  <c r="U36" i="343"/>
  <c r="U37" i="343"/>
  <c r="U38" i="343"/>
  <c r="U39" i="343"/>
  <c r="U29" i="343"/>
  <c r="U41" i="343"/>
  <c r="U42" i="343"/>
  <c r="U43" i="343"/>
  <c r="U44" i="343"/>
  <c r="U45" i="343"/>
  <c r="U46" i="343"/>
  <c r="U47" i="343"/>
  <c r="U48" i="343"/>
  <c r="U49" i="343"/>
  <c r="U50" i="343"/>
  <c r="U40" i="343"/>
  <c r="U52" i="343"/>
  <c r="U53" i="343"/>
  <c r="U54" i="343"/>
  <c r="U55" i="343"/>
  <c r="U56" i="343"/>
  <c r="U57" i="343"/>
  <c r="U58" i="343"/>
  <c r="U59" i="343"/>
  <c r="U60" i="343"/>
  <c r="U61" i="343"/>
  <c r="U51" i="343"/>
  <c r="U63" i="343"/>
  <c r="U64" i="343"/>
  <c r="U65" i="343"/>
  <c r="U66" i="343"/>
  <c r="U67" i="343"/>
  <c r="U68" i="343"/>
  <c r="U69" i="343"/>
  <c r="U70" i="343"/>
  <c r="U71" i="343"/>
  <c r="U72" i="343"/>
  <c r="U62" i="343"/>
  <c r="U74" i="343"/>
  <c r="U75" i="343"/>
  <c r="U76" i="343"/>
  <c r="U77" i="343"/>
  <c r="U78" i="343"/>
  <c r="U79" i="343"/>
  <c r="U80" i="343"/>
  <c r="U81" i="343"/>
  <c r="U82" i="343"/>
  <c r="U83" i="343"/>
  <c r="U73" i="343"/>
  <c r="U85" i="343"/>
  <c r="U86" i="343"/>
  <c r="U87" i="343"/>
  <c r="U88" i="343"/>
  <c r="U89" i="343"/>
  <c r="U90" i="343"/>
  <c r="U91" i="343"/>
  <c r="U92" i="343"/>
  <c r="U93" i="343"/>
  <c r="U94" i="343"/>
  <c r="U84" i="343"/>
  <c r="U96" i="343"/>
  <c r="U97" i="343"/>
  <c r="U98" i="343"/>
  <c r="U99" i="343"/>
  <c r="U100" i="343"/>
  <c r="U101" i="343"/>
  <c r="U102" i="343"/>
  <c r="U103" i="343"/>
  <c r="U104" i="343"/>
  <c r="U105" i="343"/>
  <c r="U95" i="343"/>
  <c r="U107" i="343"/>
  <c r="U108" i="343"/>
  <c r="U109" i="343"/>
  <c r="U110" i="343"/>
  <c r="U111" i="343"/>
  <c r="U112" i="343"/>
  <c r="U113" i="343"/>
  <c r="U114" i="343"/>
  <c r="U115" i="343"/>
  <c r="U116" i="343"/>
  <c r="U106" i="343"/>
  <c r="U118" i="343"/>
  <c r="U119" i="343"/>
  <c r="U120" i="343"/>
  <c r="U121" i="343"/>
  <c r="U122" i="343"/>
  <c r="U123" i="343"/>
  <c r="U124" i="343"/>
  <c r="U125" i="343"/>
  <c r="U126" i="343"/>
  <c r="U127" i="343"/>
  <c r="U117" i="343"/>
  <c r="U129" i="343"/>
  <c r="U130" i="343"/>
  <c r="U131" i="343"/>
  <c r="U132" i="343"/>
  <c r="U133" i="343"/>
  <c r="U134" i="343"/>
  <c r="U135" i="343"/>
  <c r="U136" i="343"/>
  <c r="U137" i="343"/>
  <c r="U138" i="343"/>
  <c r="U128" i="343"/>
  <c r="U140" i="343"/>
  <c r="U141" i="343"/>
  <c r="U142" i="343"/>
  <c r="U143" i="343"/>
  <c r="U144" i="343"/>
  <c r="U145" i="343"/>
  <c r="U146" i="343"/>
  <c r="U147" i="343"/>
  <c r="U148" i="343"/>
  <c r="U149" i="343"/>
  <c r="U139" i="343"/>
  <c r="U151" i="343"/>
  <c r="U152" i="343"/>
  <c r="U153" i="343"/>
  <c r="U154" i="343"/>
  <c r="U155" i="343"/>
  <c r="U156" i="343"/>
  <c r="U157" i="343"/>
  <c r="U158" i="343"/>
  <c r="U159" i="343"/>
  <c r="U160" i="343"/>
  <c r="U150" i="343"/>
  <c r="U162" i="343"/>
  <c r="U163" i="343"/>
  <c r="U164" i="343"/>
  <c r="U165" i="343"/>
  <c r="U166" i="343"/>
  <c r="U167" i="343"/>
  <c r="U168" i="343"/>
  <c r="U169" i="343"/>
  <c r="U170" i="343"/>
  <c r="U171" i="343"/>
  <c r="U161" i="343"/>
  <c r="U172" i="343"/>
  <c r="S6" i="343"/>
  <c r="S17" i="343"/>
  <c r="S29" i="343"/>
  <c r="S40" i="343"/>
  <c r="S51" i="343"/>
  <c r="S62" i="343"/>
  <c r="S73" i="343"/>
  <c r="S84" i="343"/>
  <c r="S95" i="343"/>
  <c r="S106" i="343"/>
  <c r="S117" i="343"/>
  <c r="S128" i="343"/>
  <c r="S139" i="343"/>
  <c r="S150" i="343"/>
  <c r="S161" i="343"/>
  <c r="S172" i="343"/>
  <c r="R6" i="343"/>
  <c r="R17" i="343"/>
  <c r="R29" i="343"/>
  <c r="R40" i="343"/>
  <c r="R51" i="343"/>
  <c r="R62" i="343"/>
  <c r="R73" i="343"/>
  <c r="R84" i="343"/>
  <c r="R95" i="343"/>
  <c r="R106" i="343"/>
  <c r="R117" i="343"/>
  <c r="R128" i="343"/>
  <c r="R139" i="343"/>
  <c r="R150" i="343"/>
  <c r="R161" i="343"/>
  <c r="R172" i="343"/>
  <c r="Q7" i="343"/>
  <c r="Q8" i="343"/>
  <c r="Q9" i="343"/>
  <c r="Q10" i="343"/>
  <c r="Q11" i="343"/>
  <c r="Q12" i="343"/>
  <c r="Q13" i="343"/>
  <c r="Q14" i="343"/>
  <c r="Q15" i="343"/>
  <c r="Q16" i="343"/>
  <c r="Q6" i="343"/>
  <c r="Q18" i="343"/>
  <c r="Q19" i="343"/>
  <c r="Q20" i="343"/>
  <c r="Q21" i="343"/>
  <c r="Q22" i="343"/>
  <c r="Q23" i="343"/>
  <c r="Q24" i="343"/>
  <c r="Q25" i="343"/>
  <c r="Q26" i="343"/>
  <c r="Q27" i="343"/>
  <c r="Q17" i="343"/>
  <c r="Q30" i="343"/>
  <c r="Q31" i="343"/>
  <c r="Q32" i="343"/>
  <c r="Q33" i="343"/>
  <c r="Q34" i="343"/>
  <c r="Q35" i="343"/>
  <c r="Q36" i="343"/>
  <c r="Q37" i="343"/>
  <c r="Q38" i="343"/>
  <c r="Q39" i="343"/>
  <c r="Q29" i="343"/>
  <c r="Q41" i="343"/>
  <c r="Q42" i="343"/>
  <c r="Q43" i="343"/>
  <c r="Q44" i="343"/>
  <c r="Q45" i="343"/>
  <c r="Q46" i="343"/>
  <c r="Q47" i="343"/>
  <c r="Q48" i="343"/>
  <c r="Q49" i="343"/>
  <c r="Q50" i="343"/>
  <c r="Q40" i="343"/>
  <c r="Q52" i="343"/>
  <c r="Q53" i="343"/>
  <c r="Q54" i="343"/>
  <c r="Q55" i="343"/>
  <c r="Q56" i="343"/>
  <c r="Q57" i="343"/>
  <c r="Q58" i="343"/>
  <c r="Q59" i="343"/>
  <c r="Q60" i="343"/>
  <c r="Q61" i="343"/>
  <c r="Q51" i="343"/>
  <c r="Q63" i="343"/>
  <c r="Q64" i="343"/>
  <c r="Q65" i="343"/>
  <c r="Q66" i="343"/>
  <c r="Q67" i="343"/>
  <c r="Q68" i="343"/>
  <c r="Q69" i="343"/>
  <c r="Q70" i="343"/>
  <c r="Q71" i="343"/>
  <c r="Q72" i="343"/>
  <c r="Q62" i="343"/>
  <c r="Q74" i="343"/>
  <c r="Q75" i="343"/>
  <c r="Q76" i="343"/>
  <c r="Q77" i="343"/>
  <c r="Q78" i="343"/>
  <c r="Q79" i="343"/>
  <c r="Q80" i="343"/>
  <c r="Q81" i="343"/>
  <c r="Q82" i="343"/>
  <c r="Q83" i="343"/>
  <c r="Q73" i="343"/>
  <c r="Q85" i="343"/>
  <c r="Q86" i="343"/>
  <c r="Q87" i="343"/>
  <c r="Q88" i="343"/>
  <c r="Q89" i="343"/>
  <c r="Q90" i="343"/>
  <c r="Q91" i="343"/>
  <c r="Q92" i="343"/>
  <c r="Q93" i="343"/>
  <c r="Q94" i="343"/>
  <c r="Q84" i="343"/>
  <c r="Q96" i="343"/>
  <c r="Q97" i="343"/>
  <c r="Q98" i="343"/>
  <c r="Q99" i="343"/>
  <c r="Q100" i="343"/>
  <c r="Q101" i="343"/>
  <c r="Q102" i="343"/>
  <c r="Q103" i="343"/>
  <c r="Q104" i="343"/>
  <c r="Q105" i="343"/>
  <c r="Q95" i="343"/>
  <c r="Q107" i="343"/>
  <c r="Q108" i="343"/>
  <c r="Q109" i="343"/>
  <c r="Q110" i="343"/>
  <c r="Q111" i="343"/>
  <c r="Q112" i="343"/>
  <c r="Q113" i="343"/>
  <c r="Q114" i="343"/>
  <c r="Q115" i="343"/>
  <c r="Q116" i="343"/>
  <c r="Q106" i="343"/>
  <c r="Q118" i="343"/>
  <c r="Q119" i="343"/>
  <c r="Q120" i="343"/>
  <c r="Q121" i="343"/>
  <c r="Q122" i="343"/>
  <c r="Q123" i="343"/>
  <c r="Q124" i="343"/>
  <c r="Q125" i="343"/>
  <c r="Q126" i="343"/>
  <c r="Q127" i="343"/>
  <c r="Q117" i="343"/>
  <c r="Q129" i="343"/>
  <c r="Q130" i="343"/>
  <c r="Q131" i="343"/>
  <c r="Q132" i="343"/>
  <c r="Q133" i="343"/>
  <c r="Q134" i="343"/>
  <c r="Q135" i="343"/>
  <c r="Q136" i="343"/>
  <c r="Q137" i="343"/>
  <c r="Q138" i="343"/>
  <c r="Q128" i="343"/>
  <c r="Q140" i="343"/>
  <c r="Q141" i="343"/>
  <c r="Q142" i="343"/>
  <c r="Q143" i="343"/>
  <c r="Q144" i="343"/>
  <c r="Q145" i="343"/>
  <c r="Q146" i="343"/>
  <c r="Q147" i="343"/>
  <c r="Q148" i="343"/>
  <c r="Q149" i="343"/>
  <c r="Q139" i="343"/>
  <c r="Q151" i="343"/>
  <c r="Q152" i="343"/>
  <c r="Q153" i="343"/>
  <c r="Q154" i="343"/>
  <c r="Q155" i="343"/>
  <c r="Q156" i="343"/>
  <c r="Q157" i="343"/>
  <c r="Q158" i="343"/>
  <c r="Q159" i="343"/>
  <c r="Q160" i="343"/>
  <c r="Q150" i="343"/>
  <c r="Q162" i="343"/>
  <c r="Q163" i="343"/>
  <c r="Q164" i="343"/>
  <c r="Q165" i="343"/>
  <c r="Q166" i="343"/>
  <c r="Q167" i="343"/>
  <c r="Q168" i="343"/>
  <c r="Q169" i="343"/>
  <c r="Q170" i="343"/>
  <c r="Q171" i="343"/>
  <c r="Q161" i="343"/>
  <c r="Q172" i="343"/>
  <c r="P6" i="343"/>
  <c r="P17" i="343"/>
  <c r="P29" i="343"/>
  <c r="P40" i="343"/>
  <c r="P51" i="343"/>
  <c r="P62" i="343"/>
  <c r="P73" i="343"/>
  <c r="P84" i="343"/>
  <c r="P95" i="343"/>
  <c r="P106" i="343"/>
  <c r="P117" i="343"/>
  <c r="P128" i="343"/>
  <c r="P139" i="343"/>
  <c r="P150" i="343"/>
  <c r="P161" i="343"/>
  <c r="P172" i="343"/>
  <c r="O6" i="343"/>
  <c r="O17" i="343"/>
  <c r="O29" i="343"/>
  <c r="O40" i="343"/>
  <c r="O51" i="343"/>
  <c r="O62" i="343"/>
  <c r="O73" i="343"/>
  <c r="O84" i="343"/>
  <c r="O95" i="343"/>
  <c r="O106" i="343"/>
  <c r="O117" i="343"/>
  <c r="O128" i="343"/>
  <c r="O139" i="343"/>
  <c r="O150" i="343"/>
  <c r="O161" i="343"/>
  <c r="O172" i="343"/>
  <c r="N6" i="343"/>
  <c r="N17" i="343"/>
  <c r="N29" i="343"/>
  <c r="N40" i="343"/>
  <c r="N51" i="343"/>
  <c r="N62" i="343"/>
  <c r="N73" i="343"/>
  <c r="N84" i="343"/>
  <c r="N95" i="343"/>
  <c r="N106" i="343"/>
  <c r="N117" i="343"/>
  <c r="N128" i="343"/>
  <c r="N139" i="343"/>
  <c r="N150" i="343"/>
  <c r="N161" i="343"/>
  <c r="N172" i="343"/>
  <c r="L7" i="343"/>
  <c r="L8" i="343"/>
  <c r="L9" i="343"/>
  <c r="L10" i="343"/>
  <c r="L11" i="343"/>
  <c r="L12" i="343"/>
  <c r="L13" i="343"/>
  <c r="L14" i="343"/>
  <c r="L15" i="343"/>
  <c r="L16" i="343"/>
  <c r="L6" i="343"/>
  <c r="L18" i="343"/>
  <c r="L19" i="343"/>
  <c r="L20" i="343"/>
  <c r="L21" i="343"/>
  <c r="L22" i="343"/>
  <c r="L23" i="343"/>
  <c r="L24" i="343"/>
  <c r="L25" i="343"/>
  <c r="L26" i="343"/>
  <c r="L27" i="343"/>
  <c r="L28" i="343"/>
  <c r="L17" i="343"/>
  <c r="L30" i="343"/>
  <c r="L31" i="343"/>
  <c r="L32" i="343"/>
  <c r="L33" i="343"/>
  <c r="L34" i="343"/>
  <c r="L35" i="343"/>
  <c r="L36" i="343"/>
  <c r="L37" i="343"/>
  <c r="L38" i="343"/>
  <c r="L39" i="343"/>
  <c r="L29" i="343"/>
  <c r="L41" i="343"/>
  <c r="L42" i="343"/>
  <c r="L43" i="343"/>
  <c r="L44" i="343"/>
  <c r="L45" i="343"/>
  <c r="L46" i="343"/>
  <c r="L47" i="343"/>
  <c r="L48" i="343"/>
  <c r="L49" i="343"/>
  <c r="L50" i="343"/>
  <c r="L40" i="343"/>
  <c r="L52" i="343"/>
  <c r="L53" i="343"/>
  <c r="L54" i="343"/>
  <c r="L55" i="343"/>
  <c r="L56" i="343"/>
  <c r="L57" i="343"/>
  <c r="L58" i="343"/>
  <c r="L59" i="343"/>
  <c r="L60" i="343"/>
  <c r="L61" i="343"/>
  <c r="L51" i="343"/>
  <c r="L63" i="343"/>
  <c r="L64" i="343"/>
  <c r="L65" i="343"/>
  <c r="L66" i="343"/>
  <c r="L67" i="343"/>
  <c r="L68" i="343"/>
  <c r="L69" i="343"/>
  <c r="L70" i="343"/>
  <c r="L71" i="343"/>
  <c r="L72" i="343"/>
  <c r="L62" i="343"/>
  <c r="L74" i="343"/>
  <c r="L75" i="343"/>
  <c r="L76" i="343"/>
  <c r="L77" i="343"/>
  <c r="L78" i="343"/>
  <c r="L79" i="343"/>
  <c r="L80" i="343"/>
  <c r="L81" i="343"/>
  <c r="L82" i="343"/>
  <c r="L83" i="343"/>
  <c r="L73" i="343"/>
  <c r="L85" i="343"/>
  <c r="L86" i="343"/>
  <c r="L87" i="343"/>
  <c r="L88" i="343"/>
  <c r="L89" i="343"/>
  <c r="L90" i="343"/>
  <c r="L91" i="343"/>
  <c r="L92" i="343"/>
  <c r="L93" i="343"/>
  <c r="L94" i="343"/>
  <c r="L84" i="343"/>
  <c r="L96" i="343"/>
  <c r="L97" i="343"/>
  <c r="L98" i="343"/>
  <c r="L99" i="343"/>
  <c r="L100" i="343"/>
  <c r="L101" i="343"/>
  <c r="L102" i="343"/>
  <c r="L103" i="343"/>
  <c r="L104" i="343"/>
  <c r="L105" i="343"/>
  <c r="L95" i="343"/>
  <c r="L107" i="343"/>
  <c r="L108" i="343"/>
  <c r="L109" i="343"/>
  <c r="L110" i="343"/>
  <c r="L111" i="343"/>
  <c r="L112" i="343"/>
  <c r="L113" i="343"/>
  <c r="L114" i="343"/>
  <c r="L115" i="343"/>
  <c r="L116" i="343"/>
  <c r="L106" i="343"/>
  <c r="L118" i="343"/>
  <c r="L119" i="343"/>
  <c r="L120" i="343"/>
  <c r="L121" i="343"/>
  <c r="L122" i="343"/>
  <c r="L123" i="343"/>
  <c r="L124" i="343"/>
  <c r="L125" i="343"/>
  <c r="L126" i="343"/>
  <c r="L127" i="343"/>
  <c r="L117" i="343"/>
  <c r="L129" i="343"/>
  <c r="L130" i="343"/>
  <c r="L131" i="343"/>
  <c r="L132" i="343"/>
  <c r="L133" i="343"/>
  <c r="L134" i="343"/>
  <c r="L135" i="343"/>
  <c r="L136" i="343"/>
  <c r="L137" i="343"/>
  <c r="L138" i="343"/>
  <c r="L128" i="343"/>
  <c r="L140" i="343"/>
  <c r="L141" i="343"/>
  <c r="L142" i="343"/>
  <c r="L143" i="343"/>
  <c r="L144" i="343"/>
  <c r="L145" i="343"/>
  <c r="L146" i="343"/>
  <c r="L147" i="343"/>
  <c r="L148" i="343"/>
  <c r="L149" i="343"/>
  <c r="L139" i="343"/>
  <c r="L151" i="343"/>
  <c r="L152" i="343"/>
  <c r="L153" i="343"/>
  <c r="L154" i="343"/>
  <c r="L155" i="343"/>
  <c r="L156" i="343"/>
  <c r="L157" i="343"/>
  <c r="L158" i="343"/>
  <c r="L159" i="343"/>
  <c r="L160" i="343"/>
  <c r="L150" i="343"/>
  <c r="L162" i="343"/>
  <c r="L163" i="343"/>
  <c r="L164" i="343"/>
  <c r="L165" i="343"/>
  <c r="L166" i="343"/>
  <c r="L167" i="343"/>
  <c r="L168" i="343"/>
  <c r="L169" i="343"/>
  <c r="L170" i="343"/>
  <c r="L171" i="343"/>
  <c r="L161" i="343"/>
  <c r="L172" i="343"/>
  <c r="K7" i="343"/>
  <c r="K8" i="343"/>
  <c r="K9" i="343"/>
  <c r="K10" i="343"/>
  <c r="K11" i="343"/>
  <c r="K12" i="343"/>
  <c r="K13" i="343"/>
  <c r="K14" i="343"/>
  <c r="K15" i="343"/>
  <c r="K16" i="343"/>
  <c r="K6" i="343"/>
  <c r="K18" i="343"/>
  <c r="K19" i="343"/>
  <c r="K20" i="343"/>
  <c r="K21" i="343"/>
  <c r="K22" i="343"/>
  <c r="K23" i="343"/>
  <c r="K24" i="343"/>
  <c r="K25" i="343"/>
  <c r="K26" i="343"/>
  <c r="K27" i="343"/>
  <c r="K28" i="343"/>
  <c r="K17" i="343"/>
  <c r="K30" i="343"/>
  <c r="K31" i="343"/>
  <c r="K32" i="343"/>
  <c r="K33" i="343"/>
  <c r="K34" i="343"/>
  <c r="K35" i="343"/>
  <c r="K36" i="343"/>
  <c r="K37" i="343"/>
  <c r="K38" i="343"/>
  <c r="K39" i="343"/>
  <c r="K29" i="343"/>
  <c r="K41" i="343"/>
  <c r="K42" i="343"/>
  <c r="K43" i="343"/>
  <c r="K44" i="343"/>
  <c r="K45" i="343"/>
  <c r="K46" i="343"/>
  <c r="K47" i="343"/>
  <c r="K48" i="343"/>
  <c r="K49" i="343"/>
  <c r="K50" i="343"/>
  <c r="K40" i="343"/>
  <c r="K52" i="343"/>
  <c r="K53" i="343"/>
  <c r="K54" i="343"/>
  <c r="K55" i="343"/>
  <c r="K56" i="343"/>
  <c r="K57" i="343"/>
  <c r="K58" i="343"/>
  <c r="K59" i="343"/>
  <c r="K60" i="343"/>
  <c r="K61" i="343"/>
  <c r="K51" i="343"/>
  <c r="K63" i="343"/>
  <c r="K64" i="343"/>
  <c r="K65" i="343"/>
  <c r="K66" i="343"/>
  <c r="K67" i="343"/>
  <c r="K68" i="343"/>
  <c r="K69" i="343"/>
  <c r="K70" i="343"/>
  <c r="K71" i="343"/>
  <c r="K72" i="343"/>
  <c r="K62" i="343"/>
  <c r="K74" i="343"/>
  <c r="K75" i="343"/>
  <c r="K76" i="343"/>
  <c r="K77" i="343"/>
  <c r="K78" i="343"/>
  <c r="K79" i="343"/>
  <c r="K80" i="343"/>
  <c r="K81" i="343"/>
  <c r="K82" i="343"/>
  <c r="K83" i="343"/>
  <c r="K73" i="343"/>
  <c r="K85" i="343"/>
  <c r="K86" i="343"/>
  <c r="K87" i="343"/>
  <c r="K88" i="343"/>
  <c r="K89" i="343"/>
  <c r="K90" i="343"/>
  <c r="K91" i="343"/>
  <c r="K92" i="343"/>
  <c r="K93" i="343"/>
  <c r="K94" i="343"/>
  <c r="K84" i="343"/>
  <c r="K96" i="343"/>
  <c r="K97" i="343"/>
  <c r="K98" i="343"/>
  <c r="K99" i="343"/>
  <c r="K100" i="343"/>
  <c r="K101" i="343"/>
  <c r="K102" i="343"/>
  <c r="K103" i="343"/>
  <c r="K104" i="343"/>
  <c r="K105" i="343"/>
  <c r="K95" i="343"/>
  <c r="K107" i="343"/>
  <c r="K108" i="343"/>
  <c r="K109" i="343"/>
  <c r="K110" i="343"/>
  <c r="K111" i="343"/>
  <c r="K112" i="343"/>
  <c r="K113" i="343"/>
  <c r="K114" i="343"/>
  <c r="K115" i="343"/>
  <c r="K116" i="343"/>
  <c r="K106" i="343"/>
  <c r="K118" i="343"/>
  <c r="K119" i="343"/>
  <c r="K120" i="343"/>
  <c r="K121" i="343"/>
  <c r="K122" i="343"/>
  <c r="K123" i="343"/>
  <c r="K124" i="343"/>
  <c r="K125" i="343"/>
  <c r="K126" i="343"/>
  <c r="K127" i="343"/>
  <c r="K117" i="343"/>
  <c r="K129" i="343"/>
  <c r="K130" i="343"/>
  <c r="K131" i="343"/>
  <c r="K132" i="343"/>
  <c r="K133" i="343"/>
  <c r="K134" i="343"/>
  <c r="K135" i="343"/>
  <c r="K136" i="343"/>
  <c r="K137" i="343"/>
  <c r="K138" i="343"/>
  <c r="K128" i="343"/>
  <c r="K140" i="343"/>
  <c r="K141" i="343"/>
  <c r="K142" i="343"/>
  <c r="K143" i="343"/>
  <c r="K144" i="343"/>
  <c r="K145" i="343"/>
  <c r="K146" i="343"/>
  <c r="K147" i="343"/>
  <c r="K148" i="343"/>
  <c r="K149" i="343"/>
  <c r="K139" i="343"/>
  <c r="K151" i="343"/>
  <c r="K152" i="343"/>
  <c r="K153" i="343"/>
  <c r="K154" i="343"/>
  <c r="K155" i="343"/>
  <c r="K156" i="343"/>
  <c r="K157" i="343"/>
  <c r="K158" i="343"/>
  <c r="K159" i="343"/>
  <c r="K160" i="343"/>
  <c r="K150" i="343"/>
  <c r="K162" i="343"/>
  <c r="K163" i="343"/>
  <c r="K164" i="343"/>
  <c r="K165" i="343"/>
  <c r="K166" i="343"/>
  <c r="K167" i="343"/>
  <c r="K168" i="343"/>
  <c r="K169" i="343"/>
  <c r="K170" i="343"/>
  <c r="K171" i="343"/>
  <c r="K161" i="343"/>
  <c r="K172" i="343"/>
  <c r="J7" i="343"/>
  <c r="J8" i="343"/>
  <c r="J9" i="343"/>
  <c r="J10" i="343"/>
  <c r="J11" i="343"/>
  <c r="J12" i="343"/>
  <c r="J13" i="343"/>
  <c r="J14" i="343"/>
  <c r="J15" i="343"/>
  <c r="J16" i="343"/>
  <c r="J6" i="343"/>
  <c r="J18" i="343"/>
  <c r="J19" i="343"/>
  <c r="J20" i="343"/>
  <c r="J21" i="343"/>
  <c r="J22" i="343"/>
  <c r="J23" i="343"/>
  <c r="J24" i="343"/>
  <c r="J25" i="343"/>
  <c r="J26" i="343"/>
  <c r="J27" i="343"/>
  <c r="J28" i="343"/>
  <c r="J17" i="343"/>
  <c r="J30" i="343"/>
  <c r="J31" i="343"/>
  <c r="J32" i="343"/>
  <c r="J33" i="343"/>
  <c r="J34" i="343"/>
  <c r="J35" i="343"/>
  <c r="J36" i="343"/>
  <c r="J37" i="343"/>
  <c r="J38" i="343"/>
  <c r="J39" i="343"/>
  <c r="J29" i="343"/>
  <c r="J41" i="343"/>
  <c r="J42" i="343"/>
  <c r="J43" i="343"/>
  <c r="J44" i="343"/>
  <c r="J45" i="343"/>
  <c r="J46" i="343"/>
  <c r="J47" i="343"/>
  <c r="J48" i="343"/>
  <c r="J49" i="343"/>
  <c r="J50" i="343"/>
  <c r="J40" i="343"/>
  <c r="J52" i="343"/>
  <c r="J53" i="343"/>
  <c r="J54" i="343"/>
  <c r="J55" i="343"/>
  <c r="J56" i="343"/>
  <c r="J57" i="343"/>
  <c r="J58" i="343"/>
  <c r="J59" i="343"/>
  <c r="J60" i="343"/>
  <c r="J61" i="343"/>
  <c r="J51" i="343"/>
  <c r="J63" i="343"/>
  <c r="J64" i="343"/>
  <c r="J65" i="343"/>
  <c r="J66" i="343"/>
  <c r="J67" i="343"/>
  <c r="J68" i="343"/>
  <c r="J69" i="343"/>
  <c r="J70" i="343"/>
  <c r="J71" i="343"/>
  <c r="J72" i="343"/>
  <c r="J62" i="343"/>
  <c r="J74" i="343"/>
  <c r="J75" i="343"/>
  <c r="J76" i="343"/>
  <c r="J77" i="343"/>
  <c r="J78" i="343"/>
  <c r="J79" i="343"/>
  <c r="J80" i="343"/>
  <c r="J81" i="343"/>
  <c r="J82" i="343"/>
  <c r="J83" i="343"/>
  <c r="J73" i="343"/>
  <c r="J85" i="343"/>
  <c r="J86" i="343"/>
  <c r="J87" i="343"/>
  <c r="J88" i="343"/>
  <c r="J89" i="343"/>
  <c r="J90" i="343"/>
  <c r="J91" i="343"/>
  <c r="J92" i="343"/>
  <c r="J93" i="343"/>
  <c r="J94" i="343"/>
  <c r="J84" i="343"/>
  <c r="J96" i="343"/>
  <c r="J97" i="343"/>
  <c r="J98" i="343"/>
  <c r="J99" i="343"/>
  <c r="J100" i="343"/>
  <c r="J101" i="343"/>
  <c r="J102" i="343"/>
  <c r="J103" i="343"/>
  <c r="J104" i="343"/>
  <c r="J105" i="343"/>
  <c r="J95" i="343"/>
  <c r="J107" i="343"/>
  <c r="J108" i="343"/>
  <c r="J109" i="343"/>
  <c r="J110" i="343"/>
  <c r="J111" i="343"/>
  <c r="J112" i="343"/>
  <c r="J113" i="343"/>
  <c r="J114" i="343"/>
  <c r="J115" i="343"/>
  <c r="J116" i="343"/>
  <c r="J106" i="343"/>
  <c r="J118" i="343"/>
  <c r="J119" i="343"/>
  <c r="J120" i="343"/>
  <c r="J121" i="343"/>
  <c r="J122" i="343"/>
  <c r="J123" i="343"/>
  <c r="J124" i="343"/>
  <c r="J125" i="343"/>
  <c r="J126" i="343"/>
  <c r="J127" i="343"/>
  <c r="J117" i="343"/>
  <c r="J129" i="343"/>
  <c r="J130" i="343"/>
  <c r="J131" i="343"/>
  <c r="J132" i="343"/>
  <c r="J133" i="343"/>
  <c r="J134" i="343"/>
  <c r="J135" i="343"/>
  <c r="J136" i="343"/>
  <c r="J137" i="343"/>
  <c r="J138" i="343"/>
  <c r="J128" i="343"/>
  <c r="J140" i="343"/>
  <c r="J141" i="343"/>
  <c r="J142" i="343"/>
  <c r="J143" i="343"/>
  <c r="J144" i="343"/>
  <c r="J145" i="343"/>
  <c r="J146" i="343"/>
  <c r="J147" i="343"/>
  <c r="J148" i="343"/>
  <c r="J149" i="343"/>
  <c r="J139" i="343"/>
  <c r="J151" i="343"/>
  <c r="J152" i="343"/>
  <c r="J153" i="343"/>
  <c r="J154" i="343"/>
  <c r="J155" i="343"/>
  <c r="J156" i="343"/>
  <c r="J157" i="343"/>
  <c r="J158" i="343"/>
  <c r="J159" i="343"/>
  <c r="J160" i="343"/>
  <c r="J150" i="343"/>
  <c r="J162" i="343"/>
  <c r="J163" i="343"/>
  <c r="J164" i="343"/>
  <c r="J165" i="343"/>
  <c r="J166" i="343"/>
  <c r="J167" i="343"/>
  <c r="J168" i="343"/>
  <c r="J169" i="343"/>
  <c r="J170" i="343"/>
  <c r="J171" i="343"/>
  <c r="J161" i="343"/>
  <c r="J172" i="343"/>
  <c r="I6" i="343"/>
  <c r="I17" i="343"/>
  <c r="I29" i="343"/>
  <c r="I40" i="343"/>
  <c r="I51" i="343"/>
  <c r="I62" i="343"/>
  <c r="I73" i="343"/>
  <c r="I84" i="343"/>
  <c r="I100" i="343"/>
  <c r="I95" i="343"/>
  <c r="I106" i="343"/>
  <c r="I117" i="343"/>
  <c r="I128" i="343"/>
  <c r="I139" i="343"/>
  <c r="I150" i="343"/>
  <c r="I161" i="343"/>
  <c r="I172" i="343"/>
  <c r="H6" i="343"/>
  <c r="H17" i="343"/>
  <c r="H29" i="343"/>
  <c r="H40" i="343"/>
  <c r="H51" i="343"/>
  <c r="H62" i="343"/>
  <c r="H73" i="343"/>
  <c r="H84" i="343"/>
  <c r="H100" i="343"/>
  <c r="H95" i="343"/>
  <c r="H106" i="343"/>
  <c r="H117" i="343"/>
  <c r="H128" i="343"/>
  <c r="H139" i="343"/>
  <c r="H150" i="343"/>
  <c r="H161" i="343"/>
  <c r="H172" i="343"/>
  <c r="G6" i="343"/>
  <c r="G17" i="343"/>
  <c r="G29" i="343"/>
  <c r="G40" i="343"/>
  <c r="G51" i="343"/>
  <c r="G62" i="343"/>
  <c r="G73" i="343"/>
  <c r="G84" i="343"/>
  <c r="G100" i="343"/>
  <c r="G95" i="343"/>
  <c r="G106" i="343"/>
  <c r="G117" i="343"/>
  <c r="G128" i="343"/>
  <c r="G139" i="343"/>
  <c r="G150" i="343"/>
  <c r="G161" i="343"/>
  <c r="G172" i="343"/>
  <c r="A171" i="343"/>
  <c r="A170" i="343"/>
  <c r="A341" i="343"/>
  <c r="A169" i="343"/>
  <c r="A168" i="343"/>
  <c r="A167" i="343"/>
  <c r="A166" i="343"/>
  <c r="A165" i="343"/>
  <c r="A164" i="343"/>
  <c r="A163" i="343"/>
  <c r="A162" i="343"/>
  <c r="T161" i="343"/>
  <c r="A16" i="347"/>
  <c r="A161" i="343"/>
  <c r="A332" i="343"/>
  <c r="A160" i="343"/>
  <c r="A159" i="343"/>
  <c r="A158" i="343"/>
  <c r="A329" i="343"/>
  <c r="A157" i="343"/>
  <c r="A156" i="343"/>
  <c r="A155" i="343"/>
  <c r="A154" i="343"/>
  <c r="A153" i="343"/>
  <c r="A324" i="343"/>
  <c r="A152" i="343"/>
  <c r="A151" i="343"/>
  <c r="T150" i="343"/>
  <c r="A15" i="347"/>
  <c r="A150" i="343"/>
  <c r="A321" i="343"/>
  <c r="A149" i="343"/>
  <c r="A320" i="343"/>
  <c r="A148" i="343"/>
  <c r="A319" i="343"/>
  <c r="A147" i="343"/>
  <c r="A146" i="343"/>
  <c r="A145" i="343"/>
  <c r="A144" i="343"/>
  <c r="A315" i="343"/>
  <c r="A143" i="343"/>
  <c r="A314" i="343"/>
  <c r="A142" i="343"/>
  <c r="A141" i="343"/>
  <c r="A140" i="343"/>
  <c r="T139" i="343"/>
  <c r="A14" i="347"/>
  <c r="A139" i="343"/>
  <c r="A310" i="343"/>
  <c r="A138" i="343"/>
  <c r="A309" i="343"/>
  <c r="A137" i="343"/>
  <c r="A136" i="343"/>
  <c r="A135" i="343"/>
  <c r="A134" i="343"/>
  <c r="A133" i="343"/>
  <c r="A132" i="343"/>
  <c r="A131" i="343"/>
  <c r="A130" i="343"/>
  <c r="A129" i="343"/>
  <c r="T128" i="343"/>
  <c r="A13" i="347"/>
  <c r="A128" i="343"/>
  <c r="A299" i="343"/>
  <c r="A127" i="343"/>
  <c r="A126" i="343"/>
  <c r="A297" i="343"/>
  <c r="A125" i="343"/>
  <c r="A124" i="343"/>
  <c r="A123" i="343"/>
  <c r="A122" i="343"/>
  <c r="A121" i="343"/>
  <c r="A120" i="343"/>
  <c r="A119" i="343"/>
  <c r="A118" i="343"/>
  <c r="T117" i="343"/>
  <c r="A12" i="347"/>
  <c r="A117" i="343"/>
  <c r="A288" i="343"/>
  <c r="A116" i="343"/>
  <c r="A287" i="343"/>
  <c r="A115" i="343"/>
  <c r="A114" i="343"/>
  <c r="A113" i="343"/>
  <c r="A112" i="343"/>
  <c r="A111" i="343"/>
  <c r="A282" i="343"/>
  <c r="A110" i="343"/>
  <c r="A109" i="343"/>
  <c r="A108" i="343"/>
  <c r="A107" i="343"/>
  <c r="T106" i="343"/>
  <c r="A11" i="347"/>
  <c r="A106" i="343"/>
  <c r="A277" i="343"/>
  <c r="A105" i="343"/>
  <c r="A104" i="343"/>
  <c r="A275" i="343"/>
  <c r="A103" i="343"/>
  <c r="A274" i="343"/>
  <c r="A102" i="343"/>
  <c r="A101" i="343"/>
  <c r="A313" i="343"/>
  <c r="A273" i="343"/>
  <c r="A272" i="343"/>
  <c r="A318" i="343"/>
  <c r="A317" i="343"/>
  <c r="F39" i="129"/>
  <c r="A281" i="343"/>
  <c r="A280" i="343"/>
  <c r="A279" i="343"/>
  <c r="A278" i="343"/>
  <c r="A323" i="343"/>
  <c r="A340" i="343"/>
  <c r="A276" i="343"/>
  <c r="F12" i="129"/>
  <c r="L11" i="129"/>
  <c r="L12" i="129"/>
  <c r="E39" i="129"/>
  <c r="K39" i="129"/>
  <c r="A316" i="343"/>
  <c r="A298" i="343"/>
  <c r="A322" i="343"/>
  <c r="A339" i="343"/>
  <c r="A338" i="343"/>
  <c r="A337" i="343"/>
  <c r="A336" i="343"/>
  <c r="A335" i="343"/>
  <c r="A334" i="343"/>
  <c r="A333" i="343"/>
  <c r="A312" i="343"/>
  <c r="A311" i="343"/>
  <c r="A342" i="343"/>
  <c r="I12" i="129"/>
  <c r="G12" i="129"/>
  <c r="D48" i="129"/>
  <c r="C48" i="129"/>
  <c r="A286" i="343"/>
  <c r="A308" i="343"/>
  <c r="A307" i="343"/>
  <c r="A306" i="343"/>
  <c r="A305" i="343"/>
  <c r="A304" i="343"/>
  <c r="A303" i="343"/>
  <c r="A302" i="343"/>
  <c r="A301" i="343"/>
  <c r="A300" i="343"/>
  <c r="A331" i="343"/>
  <c r="A328" i="343"/>
  <c r="A327" i="343"/>
  <c r="A326" i="343"/>
  <c r="A325" i="343"/>
  <c r="G25" i="129"/>
  <c r="K6" i="237"/>
  <c r="J6" i="237"/>
  <c r="L8" i="237"/>
  <c r="M55" i="123"/>
  <c r="M15" i="123"/>
  <c r="L35" i="237"/>
  <c r="E85" i="349"/>
  <c r="E95" i="248"/>
  <c r="E84" i="248"/>
  <c r="F17" i="123"/>
  <c r="E17" i="123"/>
  <c r="C36" i="142"/>
  <c r="G36" i="142"/>
  <c r="J36" i="142"/>
  <c r="F15" i="123"/>
  <c r="E35" i="237"/>
  <c r="J8" i="129"/>
  <c r="J12" i="129"/>
  <c r="K35" i="237"/>
  <c r="D85" i="349"/>
  <c r="D95" i="248"/>
  <c r="D84" i="248"/>
  <c r="H85" i="349"/>
  <c r="H95" i="248"/>
  <c r="I17" i="123"/>
  <c r="K85" i="349"/>
  <c r="K95" i="248"/>
  <c r="D71" i="144"/>
  <c r="C71" i="144"/>
  <c r="D11" i="88"/>
  <c r="C11" i="88"/>
  <c r="H71" i="144"/>
  <c r="H11" i="88"/>
  <c r="K71" i="144"/>
  <c r="J71" i="144"/>
  <c r="L11" i="88"/>
  <c r="K11" i="88"/>
  <c r="L34" i="129"/>
  <c r="A296" i="343"/>
  <c r="A295" i="343"/>
  <c r="A294" i="343"/>
  <c r="A293" i="343"/>
  <c r="A292" i="343"/>
  <c r="A291" i="343"/>
  <c r="A290" i="343"/>
  <c r="A289" i="343"/>
  <c r="F34" i="129"/>
  <c r="J34" i="129"/>
  <c r="J15" i="88"/>
  <c r="I39" i="129"/>
  <c r="L48" i="129"/>
  <c r="K48" i="129"/>
  <c r="J48" i="129"/>
  <c r="I48" i="129"/>
  <c r="H48" i="129"/>
  <c r="G48" i="129"/>
  <c r="E36" i="142"/>
  <c r="D36" i="142"/>
  <c r="E6" i="237"/>
  <c r="C35" i="237"/>
  <c r="H55" i="123"/>
  <c r="H15" i="123"/>
  <c r="G35" i="237"/>
  <c r="F85" i="349"/>
  <c r="F95" i="248"/>
  <c r="F84" i="248"/>
  <c r="G17" i="123"/>
  <c r="I85" i="349"/>
  <c r="I95" i="248"/>
  <c r="I84" i="248"/>
  <c r="H84" i="248"/>
  <c r="K17" i="123"/>
  <c r="F71" i="144"/>
  <c r="F11" i="88"/>
  <c r="I71" i="144"/>
  <c r="J11" i="88"/>
  <c r="D6" i="237"/>
  <c r="C6" i="237"/>
  <c r="C8" i="237"/>
  <c r="G55" i="123"/>
  <c r="F55" i="123"/>
  <c r="G15" i="123"/>
  <c r="F35" i="237"/>
  <c r="E71" i="144"/>
  <c r="E11" i="88"/>
  <c r="F36" i="142"/>
  <c r="F6" i="237"/>
  <c r="I36" i="142"/>
  <c r="H36" i="142"/>
  <c r="E15" i="123"/>
  <c r="D35" i="237"/>
  <c r="H8" i="129"/>
  <c r="J55" i="123"/>
  <c r="G84" i="123"/>
  <c r="I35" i="237"/>
  <c r="C85" i="349"/>
  <c r="C95" i="248"/>
  <c r="C84" i="248"/>
  <c r="D17" i="123"/>
  <c r="G85" i="349"/>
  <c r="G95" i="248"/>
  <c r="G84" i="248"/>
  <c r="H17" i="123"/>
  <c r="J85" i="349"/>
  <c r="J95" i="248"/>
  <c r="L17" i="123"/>
  <c r="J84" i="248"/>
  <c r="G71" i="144"/>
  <c r="G11" i="88"/>
  <c r="A285" i="343"/>
  <c r="A284" i="343"/>
  <c r="A283" i="343"/>
  <c r="H34" i="129"/>
  <c r="A330" i="343"/>
  <c r="C12" i="129"/>
  <c r="F24" i="129"/>
  <c r="E24" i="129"/>
  <c r="D24" i="129"/>
  <c r="C24" i="129"/>
  <c r="G34" i="129"/>
  <c r="G40" i="129"/>
  <c r="F40" i="129"/>
  <c r="K34" i="129"/>
  <c r="K14" i="88"/>
  <c r="J39" i="129"/>
  <c r="E12" i="129"/>
  <c r="H24" i="129"/>
  <c r="E34" i="129"/>
  <c r="D34" i="129"/>
  <c r="D13" i="88"/>
  <c r="I34" i="129"/>
  <c r="I14" i="88"/>
  <c r="D39" i="129"/>
  <c r="C39" i="129"/>
  <c r="H39" i="129"/>
  <c r="A100" i="343"/>
  <c r="A271" i="343"/>
  <c r="A99" i="343"/>
  <c r="A98" i="343"/>
  <c r="A97" i="343"/>
  <c r="A96" i="343"/>
  <c r="T95" i="343"/>
  <c r="A10" i="347"/>
  <c r="A95" i="343"/>
  <c r="A266" i="343"/>
  <c r="A94" i="343"/>
  <c r="A93" i="343"/>
  <c r="A264" i="343"/>
  <c r="A92" i="343"/>
  <c r="A91" i="343"/>
  <c r="A90" i="343"/>
  <c r="A89" i="343"/>
  <c r="A88" i="343"/>
  <c r="A87" i="343"/>
  <c r="A86" i="343"/>
  <c r="A257" i="343"/>
  <c r="A85" i="343"/>
  <c r="T84" i="343"/>
  <c r="A9" i="347"/>
  <c r="A84" i="343"/>
  <c r="A255" i="343"/>
  <c r="A83" i="343"/>
  <c r="A82" i="343"/>
  <c r="A253" i="343"/>
  <c r="A81" i="343"/>
  <c r="A80" i="343"/>
  <c r="A79" i="343"/>
  <c r="A78" i="343"/>
  <c r="A249" i="343"/>
  <c r="A77" i="343"/>
  <c r="A76" i="343"/>
  <c r="A75" i="343"/>
  <c r="A74" i="343"/>
  <c r="T73" i="343"/>
  <c r="A8" i="347"/>
  <c r="A73" i="343"/>
  <c r="A244" i="343"/>
  <c r="A72" i="343"/>
  <c r="A243" i="343"/>
  <c r="A71" i="343"/>
  <c r="A70" i="343"/>
  <c r="A69" i="343"/>
  <c r="A68" i="343"/>
  <c r="A67" i="343"/>
  <c r="A238" i="343"/>
  <c r="A66" i="343"/>
  <c r="A65" i="343"/>
  <c r="A64" i="343"/>
  <c r="A63" i="343"/>
  <c r="T62" i="343"/>
  <c r="A7" i="347"/>
  <c r="A62" i="343"/>
  <c r="A233" i="343"/>
  <c r="A61" i="343"/>
  <c r="A60" i="343"/>
  <c r="A59" i="343"/>
  <c r="A58" i="343"/>
  <c r="A57" i="343"/>
  <c r="A56" i="343"/>
  <c r="A55" i="343"/>
  <c r="A54" i="343"/>
  <c r="A53" i="343"/>
  <c r="A52" i="343"/>
  <c r="T51" i="343"/>
  <c r="A6" i="347"/>
  <c r="A51" i="343"/>
  <c r="A222" i="343"/>
  <c r="A50" i="343"/>
  <c r="A221" i="343"/>
  <c r="A49" i="343"/>
  <c r="A48" i="343"/>
  <c r="A47" i="343"/>
  <c r="A46" i="343"/>
  <c r="A45" i="343"/>
  <c r="A44" i="343"/>
  <c r="A43" i="343"/>
  <c r="A42" i="343"/>
  <c r="A41" i="343"/>
  <c r="T40" i="343"/>
  <c r="A5" i="347"/>
  <c r="A40" i="343"/>
  <c r="A211" i="343"/>
  <c r="A39" i="343"/>
  <c r="A38" i="343"/>
  <c r="A209" i="343"/>
  <c r="A37" i="343"/>
  <c r="A36" i="343"/>
  <c r="A35" i="343"/>
  <c r="L14" i="88"/>
  <c r="A270" i="343"/>
  <c r="A269" i="343"/>
  <c r="L15" i="123"/>
  <c r="A248" i="343"/>
  <c r="A254" i="343"/>
  <c r="A263" i="343"/>
  <c r="A262" i="343"/>
  <c r="A210" i="343"/>
  <c r="A247" i="343"/>
  <c r="A246" i="343"/>
  <c r="A245" i="343"/>
  <c r="F13" i="88"/>
  <c r="F14" i="88"/>
  <c r="I6" i="237"/>
  <c r="J8" i="237"/>
  <c r="E14" i="88"/>
  <c r="E13" i="88"/>
  <c r="E25" i="129"/>
  <c r="I55" i="123"/>
  <c r="I15" i="123"/>
  <c r="H35" i="237"/>
  <c r="H12" i="129"/>
  <c r="K55" i="123"/>
  <c r="K15" i="123"/>
  <c r="J15" i="123"/>
  <c r="J35" i="237"/>
  <c r="K8" i="237"/>
  <c r="D14" i="88"/>
  <c r="K15" i="88"/>
  <c r="A232" i="343"/>
  <c r="A231" i="343"/>
  <c r="A230" i="343"/>
  <c r="A229" i="343"/>
  <c r="A228" i="343"/>
  <c r="A227" i="343"/>
  <c r="A226" i="343"/>
  <c r="A225" i="343"/>
  <c r="A224" i="343"/>
  <c r="A223" i="343"/>
  <c r="A242" i="343"/>
  <c r="A241" i="343"/>
  <c r="A240" i="343"/>
  <c r="A239" i="343"/>
  <c r="A256" i="343"/>
  <c r="D25" i="129"/>
  <c r="H40" i="129"/>
  <c r="K13" i="88"/>
  <c r="G14" i="88"/>
  <c r="C34" i="129"/>
  <c r="C15" i="88"/>
  <c r="D40" i="129"/>
  <c r="C13" i="88"/>
  <c r="C25" i="129"/>
  <c r="L24" i="129"/>
  <c r="J14" i="88"/>
  <c r="J13" i="88"/>
  <c r="I13" i="88"/>
  <c r="E55" i="123"/>
  <c r="F84" i="123"/>
  <c r="L55" i="123"/>
  <c r="J84" i="123"/>
  <c r="A220" i="343"/>
  <c r="A219" i="343"/>
  <c r="A218" i="343"/>
  <c r="A217" i="343"/>
  <c r="A216" i="343"/>
  <c r="A215" i="343"/>
  <c r="A214" i="343"/>
  <c r="A213" i="343"/>
  <c r="A212" i="343"/>
  <c r="A268" i="343"/>
  <c r="A267" i="343"/>
  <c r="A261" i="343"/>
  <c r="A260" i="343"/>
  <c r="A259" i="343"/>
  <c r="A258" i="343"/>
  <c r="I15" i="88"/>
  <c r="H15" i="88"/>
  <c r="A208" i="343"/>
  <c r="A207" i="343"/>
  <c r="A206" i="343"/>
  <c r="A237" i="343"/>
  <c r="A236" i="343"/>
  <c r="A235" i="343"/>
  <c r="A234" i="343"/>
  <c r="A252" i="343"/>
  <c r="A251" i="343"/>
  <c r="A250" i="343"/>
  <c r="A265" i="343"/>
  <c r="E40" i="129"/>
  <c r="D15" i="88"/>
  <c r="E15" i="88"/>
  <c r="J40" i="129"/>
  <c r="I40" i="129"/>
  <c r="G15" i="88"/>
  <c r="F15" i="88"/>
  <c r="F25" i="129"/>
  <c r="G42" i="129"/>
  <c r="A34" i="343"/>
  <c r="A33" i="343"/>
  <c r="A32" i="343"/>
  <c r="A31" i="343"/>
  <c r="A30" i="343"/>
  <c r="T29" i="343"/>
  <c r="C14" i="88"/>
  <c r="L13" i="88"/>
  <c r="K24" i="129"/>
  <c r="J24" i="129"/>
  <c r="L25" i="129"/>
  <c r="H14" i="88"/>
  <c r="H13" i="88"/>
  <c r="G13" i="88"/>
  <c r="H25" i="129"/>
  <c r="I84" i="123"/>
  <c r="H84" i="123"/>
  <c r="C40" i="129"/>
  <c r="L39" i="129"/>
  <c r="E84" i="123"/>
  <c r="D84" i="123"/>
  <c r="D55" i="123"/>
  <c r="H6" i="237"/>
  <c r="I8" i="237"/>
  <c r="F42" i="129"/>
  <c r="G55" i="129"/>
  <c r="A205" i="343"/>
  <c r="A204" i="343"/>
  <c r="A203" i="343"/>
  <c r="A202" i="343"/>
  <c r="A201" i="343"/>
  <c r="A4" i="347"/>
  <c r="A29" i="343"/>
  <c r="A200" i="343"/>
  <c r="A27" i="343"/>
  <c r="A199" i="343"/>
  <c r="A26" i="343"/>
  <c r="A196" i="343"/>
  <c r="A25" i="343"/>
  <c r="A195" i="343"/>
  <c r="A24" i="343"/>
  <c r="A23" i="343"/>
  <c r="A22" i="343"/>
  <c r="A21" i="343"/>
  <c r="A20" i="343"/>
  <c r="A19" i="343"/>
  <c r="A18" i="343"/>
  <c r="T17" i="343"/>
  <c r="A3" i="347"/>
  <c r="A17" i="343"/>
  <c r="A187" i="343"/>
  <c r="A16" i="343"/>
  <c r="A15" i="343"/>
  <c r="A185" i="343"/>
  <c r="A14" i="343"/>
  <c r="A13" i="343"/>
  <c r="A12" i="343"/>
  <c r="A182" i="343"/>
  <c r="A11" i="343"/>
  <c r="A10" i="343"/>
  <c r="A9" i="343"/>
  <c r="A8" i="343"/>
  <c r="A7" i="343"/>
  <c r="T6" i="343"/>
  <c r="A2" i="347"/>
  <c r="A6" i="343"/>
  <c r="A176" i="343"/>
  <c r="I3" i="343"/>
  <c r="H3" i="343"/>
  <c r="G3" i="343"/>
  <c r="F3" i="343"/>
  <c r="E3" i="343"/>
  <c r="D3" i="343"/>
  <c r="C3" i="343"/>
  <c r="B2" i="343"/>
  <c r="A2" i="343"/>
  <c r="A75" i="126"/>
  <c r="L70" i="126"/>
  <c r="L74" i="126"/>
  <c r="K70" i="126"/>
  <c r="K74" i="126"/>
  <c r="J70" i="126"/>
  <c r="J74" i="126"/>
  <c r="I70" i="126"/>
  <c r="I73" i="126"/>
  <c r="I74" i="126"/>
  <c r="H70" i="126"/>
  <c r="H73" i="126"/>
  <c r="H74" i="126"/>
  <c r="G70" i="126"/>
  <c r="G73" i="126"/>
  <c r="G74" i="126"/>
  <c r="F70" i="126"/>
  <c r="F73" i="126"/>
  <c r="F74" i="126"/>
  <c r="E73" i="126"/>
  <c r="E74" i="126"/>
  <c r="D73" i="126"/>
  <c r="D74" i="126"/>
  <c r="C73" i="126"/>
  <c r="C74" i="126"/>
  <c r="E42" i="129"/>
  <c r="F55" i="129"/>
  <c r="G6" i="237"/>
  <c r="G8" i="237"/>
  <c r="H8" i="237"/>
  <c r="A186" i="343"/>
  <c r="A194" i="343"/>
  <c r="A193" i="343"/>
  <c r="A192" i="343"/>
  <c r="A191" i="343"/>
  <c r="A190" i="343"/>
  <c r="A189" i="343"/>
  <c r="A188" i="343"/>
  <c r="A184" i="343"/>
  <c r="A183" i="343"/>
  <c r="I24" i="129"/>
  <c r="I25" i="129"/>
  <c r="I42" i="129"/>
  <c r="J25" i="129"/>
  <c r="K25" i="129"/>
  <c r="A181" i="343"/>
  <c r="A180" i="343"/>
  <c r="A179" i="343"/>
  <c r="A178" i="343"/>
  <c r="A177" i="343"/>
  <c r="L63" i="126"/>
  <c r="K63" i="126"/>
  <c r="J63" i="126"/>
  <c r="D42" i="129"/>
  <c r="E55" i="129"/>
  <c r="F8" i="237"/>
  <c r="H42" i="129"/>
  <c r="I55" i="129"/>
  <c r="I43" i="126"/>
  <c r="I47" i="126"/>
  <c r="I53" i="126"/>
  <c r="I60" i="126"/>
  <c r="I57" i="126"/>
  <c r="I63" i="126"/>
  <c r="H43" i="126"/>
  <c r="H47" i="126"/>
  <c r="H53" i="126"/>
  <c r="H60" i="126"/>
  <c r="H57" i="126"/>
  <c r="H63" i="126"/>
  <c r="G43" i="126"/>
  <c r="G47" i="126"/>
  <c r="G53" i="126"/>
  <c r="G60" i="126"/>
  <c r="G57" i="126"/>
  <c r="G63" i="126"/>
  <c r="F44" i="126"/>
  <c r="F43" i="126"/>
  <c r="F49" i="126"/>
  <c r="F50" i="126"/>
  <c r="F47" i="126"/>
  <c r="F55" i="126"/>
  <c r="F53" i="126"/>
  <c r="F60" i="126"/>
  <c r="F57" i="126"/>
  <c r="F63" i="126"/>
  <c r="E43" i="126"/>
  <c r="E47" i="126"/>
  <c r="E53" i="126"/>
  <c r="E58" i="126"/>
  <c r="E57" i="126"/>
  <c r="E63" i="126"/>
  <c r="D43" i="126"/>
  <c r="D47" i="126"/>
  <c r="D53" i="126"/>
  <c r="D58" i="126"/>
  <c r="D57" i="126"/>
  <c r="D63" i="126"/>
  <c r="C43" i="126"/>
  <c r="C47" i="126"/>
  <c r="C53" i="126"/>
  <c r="C58" i="126"/>
  <c r="C57" i="126"/>
  <c r="C63" i="126"/>
  <c r="L38" i="126"/>
  <c r="Q37" i="140"/>
  <c r="K38" i="126"/>
  <c r="P37" i="140"/>
  <c r="J38" i="126"/>
  <c r="O37" i="140"/>
  <c r="N37" i="140"/>
  <c r="I38" i="126"/>
  <c r="H38" i="126"/>
  <c r="G38" i="126"/>
  <c r="F38" i="126"/>
  <c r="E38" i="126"/>
  <c r="D38" i="126"/>
  <c r="C38" i="126"/>
  <c r="L37" i="126"/>
  <c r="Q36" i="140"/>
  <c r="K37" i="126"/>
  <c r="P36" i="140"/>
  <c r="J37" i="126"/>
  <c r="O36" i="140"/>
  <c r="N36" i="140"/>
  <c r="I37" i="126"/>
  <c r="H37" i="126"/>
  <c r="G37" i="126"/>
  <c r="F37" i="126"/>
  <c r="E37" i="126"/>
  <c r="D37" i="126"/>
  <c r="C37" i="126"/>
  <c r="L36" i="126"/>
  <c r="Q35" i="140"/>
  <c r="K36" i="126"/>
  <c r="P35" i="140"/>
  <c r="J36" i="126"/>
  <c r="O35" i="140"/>
  <c r="N35" i="140"/>
  <c r="I36" i="126"/>
  <c r="H36" i="126"/>
  <c r="G36" i="126"/>
  <c r="F36" i="126"/>
  <c r="E36" i="126"/>
  <c r="D36" i="126"/>
  <c r="C36" i="126"/>
  <c r="L35" i="126"/>
  <c r="K35" i="126"/>
  <c r="J35" i="126"/>
  <c r="L34" i="126"/>
  <c r="K34" i="126"/>
  <c r="J34" i="126"/>
  <c r="I34" i="126"/>
  <c r="H34" i="126"/>
  <c r="G34" i="126"/>
  <c r="F34" i="126"/>
  <c r="E34" i="126"/>
  <c r="D34" i="126"/>
  <c r="C34" i="126"/>
  <c r="K33" i="126"/>
  <c r="P32" i="140"/>
  <c r="J33" i="126"/>
  <c r="I33" i="126"/>
  <c r="H33" i="126"/>
  <c r="G33" i="126"/>
  <c r="F33" i="126"/>
  <c r="E33" i="126"/>
  <c r="D33" i="126"/>
  <c r="C33" i="126"/>
  <c r="L32" i="126"/>
  <c r="K32" i="126"/>
  <c r="J32" i="126"/>
  <c r="I32" i="126"/>
  <c r="H32" i="126"/>
  <c r="G32" i="126"/>
  <c r="F32" i="126"/>
  <c r="E32" i="126"/>
  <c r="D32" i="126"/>
  <c r="C32" i="126"/>
  <c r="L31" i="126"/>
  <c r="K31" i="126"/>
  <c r="J31" i="126"/>
  <c r="O30" i="140"/>
  <c r="N30" i="140"/>
  <c r="I31" i="126"/>
  <c r="H31" i="126"/>
  <c r="G31" i="126"/>
  <c r="F31" i="126"/>
  <c r="E31" i="126"/>
  <c r="D31" i="126"/>
  <c r="C31" i="126"/>
  <c r="L30" i="126"/>
  <c r="K30" i="126"/>
  <c r="J30" i="126"/>
  <c r="I30" i="126"/>
  <c r="H30" i="126"/>
  <c r="G30" i="126"/>
  <c r="F30" i="126"/>
  <c r="E30" i="126"/>
  <c r="D30" i="126"/>
  <c r="C30" i="126"/>
  <c r="L29" i="126"/>
  <c r="Q28" i="140"/>
  <c r="K29" i="126"/>
  <c r="J29" i="126"/>
  <c r="I29" i="126"/>
  <c r="H29" i="126"/>
  <c r="G29" i="126"/>
  <c r="F29" i="126"/>
  <c r="E29" i="126"/>
  <c r="D29" i="126"/>
  <c r="C29" i="126"/>
  <c r="L28" i="126"/>
  <c r="K28" i="126"/>
  <c r="J28" i="126"/>
  <c r="I28" i="126"/>
  <c r="H28" i="126"/>
  <c r="G28" i="126"/>
  <c r="F28" i="126"/>
  <c r="E28" i="126"/>
  <c r="D28" i="126"/>
  <c r="C28" i="126"/>
  <c r="K27" i="126"/>
  <c r="J27" i="126"/>
  <c r="I27" i="126"/>
  <c r="H27" i="126"/>
  <c r="G27" i="126"/>
  <c r="F27" i="126"/>
  <c r="E27" i="126"/>
  <c r="D27" i="126"/>
  <c r="C27" i="126"/>
  <c r="L26" i="126"/>
  <c r="Q25" i="140"/>
  <c r="K26" i="126"/>
  <c r="P25" i="140"/>
  <c r="J26" i="126"/>
  <c r="I26" i="126"/>
  <c r="H26" i="126"/>
  <c r="G26" i="126"/>
  <c r="F26" i="126"/>
  <c r="E26" i="126"/>
  <c r="D26" i="126"/>
  <c r="C26" i="126"/>
  <c r="K25" i="126"/>
  <c r="P24" i="140"/>
  <c r="J25" i="126"/>
  <c r="I25" i="126"/>
  <c r="H25" i="126"/>
  <c r="G25" i="126"/>
  <c r="F25" i="126"/>
  <c r="E25" i="126"/>
  <c r="D25" i="126"/>
  <c r="C25" i="126"/>
  <c r="L24" i="126"/>
  <c r="K24" i="126"/>
  <c r="J24" i="126"/>
  <c r="I24" i="126"/>
  <c r="H24" i="126"/>
  <c r="G24" i="126"/>
  <c r="F24" i="126"/>
  <c r="E24" i="126"/>
  <c r="D24" i="126"/>
  <c r="C24" i="126"/>
  <c r="L20" i="126"/>
  <c r="I20" i="126"/>
  <c r="H20" i="126"/>
  <c r="G20" i="126"/>
  <c r="F20" i="126"/>
  <c r="E20" i="126"/>
  <c r="D20" i="126"/>
  <c r="C20" i="126"/>
  <c r="A20" i="126"/>
  <c r="L19" i="126"/>
  <c r="I19" i="126"/>
  <c r="H19" i="126"/>
  <c r="G19" i="126"/>
  <c r="F19" i="126"/>
  <c r="E19" i="126"/>
  <c r="D19" i="126"/>
  <c r="C19" i="126"/>
  <c r="A19" i="126"/>
  <c r="A37" i="126"/>
  <c r="A36" i="140"/>
  <c r="L18" i="126"/>
  <c r="I18" i="126"/>
  <c r="H18" i="126"/>
  <c r="G18" i="126"/>
  <c r="F18" i="126"/>
  <c r="E18" i="126"/>
  <c r="D18" i="126"/>
  <c r="C18" i="126"/>
  <c r="A18" i="126"/>
  <c r="L17" i="126"/>
  <c r="K17" i="126"/>
  <c r="I17" i="126"/>
  <c r="H17" i="126"/>
  <c r="G17" i="126"/>
  <c r="F17" i="126"/>
  <c r="E17" i="126"/>
  <c r="D17" i="126"/>
  <c r="C17" i="126"/>
  <c r="A17" i="126"/>
  <c r="L16" i="126"/>
  <c r="Q15" i="140"/>
  <c r="K16" i="126"/>
  <c r="I16" i="126"/>
  <c r="H16" i="126"/>
  <c r="G16" i="126"/>
  <c r="F16" i="126"/>
  <c r="E16" i="126"/>
  <c r="D16" i="126"/>
  <c r="C16" i="126"/>
  <c r="A16" i="126"/>
  <c r="A34" i="126"/>
  <c r="L15" i="126"/>
  <c r="I15" i="126"/>
  <c r="H15" i="126"/>
  <c r="G15" i="126"/>
  <c r="F15" i="126"/>
  <c r="E15" i="126"/>
  <c r="D15" i="126"/>
  <c r="C15" i="126"/>
  <c r="A15" i="126"/>
  <c r="A33" i="126"/>
  <c r="I14" i="126"/>
  <c r="H14" i="126"/>
  <c r="G14" i="126"/>
  <c r="F14" i="126"/>
  <c r="E14" i="126"/>
  <c r="D14" i="126"/>
  <c r="C14" i="126"/>
  <c r="A14" i="126"/>
  <c r="K13" i="126"/>
  <c r="I13" i="126"/>
  <c r="H13" i="126"/>
  <c r="G13" i="126"/>
  <c r="F13" i="126"/>
  <c r="E13" i="126"/>
  <c r="D13" i="126"/>
  <c r="C13" i="126"/>
  <c r="A13" i="126"/>
  <c r="A31" i="126"/>
  <c r="I12" i="126"/>
  <c r="H12" i="126"/>
  <c r="G12" i="126"/>
  <c r="F12" i="126"/>
  <c r="E12" i="126"/>
  <c r="D12" i="126"/>
  <c r="C12" i="126"/>
  <c r="A12" i="126"/>
  <c r="A30" i="126"/>
  <c r="A29" i="140"/>
  <c r="L11" i="126"/>
  <c r="K11" i="126"/>
  <c r="I11" i="126"/>
  <c r="H11" i="126"/>
  <c r="G11" i="126"/>
  <c r="F11" i="126"/>
  <c r="E11" i="126"/>
  <c r="D11" i="126"/>
  <c r="C11" i="126"/>
  <c r="A11" i="126"/>
  <c r="L10" i="126"/>
  <c r="K10" i="126"/>
  <c r="P9" i="140"/>
  <c r="J10" i="126"/>
  <c r="I10" i="126"/>
  <c r="H10" i="126"/>
  <c r="G10" i="126"/>
  <c r="F10" i="126"/>
  <c r="E10" i="126"/>
  <c r="D10" i="126"/>
  <c r="C10" i="126"/>
  <c r="A10" i="126"/>
  <c r="A28" i="126"/>
  <c r="L27" i="126"/>
  <c r="L9" i="126"/>
  <c r="I9" i="126"/>
  <c r="H9" i="126"/>
  <c r="G9" i="126"/>
  <c r="F9" i="126"/>
  <c r="E9" i="126"/>
  <c r="D9" i="126"/>
  <c r="C9" i="126"/>
  <c r="A9" i="126"/>
  <c r="A27" i="126"/>
  <c r="A26" i="140"/>
  <c r="I8" i="126"/>
  <c r="H8" i="126"/>
  <c r="G8" i="126"/>
  <c r="F8" i="126"/>
  <c r="E8" i="126"/>
  <c r="D8" i="126"/>
  <c r="C8" i="126"/>
  <c r="A8" i="126"/>
  <c r="K7" i="126"/>
  <c r="I7" i="126"/>
  <c r="H7" i="126"/>
  <c r="G7" i="126"/>
  <c r="F7" i="126"/>
  <c r="E7" i="126"/>
  <c r="D7" i="126"/>
  <c r="C7" i="126"/>
  <c r="A7" i="126"/>
  <c r="I6" i="126"/>
  <c r="H6" i="126"/>
  <c r="G6" i="126"/>
  <c r="F6" i="126"/>
  <c r="E6" i="126"/>
  <c r="D6" i="126"/>
  <c r="C6" i="126"/>
  <c r="A6" i="126"/>
  <c r="A24" i="126"/>
  <c r="I3" i="126"/>
  <c r="H3" i="126"/>
  <c r="G3" i="126"/>
  <c r="F3" i="126"/>
  <c r="E3" i="126"/>
  <c r="D3" i="126"/>
  <c r="C3" i="126"/>
  <c r="B2" i="126"/>
  <c r="A2" i="126"/>
  <c r="A49" i="127"/>
  <c r="X48" i="127"/>
  <c r="W48" i="127"/>
  <c r="V48" i="127"/>
  <c r="U48" i="127"/>
  <c r="T48" i="127"/>
  <c r="S48" i="127"/>
  <c r="R48" i="127"/>
  <c r="Q48" i="127"/>
  <c r="P48" i="127"/>
  <c r="O48" i="127"/>
  <c r="N48" i="127"/>
  <c r="M48" i="127"/>
  <c r="A48" i="127"/>
  <c r="P28" i="140"/>
  <c r="O28" i="140"/>
  <c r="N28" i="140"/>
  <c r="G21" i="126"/>
  <c r="F21" i="126"/>
  <c r="C21" i="126"/>
  <c r="I21" i="126"/>
  <c r="K39" i="126"/>
  <c r="O24" i="140"/>
  <c r="N24" i="140"/>
  <c r="O32" i="140"/>
  <c r="N32" i="140"/>
  <c r="H21" i="126"/>
  <c r="J39" i="126"/>
  <c r="O25" i="140"/>
  <c r="N25" i="140"/>
  <c r="J7" i="126"/>
  <c r="D6" i="294"/>
  <c r="P6" i="140"/>
  <c r="L13" i="126"/>
  <c r="A13" i="294"/>
  <c r="A13" i="140"/>
  <c r="A19" i="294"/>
  <c r="A19" i="140"/>
  <c r="C42" i="129"/>
  <c r="D55" i="129"/>
  <c r="A17" i="294"/>
  <c r="A17" i="140"/>
  <c r="K19" i="126"/>
  <c r="Q18" i="140"/>
  <c r="A5" i="294"/>
  <c r="A24" i="294"/>
  <c r="A5" i="140"/>
  <c r="K9" i="126"/>
  <c r="E8" i="294"/>
  <c r="A10" i="294"/>
  <c r="A10" i="140"/>
  <c r="L12" i="126"/>
  <c r="A12" i="294"/>
  <c r="A12" i="140"/>
  <c r="K15" i="126"/>
  <c r="Q14" i="140"/>
  <c r="E16" i="294"/>
  <c r="Q16" i="140"/>
  <c r="P16" i="140"/>
  <c r="K20" i="126"/>
  <c r="E19" i="294"/>
  <c r="Q19" i="140"/>
  <c r="I35" i="126"/>
  <c r="H35" i="126"/>
  <c r="G35" i="126"/>
  <c r="F35" i="126"/>
  <c r="E35" i="126"/>
  <c r="D35" i="126"/>
  <c r="C35" i="126"/>
  <c r="O34" i="140"/>
  <c r="N34" i="140"/>
  <c r="E8" i="237"/>
  <c r="A32" i="140"/>
  <c r="Q31" i="140"/>
  <c r="P31" i="140"/>
  <c r="O31" i="140"/>
  <c r="N31" i="140"/>
  <c r="A29" i="126"/>
  <c r="A28" i="140"/>
  <c r="Q27" i="140"/>
  <c r="P27" i="140"/>
  <c r="O27" i="140"/>
  <c r="N27" i="140"/>
  <c r="A27" i="140"/>
  <c r="Q26" i="140"/>
  <c r="P26" i="140"/>
  <c r="O26" i="140"/>
  <c r="N26" i="140"/>
  <c r="A30" i="140"/>
  <c r="Q29" i="140"/>
  <c r="P29" i="140"/>
  <c r="O29" i="140"/>
  <c r="N29" i="140"/>
  <c r="H55" i="129"/>
  <c r="L6" i="126"/>
  <c r="A6" i="294"/>
  <c r="A6" i="140"/>
  <c r="L14" i="126"/>
  <c r="A14" i="294"/>
  <c r="A14" i="140"/>
  <c r="A18" i="294"/>
  <c r="A18" i="140"/>
  <c r="Q17" i="140"/>
  <c r="L33" i="126"/>
  <c r="E14" i="294"/>
  <c r="A33" i="140"/>
  <c r="A9" i="294"/>
  <c r="A9" i="140"/>
  <c r="Q8" i="140"/>
  <c r="P8" i="140"/>
  <c r="C9" i="294"/>
  <c r="O9" i="140"/>
  <c r="N9" i="140"/>
  <c r="A11" i="294"/>
  <c r="E10" i="294"/>
  <c r="A11" i="140"/>
  <c r="Q10" i="140"/>
  <c r="P10" i="140"/>
  <c r="J13" i="126"/>
  <c r="D12" i="294"/>
  <c r="P12" i="140"/>
  <c r="A15" i="294"/>
  <c r="A34" i="294"/>
  <c r="A15" i="140"/>
  <c r="J16" i="126"/>
  <c r="C15" i="294"/>
  <c r="P15" i="140"/>
  <c r="K18" i="126"/>
  <c r="E17" i="294"/>
  <c r="L7" i="126"/>
  <c r="A7" i="294"/>
  <c r="A7" i="140"/>
  <c r="L8" i="126"/>
  <c r="A8" i="294"/>
  <c r="A8" i="140"/>
  <c r="E9" i="294"/>
  <c r="D9" i="294"/>
  <c r="Q9" i="140"/>
  <c r="J11" i="126"/>
  <c r="C10" i="294"/>
  <c r="D10" i="294"/>
  <c r="A16" i="294"/>
  <c r="E15" i="294"/>
  <c r="D15" i="294"/>
  <c r="A16" i="140"/>
  <c r="J17" i="126"/>
  <c r="C16" i="294"/>
  <c r="D16" i="294"/>
  <c r="E21" i="126"/>
  <c r="D21" i="126"/>
  <c r="A25" i="126"/>
  <c r="A24" i="140"/>
  <c r="Q23" i="140"/>
  <c r="A26" i="126"/>
  <c r="A32" i="126"/>
  <c r="A35" i="126"/>
  <c r="A36" i="126"/>
  <c r="A35" i="140"/>
  <c r="Q34" i="140"/>
  <c r="P34" i="140"/>
  <c r="A38" i="126"/>
  <c r="A37" i="140"/>
  <c r="L40" i="127"/>
  <c r="Q40" i="137"/>
  <c r="K40" i="127"/>
  <c r="J40" i="127"/>
  <c r="I40" i="127"/>
  <c r="H40" i="127"/>
  <c r="G40" i="127"/>
  <c r="F40" i="127"/>
  <c r="E40" i="127"/>
  <c r="D40" i="127"/>
  <c r="C40" i="127"/>
  <c r="X22" i="127"/>
  <c r="X36" i="127"/>
  <c r="X38" i="127"/>
  <c r="W22" i="127"/>
  <c r="W36" i="127"/>
  <c r="W38" i="127"/>
  <c r="V22" i="127"/>
  <c r="V36" i="127"/>
  <c r="V38" i="127"/>
  <c r="U22" i="127"/>
  <c r="U36" i="127"/>
  <c r="U38" i="127"/>
  <c r="T22" i="127"/>
  <c r="T36" i="127"/>
  <c r="T38" i="127"/>
  <c r="S22" i="127"/>
  <c r="S36" i="127"/>
  <c r="S38" i="127"/>
  <c r="R22" i="127"/>
  <c r="R36" i="127"/>
  <c r="R38" i="127"/>
  <c r="Q22" i="127"/>
  <c r="Q36" i="127"/>
  <c r="Q38" i="127"/>
  <c r="P22" i="127"/>
  <c r="P36" i="127"/>
  <c r="P38" i="127"/>
  <c r="O22" i="127"/>
  <c r="O36" i="127"/>
  <c r="O38" i="127"/>
  <c r="N22" i="127"/>
  <c r="N36" i="127"/>
  <c r="N38" i="127"/>
  <c r="M22" i="127"/>
  <c r="M36" i="127"/>
  <c r="M38" i="127"/>
  <c r="L34" i="127"/>
  <c r="Q34" i="137"/>
  <c r="K34" i="127"/>
  <c r="P34" i="137"/>
  <c r="J34" i="127"/>
  <c r="G34" i="127"/>
  <c r="F34" i="127"/>
  <c r="E34" i="127"/>
  <c r="D34" i="127"/>
  <c r="C34" i="127"/>
  <c r="L33" i="127"/>
  <c r="Q33" i="137"/>
  <c r="K33" i="127"/>
  <c r="J33" i="127"/>
  <c r="I33" i="127"/>
  <c r="H33" i="127"/>
  <c r="G33" i="127"/>
  <c r="F33" i="127"/>
  <c r="E33" i="127"/>
  <c r="D33" i="127"/>
  <c r="C33" i="127"/>
  <c r="L32" i="127"/>
  <c r="K32" i="127"/>
  <c r="J32" i="127"/>
  <c r="I32" i="127"/>
  <c r="H32" i="127"/>
  <c r="I40" i="338"/>
  <c r="G32" i="127"/>
  <c r="F32" i="127"/>
  <c r="E32" i="127"/>
  <c r="D32" i="127"/>
  <c r="C32" i="127"/>
  <c r="F31" i="127"/>
  <c r="L30" i="127"/>
  <c r="K30" i="127"/>
  <c r="J30" i="127"/>
  <c r="I30" i="127"/>
  <c r="H30" i="127"/>
  <c r="G30" i="127"/>
  <c r="H38" i="338"/>
  <c r="F30" i="127"/>
  <c r="G38" i="338"/>
  <c r="E30" i="127"/>
  <c r="F38" i="338"/>
  <c r="D30" i="127"/>
  <c r="E38" i="338"/>
  <c r="C30" i="127"/>
  <c r="L29" i="127"/>
  <c r="K29" i="127"/>
  <c r="J29" i="127"/>
  <c r="H39" i="126"/>
  <c r="H40" i="126"/>
  <c r="H100" i="350"/>
  <c r="H40" i="338"/>
  <c r="G40" i="338"/>
  <c r="G37" i="338"/>
  <c r="G58" i="338"/>
  <c r="G80" i="338"/>
  <c r="D14" i="294"/>
  <c r="A31" i="140"/>
  <c r="Q30" i="140"/>
  <c r="P30" i="140"/>
  <c r="P18" i="140"/>
  <c r="G39" i="126"/>
  <c r="G40" i="126"/>
  <c r="H12" i="123"/>
  <c r="E39" i="126"/>
  <c r="E40" i="126"/>
  <c r="A33" i="294"/>
  <c r="A32" i="294"/>
  <c r="A31" i="294"/>
  <c r="A30" i="294"/>
  <c r="A29" i="294"/>
  <c r="A28" i="294"/>
  <c r="A27" i="294"/>
  <c r="A26" i="294"/>
  <c r="A25" i="294"/>
  <c r="O10" i="140"/>
  <c r="N10" i="140"/>
  <c r="D19" i="294"/>
  <c r="P23" i="140"/>
  <c r="O29" i="137"/>
  <c r="N29" i="137"/>
  <c r="J18" i="126"/>
  <c r="C17" i="294"/>
  <c r="P17" i="140"/>
  <c r="L38" i="338"/>
  <c r="P30" i="137"/>
  <c r="C12" i="294"/>
  <c r="O12" i="140"/>
  <c r="N12" i="140"/>
  <c r="K6" i="126"/>
  <c r="E5" i="294"/>
  <c r="L21" i="126"/>
  <c r="E18" i="294"/>
  <c r="A38" i="294"/>
  <c r="A37" i="294"/>
  <c r="A36" i="294"/>
  <c r="A35" i="294"/>
  <c r="Q29" i="137"/>
  <c r="K38" i="338"/>
  <c r="O30" i="137"/>
  <c r="N30" i="137"/>
  <c r="L40" i="338"/>
  <c r="P32" i="137"/>
  <c r="Q6" i="140"/>
  <c r="J15" i="126"/>
  <c r="P14" i="140"/>
  <c r="E12" i="294"/>
  <c r="Q12" i="140"/>
  <c r="D17" i="294"/>
  <c r="Q32" i="140"/>
  <c r="O16" i="140"/>
  <c r="N16" i="140"/>
  <c r="I39" i="126"/>
  <c r="I40" i="126"/>
  <c r="F39" i="126"/>
  <c r="F40" i="126"/>
  <c r="D38" i="338"/>
  <c r="M38" i="338"/>
  <c r="Q30" i="137"/>
  <c r="K14" i="126"/>
  <c r="E13" i="294"/>
  <c r="Q13" i="140"/>
  <c r="D8" i="237"/>
  <c r="H97" i="134"/>
  <c r="H44" i="88"/>
  <c r="M40" i="338"/>
  <c r="Q32" i="137"/>
  <c r="L25" i="126"/>
  <c r="L39" i="126"/>
  <c r="A25" i="140"/>
  <c r="K8" i="126"/>
  <c r="E7" i="294"/>
  <c r="P29" i="137"/>
  <c r="K40" i="338"/>
  <c r="J40" i="338"/>
  <c r="O32" i="137"/>
  <c r="N32" i="137"/>
  <c r="I34" i="127"/>
  <c r="H34" i="127"/>
  <c r="O34" i="137"/>
  <c r="N34" i="137"/>
  <c r="J20" i="126"/>
  <c r="O19" i="140"/>
  <c r="N19" i="140"/>
  <c r="P19" i="140"/>
  <c r="K12" i="126"/>
  <c r="E11" i="294"/>
  <c r="Q11" i="140"/>
  <c r="J9" i="126"/>
  <c r="D8" i="294"/>
  <c r="J19" i="126"/>
  <c r="C18" i="294"/>
  <c r="D18" i="294"/>
  <c r="L40" i="129"/>
  <c r="C55" i="129"/>
  <c r="C6" i="294"/>
  <c r="O6" i="140"/>
  <c r="N6" i="140"/>
  <c r="F40" i="338"/>
  <c r="E40" i="338"/>
  <c r="D40" i="338"/>
  <c r="P33" i="137"/>
  <c r="O33" i="137"/>
  <c r="N33" i="137"/>
  <c r="P40" i="137"/>
  <c r="O40" i="137"/>
  <c r="N40" i="137"/>
  <c r="Q7" i="140"/>
  <c r="O15" i="140"/>
  <c r="N15" i="140"/>
  <c r="Q5" i="140"/>
  <c r="A34" i="140"/>
  <c r="Q33" i="140"/>
  <c r="P33" i="140"/>
  <c r="O33" i="140"/>
  <c r="N33" i="140"/>
  <c r="D39" i="126"/>
  <c r="F29" i="127"/>
  <c r="L28" i="127"/>
  <c r="K28" i="127"/>
  <c r="J28" i="127"/>
  <c r="I28" i="127"/>
  <c r="H28" i="127"/>
  <c r="G28" i="127"/>
  <c r="F28" i="127"/>
  <c r="E28" i="127"/>
  <c r="D28" i="127"/>
  <c r="C28" i="127"/>
  <c r="L25" i="127"/>
  <c r="K25" i="127"/>
  <c r="J25" i="127"/>
  <c r="I25" i="127"/>
  <c r="H25" i="127"/>
  <c r="G25" i="127"/>
  <c r="F25" i="127"/>
  <c r="E25" i="127"/>
  <c r="D25" i="127"/>
  <c r="C25" i="127"/>
  <c r="F21" i="127"/>
  <c r="L20" i="127"/>
  <c r="K20" i="127"/>
  <c r="J20" i="127"/>
  <c r="I20" i="127"/>
  <c r="H20" i="127"/>
  <c r="G20" i="127"/>
  <c r="F20" i="127"/>
  <c r="E20" i="127"/>
  <c r="D20" i="127"/>
  <c r="C20" i="127"/>
  <c r="L10" i="127"/>
  <c r="K10" i="127"/>
  <c r="J10" i="127"/>
  <c r="I10" i="127"/>
  <c r="H10" i="127"/>
  <c r="G10" i="127"/>
  <c r="H49" i="123"/>
  <c r="F10" i="127"/>
  <c r="G49" i="123"/>
  <c r="E10" i="127"/>
  <c r="F49" i="123"/>
  <c r="G41" i="123"/>
  <c r="D10" i="127"/>
  <c r="E49" i="123"/>
  <c r="F41" i="123"/>
  <c r="C10" i="127"/>
  <c r="D49" i="123"/>
  <c r="L9" i="127"/>
  <c r="K9" i="127"/>
  <c r="J9" i="127"/>
  <c r="I9" i="127"/>
  <c r="J48" i="123"/>
  <c r="H9" i="127"/>
  <c r="G9" i="127"/>
  <c r="F9" i="127"/>
  <c r="E9" i="127"/>
  <c r="D9" i="127"/>
  <c r="E48" i="123"/>
  <c r="C9" i="127"/>
  <c r="K8" i="127"/>
  <c r="J8" i="127"/>
  <c r="I8" i="127"/>
  <c r="G8" i="127"/>
  <c r="H47" i="123"/>
  <c r="F8" i="127"/>
  <c r="G47" i="123"/>
  <c r="E8" i="127"/>
  <c r="F47" i="123"/>
  <c r="D8" i="127"/>
  <c r="E47" i="123"/>
  <c r="F39" i="123"/>
  <c r="C8" i="127"/>
  <c r="D47" i="123"/>
  <c r="E39" i="123"/>
  <c r="L7" i="127"/>
  <c r="K7" i="127"/>
  <c r="J7" i="127"/>
  <c r="I7" i="127"/>
  <c r="H7" i="127"/>
  <c r="G7" i="127"/>
  <c r="G5" i="127"/>
  <c r="G22" i="127"/>
  <c r="F7" i="127"/>
  <c r="E7" i="127"/>
  <c r="D7" i="127"/>
  <c r="C7" i="127"/>
  <c r="C5" i="127"/>
  <c r="C22" i="127"/>
  <c r="L5" i="127"/>
  <c r="K5" i="127"/>
  <c r="J5" i="127"/>
  <c r="I5" i="127"/>
  <c r="H5" i="127"/>
  <c r="F5" i="127"/>
  <c r="E5" i="127"/>
  <c r="D5" i="127"/>
  <c r="D22" i="127"/>
  <c r="I3" i="127"/>
  <c r="H3" i="127"/>
  <c r="G3" i="127"/>
  <c r="F3" i="127"/>
  <c r="E3" i="127"/>
  <c r="D3" i="127"/>
  <c r="C3" i="127"/>
  <c r="M2" i="127"/>
  <c r="B2" i="127"/>
  <c r="A2" i="127"/>
  <c r="A345" i="342"/>
  <c r="W172" i="342"/>
  <c r="W342" i="342"/>
  <c r="W344" i="342"/>
  <c r="V172" i="342"/>
  <c r="V342" i="342"/>
  <c r="V344" i="342"/>
  <c r="U172" i="342"/>
  <c r="U342" i="342"/>
  <c r="U344" i="342"/>
  <c r="T172" i="342"/>
  <c r="T342" i="342"/>
  <c r="T344" i="342"/>
  <c r="S172" i="342"/>
  <c r="S342" i="342"/>
  <c r="S344" i="342"/>
  <c r="R172" i="342"/>
  <c r="R342" i="342"/>
  <c r="R344" i="342"/>
  <c r="Q172" i="342"/>
  <c r="Q342" i="342"/>
  <c r="Q344" i="342"/>
  <c r="P172" i="342"/>
  <c r="P342" i="342"/>
  <c r="P344" i="342"/>
  <c r="O172" i="342"/>
  <c r="O342" i="342"/>
  <c r="O344" i="342"/>
  <c r="N172" i="342"/>
  <c r="N342" i="342"/>
  <c r="N344" i="342"/>
  <c r="M172" i="342"/>
  <c r="M342" i="342"/>
  <c r="M344" i="342"/>
  <c r="L172" i="342"/>
  <c r="L342" i="342"/>
  <c r="L344" i="342"/>
  <c r="H5" i="342"/>
  <c r="H16" i="342"/>
  <c r="H29" i="342"/>
  <c r="H40" i="342"/>
  <c r="H51" i="342"/>
  <c r="H62" i="342"/>
  <c r="H73" i="342"/>
  <c r="H84" i="342"/>
  <c r="H95" i="342"/>
  <c r="H106" i="342"/>
  <c r="H117" i="342"/>
  <c r="H128" i="342"/>
  <c r="H139" i="342"/>
  <c r="H150" i="342"/>
  <c r="H161" i="342"/>
  <c r="H172" i="342"/>
  <c r="H175" i="342"/>
  <c r="H186" i="342"/>
  <c r="H199" i="342"/>
  <c r="H210" i="342"/>
  <c r="H221" i="342"/>
  <c r="H232" i="342"/>
  <c r="H243" i="342"/>
  <c r="H254" i="342"/>
  <c r="H273" i="342"/>
  <c r="H265" i="342"/>
  <c r="H287" i="342"/>
  <c r="H298" i="342"/>
  <c r="H309" i="342"/>
  <c r="H320" i="342"/>
  <c r="H331" i="342"/>
  <c r="H276" i="342"/>
  <c r="H342" i="342"/>
  <c r="H344" i="342"/>
  <c r="G5" i="342"/>
  <c r="G16" i="342"/>
  <c r="G29" i="342"/>
  <c r="G40" i="342"/>
  <c r="G51" i="342"/>
  <c r="G62" i="342"/>
  <c r="G73" i="342"/>
  <c r="G84" i="342"/>
  <c r="G95" i="342"/>
  <c r="G106" i="342"/>
  <c r="G117" i="342"/>
  <c r="G128" i="342"/>
  <c r="G139" i="342"/>
  <c r="G150" i="342"/>
  <c r="G161" i="342"/>
  <c r="G172" i="342"/>
  <c r="G175" i="342"/>
  <c r="G186" i="342"/>
  <c r="G199" i="342"/>
  <c r="G210" i="342"/>
  <c r="G221" i="342"/>
  <c r="G232" i="342"/>
  <c r="G243" i="342"/>
  <c r="G254" i="342"/>
  <c r="G273" i="342"/>
  <c r="G265" i="342"/>
  <c r="G287" i="342"/>
  <c r="G298" i="342"/>
  <c r="G309" i="342"/>
  <c r="G320" i="342"/>
  <c r="G331" i="342"/>
  <c r="G276" i="342"/>
  <c r="G342" i="342"/>
  <c r="G344" i="342"/>
  <c r="F5" i="342"/>
  <c r="F16" i="342"/>
  <c r="F29" i="342"/>
  <c r="F40" i="342"/>
  <c r="F51" i="342"/>
  <c r="F62" i="342"/>
  <c r="F73" i="342"/>
  <c r="F84" i="342"/>
  <c r="F95" i="342"/>
  <c r="F106" i="342"/>
  <c r="F117" i="342"/>
  <c r="F128" i="342"/>
  <c r="F139" i="342"/>
  <c r="F150" i="342"/>
  <c r="F161" i="342"/>
  <c r="F172" i="342"/>
  <c r="F175" i="342"/>
  <c r="F186" i="342"/>
  <c r="F199" i="342"/>
  <c r="F210" i="342"/>
  <c r="F221" i="342"/>
  <c r="F232" i="342"/>
  <c r="F243" i="342"/>
  <c r="F254" i="342"/>
  <c r="F272" i="342"/>
  <c r="F265" i="342"/>
  <c r="F287" i="342"/>
  <c r="F298" i="342"/>
  <c r="F309" i="342"/>
  <c r="F320" i="342"/>
  <c r="F331" i="342"/>
  <c r="F276" i="342"/>
  <c r="F342" i="342"/>
  <c r="F344" i="342"/>
  <c r="A344" i="342"/>
  <c r="K331" i="342"/>
  <c r="J331" i="342"/>
  <c r="I331" i="342"/>
  <c r="E331" i="342"/>
  <c r="D331" i="342"/>
  <c r="C331" i="342"/>
  <c r="K320" i="342"/>
  <c r="J320" i="342"/>
  <c r="I320" i="342"/>
  <c r="E320" i="342"/>
  <c r="D320" i="342"/>
  <c r="C320" i="342"/>
  <c r="K309" i="342"/>
  <c r="J309" i="342"/>
  <c r="I309" i="342"/>
  <c r="E309" i="342"/>
  <c r="D309" i="342"/>
  <c r="C309" i="342"/>
  <c r="K298" i="342"/>
  <c r="J298" i="342"/>
  <c r="I298" i="342"/>
  <c r="E298" i="342"/>
  <c r="D298" i="342"/>
  <c r="C298" i="342"/>
  <c r="K287" i="342"/>
  <c r="J287" i="342"/>
  <c r="I287" i="342"/>
  <c r="E287" i="342"/>
  <c r="D287" i="342"/>
  <c r="C287" i="342"/>
  <c r="K276" i="342"/>
  <c r="J276" i="342"/>
  <c r="I276" i="342"/>
  <c r="E276" i="342"/>
  <c r="D276" i="342"/>
  <c r="C276" i="342"/>
  <c r="K265" i="342"/>
  <c r="J265" i="342"/>
  <c r="I265" i="342"/>
  <c r="E265" i="342"/>
  <c r="D265" i="342"/>
  <c r="C265" i="342"/>
  <c r="K254" i="342"/>
  <c r="J254" i="342"/>
  <c r="I254" i="342"/>
  <c r="E254" i="342"/>
  <c r="D254" i="342"/>
  <c r="C254" i="342"/>
  <c r="K243" i="342"/>
  <c r="J243" i="342"/>
  <c r="I243" i="342"/>
  <c r="E243" i="342"/>
  <c r="D243" i="342"/>
  <c r="C243" i="342"/>
  <c r="K232" i="342"/>
  <c r="J232" i="342"/>
  <c r="I232" i="342"/>
  <c r="E232" i="342"/>
  <c r="D232" i="342"/>
  <c r="C232" i="342"/>
  <c r="K221" i="342"/>
  <c r="J221" i="342"/>
  <c r="I221" i="342"/>
  <c r="E221" i="342"/>
  <c r="D221" i="342"/>
  <c r="C221" i="342"/>
  <c r="K210" i="342"/>
  <c r="J210" i="342"/>
  <c r="I210" i="342"/>
  <c r="E210" i="342"/>
  <c r="D210" i="342"/>
  <c r="C210" i="342"/>
  <c r="K199" i="342"/>
  <c r="J199" i="342"/>
  <c r="I199" i="342"/>
  <c r="E199" i="342"/>
  <c r="D199" i="342"/>
  <c r="C199" i="342"/>
  <c r="K186" i="342"/>
  <c r="J186" i="342"/>
  <c r="I186" i="342"/>
  <c r="E186" i="342"/>
  <c r="D186" i="342"/>
  <c r="C186" i="342"/>
  <c r="K175" i="342"/>
  <c r="J175" i="342"/>
  <c r="I175" i="342"/>
  <c r="E175" i="342"/>
  <c r="D175" i="342"/>
  <c r="C175" i="342"/>
  <c r="A171" i="342"/>
  <c r="A170" i="342"/>
  <c r="A340" i="342"/>
  <c r="A169" i="342"/>
  <c r="A168" i="342"/>
  <c r="A338" i="342"/>
  <c r="A167" i="342"/>
  <c r="A166" i="342"/>
  <c r="A336" i="342"/>
  <c r="A165" i="342"/>
  <c r="A164" i="342"/>
  <c r="A163" i="342"/>
  <c r="A162" i="342"/>
  <c r="K161" i="342"/>
  <c r="J161" i="342"/>
  <c r="I161" i="342"/>
  <c r="E161" i="342"/>
  <c r="D161" i="342"/>
  <c r="C161" i="342"/>
  <c r="A161" i="342"/>
  <c r="A331" i="342"/>
  <c r="A160" i="342"/>
  <c r="A330" i="342"/>
  <c r="A159" i="342"/>
  <c r="A158" i="342"/>
  <c r="A328" i="342"/>
  <c r="A157" i="342"/>
  <c r="A156" i="342"/>
  <c r="A326" i="342"/>
  <c r="A155" i="342"/>
  <c r="A325" i="342"/>
  <c r="A154" i="342"/>
  <c r="A153" i="342"/>
  <c r="A152" i="342"/>
  <c r="A151" i="342"/>
  <c r="K150" i="342"/>
  <c r="J150" i="342"/>
  <c r="I150" i="342"/>
  <c r="E150" i="342"/>
  <c r="D150" i="342"/>
  <c r="C150" i="342"/>
  <c r="A150" i="342"/>
  <c r="A320" i="342"/>
  <c r="A149" i="342"/>
  <c r="A319" i="342"/>
  <c r="A148" i="342"/>
  <c r="A318" i="342"/>
  <c r="A147" i="342"/>
  <c r="A146" i="342"/>
  <c r="A145" i="342"/>
  <c r="A144" i="342"/>
  <c r="A143" i="342"/>
  <c r="A142" i="342"/>
  <c r="A141" i="342"/>
  <c r="A140" i="342"/>
  <c r="K139" i="342"/>
  <c r="J139" i="342"/>
  <c r="I139" i="342"/>
  <c r="E139" i="342"/>
  <c r="D139" i="342"/>
  <c r="C139" i="342"/>
  <c r="A139" i="342"/>
  <c r="A309" i="342"/>
  <c r="A138" i="342"/>
  <c r="A308" i="342"/>
  <c r="A137" i="342"/>
  <c r="A136" i="342"/>
  <c r="A135" i="342"/>
  <c r="A134" i="342"/>
  <c r="A133" i="342"/>
  <c r="A132" i="342"/>
  <c r="A131" i="342"/>
  <c r="A130" i="342"/>
  <c r="A129" i="342"/>
  <c r="K128" i="342"/>
  <c r="J128" i="342"/>
  <c r="I128" i="342"/>
  <c r="E128" i="342"/>
  <c r="D128" i="342"/>
  <c r="C128" i="342"/>
  <c r="A128" i="342"/>
  <c r="A298" i="342"/>
  <c r="A127" i="342"/>
  <c r="A297" i="342"/>
  <c r="A126" i="342"/>
  <c r="A125" i="342"/>
  <c r="A124" i="342"/>
  <c r="A123" i="342"/>
  <c r="A122" i="342"/>
  <c r="A121" i="342"/>
  <c r="A120" i="342"/>
  <c r="A119" i="342"/>
  <c r="A118" i="342"/>
  <c r="K117" i="342"/>
  <c r="J117" i="342"/>
  <c r="I117" i="342"/>
  <c r="E117" i="342"/>
  <c r="D117" i="342"/>
  <c r="C117" i="342"/>
  <c r="A117" i="342"/>
  <c r="A287" i="342"/>
  <c r="A116" i="342"/>
  <c r="A286" i="342"/>
  <c r="A115" i="342"/>
  <c r="A285" i="342"/>
  <c r="A114" i="342"/>
  <c r="A284" i="342"/>
  <c r="A113" i="342"/>
  <c r="A112" i="342"/>
  <c r="A282" i="342"/>
  <c r="A111" i="342"/>
  <c r="A110" i="342"/>
  <c r="A109" i="342"/>
  <c r="A108" i="342"/>
  <c r="A107" i="342"/>
  <c r="K106" i="342"/>
  <c r="J106" i="342"/>
  <c r="I106" i="342"/>
  <c r="A337" i="342"/>
  <c r="G42" i="338"/>
  <c r="I52" i="123"/>
  <c r="H85" i="126"/>
  <c r="I57" i="123"/>
  <c r="J136" i="314"/>
  <c r="I12" i="123"/>
  <c r="G97" i="134"/>
  <c r="A335" i="342"/>
  <c r="A339" i="342"/>
  <c r="G44" i="88"/>
  <c r="H37" i="338"/>
  <c r="H58" i="338"/>
  <c r="A317" i="342"/>
  <c r="A324" i="342"/>
  <c r="H42" i="338"/>
  <c r="D342" i="342"/>
  <c r="E342" i="342"/>
  <c r="C342" i="342"/>
  <c r="I342" i="342"/>
  <c r="J342" i="342"/>
  <c r="K342" i="342"/>
  <c r="K22" i="127"/>
  <c r="K29" i="88"/>
  <c r="A316" i="342"/>
  <c r="A315" i="342"/>
  <c r="A314" i="342"/>
  <c r="A313" i="342"/>
  <c r="A312" i="342"/>
  <c r="A311" i="342"/>
  <c r="A310" i="342"/>
  <c r="A323" i="342"/>
  <c r="A322" i="342"/>
  <c r="A321" i="342"/>
  <c r="A283" i="342"/>
  <c r="A334" i="342"/>
  <c r="A333" i="342"/>
  <c r="A332" i="342"/>
  <c r="G100" i="350"/>
  <c r="I136" i="314"/>
  <c r="H57" i="123"/>
  <c r="H18" i="123"/>
  <c r="A327" i="342"/>
  <c r="F22" i="127"/>
  <c r="F33" i="88"/>
  <c r="J22" i="127"/>
  <c r="J33" i="88"/>
  <c r="E6" i="294"/>
  <c r="E21" i="294"/>
  <c r="E54" i="294"/>
  <c r="G85" i="126"/>
  <c r="H52" i="123"/>
  <c r="C33" i="88"/>
  <c r="C29" i="88"/>
  <c r="C8" i="88"/>
  <c r="C30" i="88"/>
  <c r="C19" i="88"/>
  <c r="C60" i="127"/>
  <c r="K19" i="88"/>
  <c r="J29" i="88"/>
  <c r="J60" i="127"/>
  <c r="K126" i="141"/>
  <c r="J8" i="88"/>
  <c r="G29" i="88"/>
  <c r="G8" i="88"/>
  <c r="G30" i="88"/>
  <c r="G19" i="88"/>
  <c r="G60" i="127"/>
  <c r="P10" i="137"/>
  <c r="L49" i="123"/>
  <c r="D33" i="88"/>
  <c r="D29" i="88"/>
  <c r="D30" i="88"/>
  <c r="D19" i="88"/>
  <c r="D60" i="127"/>
  <c r="C31" i="88"/>
  <c r="C68" i="248"/>
  <c r="C39" i="126"/>
  <c r="C40" i="126"/>
  <c r="D40" i="126"/>
  <c r="J8" i="126"/>
  <c r="C7" i="294"/>
  <c r="P7" i="140"/>
  <c r="F100" i="350"/>
  <c r="F97" i="134"/>
  <c r="G57" i="123"/>
  <c r="G18" i="123"/>
  <c r="G52" i="123"/>
  <c r="G12" i="123"/>
  <c r="F44" i="88"/>
  <c r="H136" i="314"/>
  <c r="F85" i="126"/>
  <c r="O23" i="140"/>
  <c r="P38" i="140"/>
  <c r="I45" i="123"/>
  <c r="O7" i="137"/>
  <c r="N7" i="137"/>
  <c r="K93" i="123"/>
  <c r="J93" i="123"/>
  <c r="K46" i="123"/>
  <c r="H8" i="127"/>
  <c r="H34" i="88"/>
  <c r="J47" i="123"/>
  <c r="O10" i="137"/>
  <c r="N10" i="137"/>
  <c r="K49" i="123"/>
  <c r="G54" i="123"/>
  <c r="G17" i="88"/>
  <c r="G18" i="88"/>
  <c r="O20" i="137"/>
  <c r="N20" i="137"/>
  <c r="K54" i="123"/>
  <c r="K18" i="88"/>
  <c r="K17" i="88"/>
  <c r="J17" i="88"/>
  <c r="E42" i="88"/>
  <c r="E35" i="88"/>
  <c r="E36" i="127"/>
  <c r="I42" i="88"/>
  <c r="I36" i="127"/>
  <c r="H36" i="127"/>
  <c r="F97" i="358"/>
  <c r="F68" i="248"/>
  <c r="I97" i="358"/>
  <c r="O28" i="137"/>
  <c r="N28" i="137"/>
  <c r="I68" i="248"/>
  <c r="D76" i="338"/>
  <c r="D45" i="123"/>
  <c r="C34" i="88"/>
  <c r="H45" i="123"/>
  <c r="G34" i="88"/>
  <c r="L76" i="338"/>
  <c r="P5" i="137"/>
  <c r="L92" i="123"/>
  <c r="L45" i="123"/>
  <c r="K34" i="88"/>
  <c r="F93" i="123"/>
  <c r="F46" i="123"/>
  <c r="L8" i="127"/>
  <c r="M54" i="123"/>
  <c r="D48" i="123"/>
  <c r="E40" i="123"/>
  <c r="P9" i="137"/>
  <c r="O9" i="137"/>
  <c r="N9" i="137"/>
  <c r="L48" i="123"/>
  <c r="K48" i="123"/>
  <c r="F54" i="123"/>
  <c r="F18" i="88"/>
  <c r="F17" i="88"/>
  <c r="E17" i="88"/>
  <c r="J54" i="123"/>
  <c r="J18" i="88"/>
  <c r="D42" i="88"/>
  <c r="D35" i="88"/>
  <c r="D28" i="88"/>
  <c r="D36" i="127"/>
  <c r="D38" i="127"/>
  <c r="H42" i="88"/>
  <c r="Q25" i="137"/>
  <c r="L42" i="88"/>
  <c r="L35" i="88"/>
  <c r="L36" i="127"/>
  <c r="E97" i="358"/>
  <c r="E68" i="248"/>
  <c r="D31" i="88"/>
  <c r="D8" i="88"/>
  <c r="P5" i="140"/>
  <c r="Q20" i="140"/>
  <c r="J14" i="126"/>
  <c r="D13" i="294"/>
  <c r="P13" i="140"/>
  <c r="C14" i="294"/>
  <c r="O14" i="140"/>
  <c r="N14" i="140"/>
  <c r="J6" i="126"/>
  <c r="D5" i="294"/>
  <c r="K21" i="126"/>
  <c r="A296" i="342"/>
  <c r="A295" i="342"/>
  <c r="A294" i="342"/>
  <c r="A293" i="342"/>
  <c r="A292" i="342"/>
  <c r="A291" i="342"/>
  <c r="A290" i="342"/>
  <c r="A289" i="342"/>
  <c r="A288" i="342"/>
  <c r="E41" i="123"/>
  <c r="D7" i="294"/>
  <c r="P11" i="140"/>
  <c r="L40" i="126"/>
  <c r="E37" i="338"/>
  <c r="O18" i="140"/>
  <c r="N18" i="140"/>
  <c r="L42" i="338"/>
  <c r="F76" i="338"/>
  <c r="F71" i="338"/>
  <c r="F45" i="123"/>
  <c r="E34" i="88"/>
  <c r="J76" i="338"/>
  <c r="J71" i="338"/>
  <c r="J72" i="338"/>
  <c r="J13" i="338"/>
  <c r="J92" i="123"/>
  <c r="I92" i="123"/>
  <c r="H92" i="123"/>
  <c r="G92" i="123"/>
  <c r="F92" i="123"/>
  <c r="E92" i="123"/>
  <c r="J45" i="123"/>
  <c r="I34" i="88"/>
  <c r="H93" i="123"/>
  <c r="G93" i="123"/>
  <c r="H46" i="123"/>
  <c r="G46" i="123"/>
  <c r="P7" i="137"/>
  <c r="L93" i="123"/>
  <c r="L46" i="123"/>
  <c r="O8" i="137"/>
  <c r="N8" i="137"/>
  <c r="K47" i="123"/>
  <c r="K39" i="123"/>
  <c r="I48" i="123"/>
  <c r="H48" i="123"/>
  <c r="G48" i="123"/>
  <c r="D54" i="123"/>
  <c r="D17" i="88"/>
  <c r="L15" i="88"/>
  <c r="H54" i="123"/>
  <c r="H10" i="123"/>
  <c r="H18" i="88"/>
  <c r="P20" i="137"/>
  <c r="L54" i="123"/>
  <c r="L18" i="88"/>
  <c r="L17" i="88"/>
  <c r="O25" i="137"/>
  <c r="J42" i="88"/>
  <c r="J35" i="88"/>
  <c r="J36" i="127"/>
  <c r="G97" i="358"/>
  <c r="G31" i="88"/>
  <c r="G68" i="248"/>
  <c r="J97" i="358"/>
  <c r="P28" i="137"/>
  <c r="J68" i="248"/>
  <c r="J12" i="126"/>
  <c r="C11" i="294"/>
  <c r="D11" i="294"/>
  <c r="M37" i="338"/>
  <c r="M42" i="338"/>
  <c r="E100" i="350"/>
  <c r="E97" i="134"/>
  <c r="F57" i="123"/>
  <c r="F52" i="123"/>
  <c r="F13" i="123"/>
  <c r="F12" i="123"/>
  <c r="E44" i="88"/>
  <c r="G136" i="314"/>
  <c r="E85" i="126"/>
  <c r="J38" i="338"/>
  <c r="K37" i="338"/>
  <c r="K42" i="338"/>
  <c r="E76" i="338"/>
  <c r="E71" i="338"/>
  <c r="E45" i="123"/>
  <c r="D34" i="88"/>
  <c r="Q5" i="137"/>
  <c r="M45" i="123"/>
  <c r="Q9" i="137"/>
  <c r="M48" i="123"/>
  <c r="G76" i="338"/>
  <c r="G71" i="338"/>
  <c r="G45" i="123"/>
  <c r="F34" i="88"/>
  <c r="K76" i="338"/>
  <c r="K71" i="338"/>
  <c r="K72" i="338"/>
  <c r="K13" i="338"/>
  <c r="O5" i="137"/>
  <c r="K92" i="123"/>
  <c r="K45" i="123"/>
  <c r="J34" i="88"/>
  <c r="E93" i="123"/>
  <c r="M92" i="123"/>
  <c r="E46" i="123"/>
  <c r="D46" i="123"/>
  <c r="I93" i="123"/>
  <c r="I46" i="123"/>
  <c r="Q7" i="137"/>
  <c r="M46" i="123"/>
  <c r="P8" i="137"/>
  <c r="L47" i="123"/>
  <c r="Q10" i="137"/>
  <c r="M49" i="123"/>
  <c r="E54" i="123"/>
  <c r="E18" i="88"/>
  <c r="D18" i="88"/>
  <c r="Q20" i="137"/>
  <c r="C42" i="88"/>
  <c r="C35" i="88"/>
  <c r="C28" i="88"/>
  <c r="C36" i="127"/>
  <c r="G42" i="88"/>
  <c r="G28" i="88"/>
  <c r="G36" i="127"/>
  <c r="G38" i="127"/>
  <c r="G42" i="127"/>
  <c r="H8" i="123"/>
  <c r="P25" i="137"/>
  <c r="K42" i="88"/>
  <c r="K35" i="88"/>
  <c r="L7" i="123"/>
  <c r="K36" i="127"/>
  <c r="D97" i="358"/>
  <c r="C97" i="358"/>
  <c r="D68" i="248"/>
  <c r="H97" i="358"/>
  <c r="H68" i="248"/>
  <c r="K97" i="358"/>
  <c r="Q28" i="137"/>
  <c r="K68" i="248"/>
  <c r="K40" i="129"/>
  <c r="L42" i="129"/>
  <c r="C8" i="294"/>
  <c r="O8" i="140"/>
  <c r="N8" i="140"/>
  <c r="J57" i="123"/>
  <c r="J52" i="123"/>
  <c r="J12" i="123"/>
  <c r="I85" i="126"/>
  <c r="F28" i="88"/>
  <c r="A281" i="342"/>
  <c r="A280" i="342"/>
  <c r="A279" i="342"/>
  <c r="A278" i="342"/>
  <c r="A277" i="342"/>
  <c r="A307" i="342"/>
  <c r="A306" i="342"/>
  <c r="A305" i="342"/>
  <c r="A304" i="342"/>
  <c r="A303" i="342"/>
  <c r="A302" i="342"/>
  <c r="A301" i="342"/>
  <c r="A300" i="342"/>
  <c r="A299" i="342"/>
  <c r="A329" i="342"/>
  <c r="F37" i="338"/>
  <c r="F58" i="338"/>
  <c r="F80" i="338"/>
  <c r="A341" i="342"/>
  <c r="G39" i="123"/>
  <c r="E22" i="127"/>
  <c r="I22" i="127"/>
  <c r="C19" i="294"/>
  <c r="Q24" i="140"/>
  <c r="Q38" i="140"/>
  <c r="E42" i="338"/>
  <c r="D42" i="338"/>
  <c r="F42" i="338"/>
  <c r="O17" i="140"/>
  <c r="N17" i="140"/>
  <c r="F31" i="88"/>
  <c r="F42" i="88"/>
  <c r="F35" i="88"/>
  <c r="G7" i="123"/>
  <c r="F36" i="127"/>
  <c r="F7" i="88"/>
  <c r="G121" i="123"/>
  <c r="E106" i="342"/>
  <c r="D106" i="342"/>
  <c r="C106" i="342"/>
  <c r="A106" i="342"/>
  <c r="A276" i="342"/>
  <c r="A105" i="342"/>
  <c r="A275" i="342"/>
  <c r="A104" i="342"/>
  <c r="A103" i="342"/>
  <c r="A273" i="342"/>
  <c r="A102" i="342"/>
  <c r="A272" i="342"/>
  <c r="A101" i="342"/>
  <c r="A100" i="342"/>
  <c r="A99" i="342"/>
  <c r="A98" i="342"/>
  <c r="A268" i="342"/>
  <c r="A97" i="342"/>
  <c r="A96" i="342"/>
  <c r="A266" i="342"/>
  <c r="K95" i="342"/>
  <c r="J95" i="342"/>
  <c r="I95" i="342"/>
  <c r="E95" i="342"/>
  <c r="D95" i="342"/>
  <c r="C95" i="342"/>
  <c r="A95" i="342"/>
  <c r="A265" i="342"/>
  <c r="A94" i="342"/>
  <c r="A264" i="342"/>
  <c r="A93" i="342"/>
  <c r="A92" i="342"/>
  <c r="A91" i="342"/>
  <c r="A90" i="342"/>
  <c r="A89" i="342"/>
  <c r="A88" i="342"/>
  <c r="A87" i="342"/>
  <c r="A86" i="342"/>
  <c r="A85" i="342"/>
  <c r="K84" i="342"/>
  <c r="J84" i="342"/>
  <c r="I84" i="342"/>
  <c r="E84" i="342"/>
  <c r="D84" i="342"/>
  <c r="C84" i="342"/>
  <c r="A84" i="342"/>
  <c r="A254" i="342"/>
  <c r="A83" i="342"/>
  <c r="A253" i="342"/>
  <c r="A82" i="342"/>
  <c r="A81" i="342"/>
  <c r="A251" i="342"/>
  <c r="A80" i="342"/>
  <c r="A250" i="342"/>
  <c r="A79" i="342"/>
  <c r="A78" i="342"/>
  <c r="A77" i="342"/>
  <c r="A76" i="342"/>
  <c r="A75" i="342"/>
  <c r="A74" i="342"/>
  <c r="K73" i="342"/>
  <c r="J73" i="342"/>
  <c r="I73" i="342"/>
  <c r="E73" i="342"/>
  <c r="D73" i="342"/>
  <c r="C73" i="342"/>
  <c r="A73" i="342"/>
  <c r="A243" i="342"/>
  <c r="A72" i="342"/>
  <c r="A242" i="342"/>
  <c r="A71" i="342"/>
  <c r="A70" i="342"/>
  <c r="A240" i="342"/>
  <c r="A69" i="342"/>
  <c r="A239" i="342"/>
  <c r="A68" i="342"/>
  <c r="A67" i="342"/>
  <c r="A66" i="342"/>
  <c r="A65" i="342"/>
  <c r="A64" i="342"/>
  <c r="A63" i="342"/>
  <c r="K62" i="342"/>
  <c r="J62" i="342"/>
  <c r="I62" i="342"/>
  <c r="E62" i="342"/>
  <c r="D62" i="342"/>
  <c r="C62" i="342"/>
  <c r="A62" i="342"/>
  <c r="A232" i="342"/>
  <c r="A61" i="342"/>
  <c r="A231" i="342"/>
  <c r="A60" i="342"/>
  <c r="A59" i="342"/>
  <c r="A229" i="342"/>
  <c r="A58" i="342"/>
  <c r="A228" i="342"/>
  <c r="A57" i="342"/>
  <c r="A227" i="342"/>
  <c r="A56" i="342"/>
  <c r="A55" i="342"/>
  <c r="A54" i="342"/>
  <c r="A53" i="342"/>
  <c r="A52" i="342"/>
  <c r="K51" i="342"/>
  <c r="J51" i="342"/>
  <c r="I51" i="342"/>
  <c r="E51" i="342"/>
  <c r="D51" i="342"/>
  <c r="C51" i="342"/>
  <c r="A51" i="342"/>
  <c r="A221" i="342"/>
  <c r="A50" i="342"/>
  <c r="A220" i="342"/>
  <c r="A49" i="342"/>
  <c r="A48" i="342"/>
  <c r="A47" i="342"/>
  <c r="A46" i="342"/>
  <c r="A45" i="342"/>
  <c r="A44" i="342"/>
  <c r="A43" i="342"/>
  <c r="A42" i="342"/>
  <c r="A212" i="342"/>
  <c r="A41" i="342"/>
  <c r="K40" i="342"/>
  <c r="J40" i="342"/>
  <c r="I40" i="342"/>
  <c r="E40" i="342"/>
  <c r="D40" i="342"/>
  <c r="C40" i="342"/>
  <c r="A40" i="342"/>
  <c r="A210" i="342"/>
  <c r="A39" i="342"/>
  <c r="A209" i="342"/>
  <c r="A38" i="342"/>
  <c r="A208" i="342"/>
  <c r="A37" i="342"/>
  <c r="A36" i="342"/>
  <c r="A206" i="342"/>
  <c r="A35" i="342"/>
  <c r="A34" i="342"/>
  <c r="A33" i="342"/>
  <c r="A32" i="342"/>
  <c r="A31" i="342"/>
  <c r="A30" i="342"/>
  <c r="K29" i="342"/>
  <c r="J29" i="342"/>
  <c r="I29" i="342"/>
  <c r="E29" i="342"/>
  <c r="D29" i="342"/>
  <c r="C29" i="342"/>
  <c r="A29" i="342"/>
  <c r="A199" i="342"/>
  <c r="A28" i="342"/>
  <c r="A198" i="342"/>
  <c r="A25" i="342"/>
  <c r="A24" i="342"/>
  <c r="A23" i="342"/>
  <c r="A193" i="342"/>
  <c r="A22" i="342"/>
  <c r="A192" i="342"/>
  <c r="A21" i="342"/>
  <c r="A20" i="342"/>
  <c r="A19" i="342"/>
  <c r="A18" i="342"/>
  <c r="A17" i="342"/>
  <c r="K16" i="342"/>
  <c r="J16" i="342"/>
  <c r="I16" i="342"/>
  <c r="E16" i="342"/>
  <c r="D16" i="342"/>
  <c r="C16" i="342"/>
  <c r="A16" i="342"/>
  <c r="A186" i="342"/>
  <c r="A15" i="342"/>
  <c r="A185" i="342"/>
  <c r="A14" i="342"/>
  <c r="A184" i="342"/>
  <c r="A13" i="342"/>
  <c r="A12" i="342"/>
  <c r="A11" i="342"/>
  <c r="A181" i="342"/>
  <c r="A10" i="342"/>
  <c r="A9" i="342"/>
  <c r="A8" i="342"/>
  <c r="A178" i="342"/>
  <c r="A7" i="342"/>
  <c r="A177" i="342"/>
  <c r="A6" i="342"/>
  <c r="A176" i="342"/>
  <c r="K5" i="342"/>
  <c r="J5" i="342"/>
  <c r="I5" i="342"/>
  <c r="E5" i="342"/>
  <c r="E172" i="342"/>
  <c r="E344" i="342"/>
  <c r="D5" i="342"/>
  <c r="D172" i="342"/>
  <c r="C5" i="342"/>
  <c r="A5" i="342"/>
  <c r="A175" i="342"/>
  <c r="H3" i="342"/>
  <c r="G3" i="342"/>
  <c r="F3" i="342"/>
  <c r="E3" i="342"/>
  <c r="D3" i="342"/>
  <c r="C3" i="342"/>
  <c r="L2" i="342"/>
  <c r="B2" i="342"/>
  <c r="A2" i="342"/>
  <c r="A205" i="342"/>
  <c r="G38" i="123"/>
  <c r="I38" i="123"/>
  <c r="H38" i="123"/>
  <c r="M40" i="123"/>
  <c r="L40" i="123"/>
  <c r="D7" i="88"/>
  <c r="J30" i="88"/>
  <c r="F19" i="88"/>
  <c r="J31" i="88"/>
  <c r="J19" i="88"/>
  <c r="K8" i="88"/>
  <c r="L34" i="88"/>
  <c r="I8" i="88"/>
  <c r="K30" i="88"/>
  <c r="F30" i="88"/>
  <c r="O7" i="140"/>
  <c r="N7" i="140"/>
  <c r="K31" i="88"/>
  <c r="P36" i="137"/>
  <c r="I54" i="123"/>
  <c r="F29" i="88"/>
  <c r="D344" i="342"/>
  <c r="C172" i="342"/>
  <c r="C344" i="342"/>
  <c r="K172" i="342"/>
  <c r="K344" i="342"/>
  <c r="J172" i="342"/>
  <c r="J344" i="342"/>
  <c r="I172" i="342"/>
  <c r="D21" i="294"/>
  <c r="D60" i="294"/>
  <c r="A191" i="342"/>
  <c r="A204" i="342"/>
  <c r="A238" i="342"/>
  <c r="A249" i="342"/>
  <c r="M76" i="338"/>
  <c r="J40" i="123"/>
  <c r="I40" i="123"/>
  <c r="H40" i="123"/>
  <c r="O11" i="140"/>
  <c r="N11" i="140"/>
  <c r="K60" i="127"/>
  <c r="L126" i="141"/>
  <c r="K33" i="88"/>
  <c r="A180" i="342"/>
  <c r="A195" i="342"/>
  <c r="A211" i="342"/>
  <c r="A267" i="342"/>
  <c r="A271" i="342"/>
  <c r="A270" i="342"/>
  <c r="A269" i="342"/>
  <c r="F8" i="88"/>
  <c r="K42" i="129"/>
  <c r="J42" i="129"/>
  <c r="L39" i="123"/>
  <c r="K38" i="127"/>
  <c r="J38" i="127"/>
  <c r="J42" i="127"/>
  <c r="J44" i="127"/>
  <c r="F60" i="127"/>
  <c r="H126" i="141"/>
  <c r="E33" i="88"/>
  <c r="E29" i="88"/>
  <c r="E8" i="88"/>
  <c r="E30" i="88"/>
  <c r="E19" i="88"/>
  <c r="E60" i="127"/>
  <c r="E38" i="127"/>
  <c r="D86" i="350"/>
  <c r="C86" i="350"/>
  <c r="D80" i="248"/>
  <c r="D83" i="248"/>
  <c r="E129" i="315"/>
  <c r="C7" i="88"/>
  <c r="C351" i="342"/>
  <c r="J46" i="123"/>
  <c r="J38" i="123"/>
  <c r="K38" i="123"/>
  <c r="C80" i="248"/>
  <c r="K79" i="248"/>
  <c r="K69" i="248"/>
  <c r="K80" i="248"/>
  <c r="C83" i="248"/>
  <c r="F350" i="342"/>
  <c r="I33" i="88"/>
  <c r="I19" i="88"/>
  <c r="I60" i="127"/>
  <c r="I38" i="127"/>
  <c r="I42" i="127"/>
  <c r="K7" i="123"/>
  <c r="L117" i="123"/>
  <c r="N5" i="137"/>
  <c r="O22" i="137"/>
  <c r="E72" i="338"/>
  <c r="E78" i="338"/>
  <c r="J86" i="350"/>
  <c r="J80" i="248"/>
  <c r="J83" i="248"/>
  <c r="F72" i="338"/>
  <c r="F78" i="338"/>
  <c r="H7" i="88"/>
  <c r="H351" i="342"/>
  <c r="I47" i="123"/>
  <c r="J39" i="123"/>
  <c r="I39" i="123"/>
  <c r="H39" i="123"/>
  <c r="H22" i="127"/>
  <c r="K86" i="350"/>
  <c r="K83" i="248"/>
  <c r="L129" i="315"/>
  <c r="K7" i="88"/>
  <c r="J351" i="342"/>
  <c r="G44" i="123"/>
  <c r="G43" i="123"/>
  <c r="E43" i="123"/>
  <c r="E44" i="123"/>
  <c r="I38" i="338"/>
  <c r="I42" i="338"/>
  <c r="J37" i="338"/>
  <c r="J42" i="338"/>
  <c r="G86" i="350"/>
  <c r="G80" i="248"/>
  <c r="G83" i="248"/>
  <c r="J37" i="123"/>
  <c r="I37" i="123"/>
  <c r="F37" i="123"/>
  <c r="E37" i="123"/>
  <c r="D37" i="338"/>
  <c r="E58" i="338"/>
  <c r="C13" i="294"/>
  <c r="O13" i="140"/>
  <c r="N13" i="140"/>
  <c r="H43" i="123"/>
  <c r="H44" i="123"/>
  <c r="H37" i="123"/>
  <c r="G37" i="123"/>
  <c r="I86" i="350"/>
  <c r="I83" i="248"/>
  <c r="I80" i="248"/>
  <c r="E7" i="88"/>
  <c r="F121" i="123"/>
  <c r="E121" i="123"/>
  <c r="D121" i="123"/>
  <c r="G129" i="315"/>
  <c r="E351" i="342"/>
  <c r="D100" i="350"/>
  <c r="D97" i="134"/>
  <c r="E52" i="123"/>
  <c r="E13" i="123"/>
  <c r="E57" i="123"/>
  <c r="E12" i="123"/>
  <c r="D44" i="88"/>
  <c r="F136" i="314"/>
  <c r="E136" i="314"/>
  <c r="D85" i="126"/>
  <c r="E126" i="141"/>
  <c r="L41" i="123"/>
  <c r="A248" i="342"/>
  <c r="A247" i="342"/>
  <c r="A246" i="342"/>
  <c r="A245" i="342"/>
  <c r="A244" i="342"/>
  <c r="M47" i="123"/>
  <c r="M39" i="123"/>
  <c r="E28" i="88"/>
  <c r="A179" i="342"/>
  <c r="A194" i="342"/>
  <c r="I17" i="88"/>
  <c r="H17" i="88"/>
  <c r="M41" i="123"/>
  <c r="M38" i="123"/>
  <c r="L38" i="123"/>
  <c r="I35" i="88"/>
  <c r="H35" i="88"/>
  <c r="G35" i="88"/>
  <c r="Q36" i="137"/>
  <c r="P22" i="137"/>
  <c r="P38" i="137"/>
  <c r="L37" i="338"/>
  <c r="M58" i="338"/>
  <c r="E86" i="350"/>
  <c r="E80" i="248"/>
  <c r="E83" i="248"/>
  <c r="Q8" i="137"/>
  <c r="Q22" i="137"/>
  <c r="Q38" i="137"/>
  <c r="Q42" i="137"/>
  <c r="Q46" i="137"/>
  <c r="L22" i="127"/>
  <c r="L44" i="123"/>
  <c r="L43" i="123"/>
  <c r="L11" i="123"/>
  <c r="L103" i="123"/>
  <c r="D44" i="123"/>
  <c r="D43" i="123"/>
  <c r="J49" i="123"/>
  <c r="K41" i="123"/>
  <c r="G72" i="338"/>
  <c r="G78" i="338"/>
  <c r="N25" i="137"/>
  <c r="N36" i="137"/>
  <c r="O36" i="137"/>
  <c r="K40" i="126"/>
  <c r="K100" i="350"/>
  <c r="K97" i="134"/>
  <c r="Q29" i="300"/>
  <c r="M52" i="123"/>
  <c r="M13" i="123"/>
  <c r="M57" i="123"/>
  <c r="M18" i="123"/>
  <c r="M12" i="123"/>
  <c r="L44" i="88"/>
  <c r="L9" i="88"/>
  <c r="M136" i="314"/>
  <c r="L85" i="126"/>
  <c r="M129" i="315"/>
  <c r="L7" i="88"/>
  <c r="K351" i="342"/>
  <c r="O38" i="140"/>
  <c r="N23" i="140"/>
  <c r="C100" i="350"/>
  <c r="C97" i="134"/>
  <c r="D57" i="123"/>
  <c r="D52" i="123"/>
  <c r="D12" i="123"/>
  <c r="C44" i="88"/>
  <c r="C85" i="126"/>
  <c r="F126" i="141"/>
  <c r="D350" i="342"/>
  <c r="I126" i="141"/>
  <c r="G350" i="342"/>
  <c r="H86" i="350"/>
  <c r="H80" i="248"/>
  <c r="H83" i="248"/>
  <c r="G7" i="88"/>
  <c r="I129" i="315"/>
  <c r="G351" i="342"/>
  <c r="K44" i="123"/>
  <c r="K43" i="123"/>
  <c r="K11" i="123"/>
  <c r="K103" i="123"/>
  <c r="K37" i="123"/>
  <c r="M43" i="123"/>
  <c r="M44" i="123"/>
  <c r="M37" i="123"/>
  <c r="L37" i="123"/>
  <c r="K129" i="315"/>
  <c r="J129" i="315"/>
  <c r="I351" i="342"/>
  <c r="J7" i="88"/>
  <c r="I7" i="88"/>
  <c r="G10" i="123"/>
  <c r="H116" i="123"/>
  <c r="G36" i="237"/>
  <c r="G29" i="237"/>
  <c r="G32" i="237"/>
  <c r="F48" i="123"/>
  <c r="F44" i="123"/>
  <c r="C5" i="294"/>
  <c r="O5" i="140"/>
  <c r="J21" i="126"/>
  <c r="F129" i="315"/>
  <c r="D351" i="342"/>
  <c r="M74" i="338"/>
  <c r="D71" i="338"/>
  <c r="F86" i="350"/>
  <c r="F80" i="248"/>
  <c r="F83" i="248"/>
  <c r="P20" i="140"/>
  <c r="A190" i="342"/>
  <c r="A189" i="342"/>
  <c r="A188" i="342"/>
  <c r="A187" i="342"/>
  <c r="A203" i="342"/>
  <c r="A202" i="342"/>
  <c r="A201" i="342"/>
  <c r="A200" i="342"/>
  <c r="A237" i="342"/>
  <c r="A236" i="342"/>
  <c r="A235" i="342"/>
  <c r="A234" i="342"/>
  <c r="A233" i="342"/>
  <c r="Q39" i="140"/>
  <c r="P39" i="140"/>
  <c r="A183" i="342"/>
  <c r="A207" i="342"/>
  <c r="A219" i="342"/>
  <c r="A218" i="342"/>
  <c r="A217" i="342"/>
  <c r="A216" i="342"/>
  <c r="A215" i="342"/>
  <c r="A214" i="342"/>
  <c r="A213" i="342"/>
  <c r="A226" i="342"/>
  <c r="A225" i="342"/>
  <c r="A224" i="342"/>
  <c r="A223" i="342"/>
  <c r="A222" i="342"/>
  <c r="A230" i="342"/>
  <c r="A241" i="342"/>
  <c r="A252" i="342"/>
  <c r="A263" i="342"/>
  <c r="A262" i="342"/>
  <c r="A261" i="342"/>
  <c r="A260" i="342"/>
  <c r="A259" i="342"/>
  <c r="A258" i="342"/>
  <c r="A257" i="342"/>
  <c r="A256" i="342"/>
  <c r="A255" i="342"/>
  <c r="A274" i="342"/>
  <c r="I18" i="88"/>
  <c r="I31" i="88"/>
  <c r="E31" i="88"/>
  <c r="K40" i="123"/>
  <c r="F38" i="123"/>
  <c r="E38" i="123"/>
  <c r="I28" i="88"/>
  <c r="I76" i="338"/>
  <c r="F18" i="123"/>
  <c r="C38" i="127"/>
  <c r="H129" i="315"/>
  <c r="F38" i="127"/>
  <c r="F42" i="127"/>
  <c r="F351" i="342"/>
  <c r="F7" i="123"/>
  <c r="E7" i="123"/>
  <c r="D7" i="123"/>
  <c r="D117" i="123"/>
  <c r="G117" i="123"/>
  <c r="A40" i="233"/>
  <c r="W38" i="233"/>
  <c r="W39" i="233"/>
  <c r="V38" i="233"/>
  <c r="V39" i="233"/>
  <c r="U38" i="233"/>
  <c r="U39" i="233"/>
  <c r="T38" i="233"/>
  <c r="T39" i="233"/>
  <c r="S38" i="233"/>
  <c r="S39" i="233"/>
  <c r="R38" i="233"/>
  <c r="R39" i="233"/>
  <c r="Q38" i="233"/>
  <c r="Q39" i="233"/>
  <c r="P38" i="233"/>
  <c r="P39" i="233"/>
  <c r="O38" i="233"/>
  <c r="O39" i="233"/>
  <c r="N38" i="233"/>
  <c r="N39" i="233"/>
  <c r="M38" i="233"/>
  <c r="M39" i="233"/>
  <c r="L38" i="233"/>
  <c r="L39" i="233"/>
  <c r="A39" i="233"/>
  <c r="L37" i="233"/>
  <c r="K37" i="233"/>
  <c r="I37" i="233"/>
  <c r="H37" i="233"/>
  <c r="G37" i="233"/>
  <c r="F37" i="233"/>
  <c r="E37" i="233"/>
  <c r="D37" i="233"/>
  <c r="C37" i="233"/>
  <c r="A37" i="233"/>
  <c r="L36" i="233"/>
  <c r="K36" i="233"/>
  <c r="J36" i="233"/>
  <c r="I36" i="233"/>
  <c r="H36" i="233"/>
  <c r="G36" i="233"/>
  <c r="F36" i="233"/>
  <c r="E36" i="233"/>
  <c r="D36" i="233"/>
  <c r="C36" i="233"/>
  <c r="A36" i="233"/>
  <c r="L35" i="233"/>
  <c r="K35" i="233"/>
  <c r="J35" i="233"/>
  <c r="P35" i="299"/>
  <c r="I35" i="233"/>
  <c r="F35" i="233"/>
  <c r="E35" i="233"/>
  <c r="D35" i="233"/>
  <c r="C35" i="233"/>
  <c r="A35" i="233"/>
  <c r="L34" i="233"/>
  <c r="K34" i="233"/>
  <c r="J34" i="233"/>
  <c r="I34" i="233"/>
  <c r="H34" i="233"/>
  <c r="G34" i="233"/>
  <c r="F34" i="233"/>
  <c r="E34" i="233"/>
  <c r="D34" i="233"/>
  <c r="C34" i="233"/>
  <c r="A34" i="233"/>
  <c r="L33" i="233"/>
  <c r="K33" i="233"/>
  <c r="J33" i="233"/>
  <c r="I33" i="233"/>
  <c r="H33" i="233"/>
  <c r="G33" i="233"/>
  <c r="F33" i="233"/>
  <c r="E33" i="233"/>
  <c r="D33" i="233"/>
  <c r="C33" i="233"/>
  <c r="A33" i="233"/>
  <c r="K32" i="233"/>
  <c r="J32" i="233"/>
  <c r="I32" i="233"/>
  <c r="H32" i="233"/>
  <c r="G32" i="233"/>
  <c r="F32" i="233"/>
  <c r="E32" i="233"/>
  <c r="D32" i="233"/>
  <c r="C32" i="233"/>
  <c r="A32" i="233"/>
  <c r="K31" i="233"/>
  <c r="J31" i="233"/>
  <c r="I31" i="233"/>
  <c r="H31" i="233"/>
  <c r="G31" i="233"/>
  <c r="F31" i="233"/>
  <c r="E31" i="233"/>
  <c r="D31" i="233"/>
  <c r="C31" i="233"/>
  <c r="A31" i="233"/>
  <c r="K30" i="233"/>
  <c r="J30" i="233"/>
  <c r="I30" i="233"/>
  <c r="H30" i="233"/>
  <c r="G30" i="233"/>
  <c r="F30" i="233"/>
  <c r="E30" i="233"/>
  <c r="D30" i="233"/>
  <c r="C30" i="233"/>
  <c r="A30" i="233"/>
  <c r="K29" i="233"/>
  <c r="J29" i="233"/>
  <c r="I29" i="233"/>
  <c r="H29" i="233"/>
  <c r="G29" i="233"/>
  <c r="F29" i="233"/>
  <c r="E29" i="233"/>
  <c r="D29" i="233"/>
  <c r="C29" i="233"/>
  <c r="A29" i="233"/>
  <c r="K28" i="233"/>
  <c r="J28" i="233"/>
  <c r="I28" i="233"/>
  <c r="H28" i="233"/>
  <c r="G28" i="233"/>
  <c r="F28" i="233"/>
  <c r="E28" i="233"/>
  <c r="D28" i="233"/>
  <c r="C28" i="233"/>
  <c r="A28" i="233"/>
  <c r="K27" i="233"/>
  <c r="J27" i="233"/>
  <c r="I27" i="233"/>
  <c r="H27" i="233"/>
  <c r="G27" i="233"/>
  <c r="F27" i="233"/>
  <c r="E27" i="233"/>
  <c r="D27" i="233"/>
  <c r="C27" i="233"/>
  <c r="A27" i="233"/>
  <c r="K26" i="233"/>
  <c r="J26" i="233"/>
  <c r="I26" i="233"/>
  <c r="H26" i="233"/>
  <c r="G26" i="233"/>
  <c r="F26" i="233"/>
  <c r="E26" i="233"/>
  <c r="D26" i="233"/>
  <c r="C26" i="233"/>
  <c r="A26" i="233"/>
  <c r="K25" i="233"/>
  <c r="J25" i="233"/>
  <c r="I25" i="233"/>
  <c r="C25" i="233"/>
  <c r="A25" i="233"/>
  <c r="K24" i="233"/>
  <c r="Q24" i="299"/>
  <c r="J24" i="233"/>
  <c r="G24" i="233"/>
  <c r="F24" i="233"/>
  <c r="E24" i="233"/>
  <c r="D24" i="233"/>
  <c r="C24" i="233"/>
  <c r="A24" i="233"/>
  <c r="K23" i="233"/>
  <c r="J23" i="233"/>
  <c r="I23" i="233"/>
  <c r="O23" i="299"/>
  <c r="H23" i="233"/>
  <c r="G23" i="233"/>
  <c r="F23" i="233"/>
  <c r="E23" i="233"/>
  <c r="D23" i="233"/>
  <c r="C23" i="233"/>
  <c r="A23" i="233"/>
  <c r="L19" i="233"/>
  <c r="K19" i="233"/>
  <c r="Q19" i="299"/>
  <c r="J19" i="233"/>
  <c r="P19" i="299"/>
  <c r="I19" i="233"/>
  <c r="E19" i="233"/>
  <c r="D19" i="233"/>
  <c r="C19" i="233"/>
  <c r="A19" i="233"/>
  <c r="L18" i="233"/>
  <c r="K18" i="233"/>
  <c r="J18" i="233"/>
  <c r="G18" i="233"/>
  <c r="F18" i="233"/>
  <c r="E18" i="233"/>
  <c r="D18" i="233"/>
  <c r="C18" i="233"/>
  <c r="A18" i="233"/>
  <c r="L17" i="233"/>
  <c r="K17" i="233"/>
  <c r="I17" i="233"/>
  <c r="H17" i="233"/>
  <c r="G17" i="233"/>
  <c r="F17" i="233"/>
  <c r="E17" i="233"/>
  <c r="D17" i="233"/>
  <c r="C17" i="233"/>
  <c r="A17" i="233"/>
  <c r="L16" i="233"/>
  <c r="K16" i="233"/>
  <c r="J16" i="233"/>
  <c r="P16" i="299"/>
  <c r="I16" i="233"/>
  <c r="G16" i="233"/>
  <c r="F16" i="233"/>
  <c r="E16" i="233"/>
  <c r="D16" i="233"/>
  <c r="C16" i="233"/>
  <c r="A16" i="233"/>
  <c r="L15" i="233"/>
  <c r="K15" i="233"/>
  <c r="H15" i="233"/>
  <c r="G15" i="233"/>
  <c r="F15" i="233"/>
  <c r="E15" i="233"/>
  <c r="D15" i="233"/>
  <c r="C15" i="233"/>
  <c r="A15" i="233"/>
  <c r="K14" i="233"/>
  <c r="J14" i="233"/>
  <c r="P14" i="299"/>
  <c r="I14" i="233"/>
  <c r="E18" i="123"/>
  <c r="R45" i="246"/>
  <c r="F43" i="123"/>
  <c r="C350" i="342"/>
  <c r="O14" i="299"/>
  <c r="N14" i="299"/>
  <c r="I344" i="342"/>
  <c r="K38" i="233"/>
  <c r="D18" i="123"/>
  <c r="G40" i="123"/>
  <c r="F40" i="123"/>
  <c r="M11" i="123"/>
  <c r="M103" i="123"/>
  <c r="J350" i="342"/>
  <c r="I350" i="342"/>
  <c r="K117" i="123"/>
  <c r="D54" i="294"/>
  <c r="I37" i="338"/>
  <c r="I58" i="338"/>
  <c r="I80" i="338"/>
  <c r="H80" i="338"/>
  <c r="C21" i="294"/>
  <c r="C60" i="294"/>
  <c r="A17" i="299"/>
  <c r="Q16" i="299"/>
  <c r="O2" i="246"/>
  <c r="H35" i="233"/>
  <c r="G35" i="233"/>
  <c r="O35" i="299"/>
  <c r="N35" i="299"/>
  <c r="J37" i="233"/>
  <c r="P37" i="299"/>
  <c r="O37" i="299"/>
  <c r="N37" i="299"/>
  <c r="Q37" i="299"/>
  <c r="H29" i="88"/>
  <c r="H8" i="88"/>
  <c r="H30" i="88"/>
  <c r="H19" i="88"/>
  <c r="H38" i="127"/>
  <c r="H42" i="127"/>
  <c r="I8" i="123"/>
  <c r="H28" i="88"/>
  <c r="H31" i="88"/>
  <c r="J15" i="233"/>
  <c r="I15" i="233"/>
  <c r="Q15" i="299"/>
  <c r="N23" i="299"/>
  <c r="G126" i="141"/>
  <c r="E350" i="342"/>
  <c r="A15" i="299"/>
  <c r="Q14" i="299"/>
  <c r="M2" i="246"/>
  <c r="A18" i="299"/>
  <c r="P2" i="246"/>
  <c r="I18" i="233"/>
  <c r="H18" i="233"/>
  <c r="P18" i="299"/>
  <c r="M70" i="338"/>
  <c r="M26" i="338"/>
  <c r="M23" i="338"/>
  <c r="L23" i="338"/>
  <c r="O20" i="140"/>
  <c r="N5" i="140"/>
  <c r="N20" i="140"/>
  <c r="A23" i="140"/>
  <c r="N38" i="140"/>
  <c r="I49" i="123"/>
  <c r="J41" i="123"/>
  <c r="O38" i="137"/>
  <c r="P42" i="137"/>
  <c r="L30" i="88"/>
  <c r="M17" i="123"/>
  <c r="K84" i="248"/>
  <c r="M101" i="123"/>
  <c r="L101" i="123"/>
  <c r="K101" i="123"/>
  <c r="I101" i="123"/>
  <c r="H101" i="123"/>
  <c r="G101" i="123"/>
  <c r="F101" i="123"/>
  <c r="E101" i="123"/>
  <c r="D101" i="123"/>
  <c r="K85" i="248"/>
  <c r="M102" i="123"/>
  <c r="L102" i="123"/>
  <c r="H60" i="127"/>
  <c r="L57" i="123"/>
  <c r="L18" i="123"/>
  <c r="F117" i="123"/>
  <c r="E117" i="123"/>
  <c r="L36" i="123"/>
  <c r="D13" i="123"/>
  <c r="M36" i="123"/>
  <c r="J44" i="123"/>
  <c r="E36" i="123"/>
  <c r="E9" i="123"/>
  <c r="J7" i="123"/>
  <c r="I7" i="123"/>
  <c r="H7" i="123"/>
  <c r="A16" i="299"/>
  <c r="A34" i="299"/>
  <c r="Q33" i="299"/>
  <c r="P33" i="299"/>
  <c r="O33" i="299"/>
  <c r="N33" i="299"/>
  <c r="N2" i="246"/>
  <c r="J17" i="233"/>
  <c r="Q17" i="299"/>
  <c r="F10" i="123"/>
  <c r="G116" i="123"/>
  <c r="F36" i="237"/>
  <c r="F29" i="237"/>
  <c r="F32" i="237"/>
  <c r="I44" i="127"/>
  <c r="J46" i="127"/>
  <c r="J40" i="126"/>
  <c r="J100" i="350"/>
  <c r="J97" i="134"/>
  <c r="P29" i="300"/>
  <c r="L52" i="123"/>
  <c r="L13" i="123"/>
  <c r="L12" i="123"/>
  <c r="K44" i="88"/>
  <c r="K9" i="88"/>
  <c r="L136" i="314"/>
  <c r="K85" i="126"/>
  <c r="L58" i="338"/>
  <c r="K58" i="338"/>
  <c r="J58" i="338"/>
  <c r="M80" i="338"/>
  <c r="D58" i="338"/>
  <c r="E80" i="338"/>
  <c r="H25" i="233"/>
  <c r="G25" i="233"/>
  <c r="F25" i="233"/>
  <c r="E25" i="233"/>
  <c r="D25" i="233"/>
  <c r="O25" i="299"/>
  <c r="N25" i="299"/>
  <c r="L29" i="88"/>
  <c r="L33" i="88"/>
  <c r="L19" i="88"/>
  <c r="L60" i="127"/>
  <c r="L38" i="127"/>
  <c r="L8" i="88"/>
  <c r="L31" i="88"/>
  <c r="L28" i="88"/>
  <c r="K28" i="88"/>
  <c r="J28" i="88"/>
  <c r="H16" i="233"/>
  <c r="O16" i="299"/>
  <c r="N16" i="299"/>
  <c r="A19" i="299"/>
  <c r="Q18" i="299"/>
  <c r="Q2" i="246"/>
  <c r="H19" i="233"/>
  <c r="G19" i="233"/>
  <c r="F19" i="233"/>
  <c r="O19" i="299"/>
  <c r="N19" i="299"/>
  <c r="I24" i="233"/>
  <c r="P24" i="299"/>
  <c r="H76" i="338"/>
  <c r="H71" i="338"/>
  <c r="I71" i="338"/>
  <c r="I72" i="338"/>
  <c r="I13" i="338"/>
  <c r="D72" i="338"/>
  <c r="M71" i="338"/>
  <c r="J43" i="123"/>
  <c r="J11" i="123"/>
  <c r="J103" i="123"/>
  <c r="N22" i="137"/>
  <c r="E42" i="127"/>
  <c r="G8" i="123"/>
  <c r="F44" i="127"/>
  <c r="H14" i="233"/>
  <c r="G14" i="233"/>
  <c r="F14" i="233"/>
  <c r="E14" i="233"/>
  <c r="D14" i="233"/>
  <c r="C14" i="233"/>
  <c r="A14" i="233"/>
  <c r="J13" i="233"/>
  <c r="E13" i="233"/>
  <c r="D13" i="233"/>
  <c r="C13" i="233"/>
  <c r="A13" i="233"/>
  <c r="G12" i="233"/>
  <c r="F12" i="233"/>
  <c r="E12" i="233"/>
  <c r="D12" i="233"/>
  <c r="C12" i="233"/>
  <c r="A12" i="233"/>
  <c r="J11" i="233"/>
  <c r="I11" i="233"/>
  <c r="H11" i="233"/>
  <c r="G11" i="233"/>
  <c r="F11" i="233"/>
  <c r="E11" i="233"/>
  <c r="D11" i="233"/>
  <c r="C11" i="233"/>
  <c r="A11" i="233"/>
  <c r="K10" i="233"/>
  <c r="J10" i="233"/>
  <c r="I10" i="233"/>
  <c r="H10" i="233"/>
  <c r="G10" i="233"/>
  <c r="F10" i="233"/>
  <c r="E10" i="233"/>
  <c r="D10" i="233"/>
  <c r="C10" i="233"/>
  <c r="A10" i="233"/>
  <c r="K9" i="233"/>
  <c r="J9" i="233"/>
  <c r="P9" i="299"/>
  <c r="I9" i="233"/>
  <c r="H9" i="233"/>
  <c r="G9" i="233"/>
  <c r="F9" i="233"/>
  <c r="E9" i="233"/>
  <c r="D9" i="233"/>
  <c r="C9" i="233"/>
  <c r="A9" i="233"/>
  <c r="H8" i="233"/>
  <c r="G8" i="233"/>
  <c r="F8" i="233"/>
  <c r="E8" i="233"/>
  <c r="D8" i="233"/>
  <c r="C8" i="233"/>
  <c r="A8" i="233"/>
  <c r="J7" i="233"/>
  <c r="P7" i="299"/>
  <c r="I7" i="233"/>
  <c r="H7" i="233"/>
  <c r="G7" i="233"/>
  <c r="F7" i="233"/>
  <c r="E7" i="233"/>
  <c r="D7" i="233"/>
  <c r="C7" i="233"/>
  <c r="A7" i="233"/>
  <c r="K6" i="233"/>
  <c r="H6" i="233"/>
  <c r="G6" i="233"/>
  <c r="F6" i="233"/>
  <c r="E6" i="233"/>
  <c r="D6" i="233"/>
  <c r="C6" i="233"/>
  <c r="A6" i="233"/>
  <c r="K5" i="233"/>
  <c r="J5" i="233"/>
  <c r="I5" i="233"/>
  <c r="H5" i="233"/>
  <c r="G5" i="233"/>
  <c r="F5" i="233"/>
  <c r="D5" i="233"/>
  <c r="C5" i="233"/>
  <c r="A5" i="233"/>
  <c r="H3" i="233"/>
  <c r="G3" i="233"/>
  <c r="F3" i="233"/>
  <c r="E3" i="233"/>
  <c r="D3" i="233"/>
  <c r="C3" i="233"/>
  <c r="L2" i="233"/>
  <c r="B2" i="233"/>
  <c r="A2" i="233"/>
  <c r="G75" i="351"/>
  <c r="G79" i="351"/>
  <c r="G74" i="351"/>
  <c r="G85" i="351"/>
  <c r="G95" i="351"/>
  <c r="G102" i="351"/>
  <c r="G84" i="351"/>
  <c r="G107" i="351"/>
  <c r="G111" i="351"/>
  <c r="G117" i="351"/>
  <c r="G106" i="351"/>
  <c r="G122" i="351"/>
  <c r="G125" i="351"/>
  <c r="G128" i="351"/>
  <c r="G132" i="351"/>
  <c r="G121" i="351"/>
  <c r="G134" i="351"/>
  <c r="G140" i="351"/>
  <c r="G150" i="351"/>
  <c r="F75" i="351"/>
  <c r="F79" i="351"/>
  <c r="F74" i="351"/>
  <c r="F85" i="351"/>
  <c r="F95" i="351"/>
  <c r="F102" i="351"/>
  <c r="F84" i="351"/>
  <c r="F107" i="351"/>
  <c r="F111" i="351"/>
  <c r="F117" i="351"/>
  <c r="F106" i="351"/>
  <c r="F122" i="351"/>
  <c r="F125" i="351"/>
  <c r="F128" i="351"/>
  <c r="F132" i="351"/>
  <c r="F121" i="351"/>
  <c r="F134" i="351"/>
  <c r="F140" i="351"/>
  <c r="F150" i="351"/>
  <c r="G6" i="351"/>
  <c r="G10" i="351"/>
  <c r="G5" i="351"/>
  <c r="G16" i="351"/>
  <c r="G26" i="351"/>
  <c r="G33" i="351"/>
  <c r="G15" i="351"/>
  <c r="G38" i="351"/>
  <c r="G42" i="351"/>
  <c r="G48" i="351"/>
  <c r="G37" i="351"/>
  <c r="G53" i="351"/>
  <c r="G56" i="351"/>
  <c r="G59" i="351"/>
  <c r="G63" i="351"/>
  <c r="G52" i="351"/>
  <c r="G65" i="351"/>
  <c r="G71" i="351"/>
  <c r="G149" i="351"/>
  <c r="A142" i="351"/>
  <c r="H6" i="351"/>
  <c r="H10" i="351"/>
  <c r="H5" i="351"/>
  <c r="H16" i="351"/>
  <c r="H26" i="351"/>
  <c r="H33" i="351"/>
  <c r="H15" i="351"/>
  <c r="H38" i="351"/>
  <c r="H42" i="351"/>
  <c r="H48" i="351"/>
  <c r="H37" i="351"/>
  <c r="H53" i="351"/>
  <c r="H56" i="351"/>
  <c r="H59" i="351"/>
  <c r="H63" i="351"/>
  <c r="H52" i="351"/>
  <c r="H65" i="351"/>
  <c r="H71" i="351"/>
  <c r="H75" i="351"/>
  <c r="H79" i="351"/>
  <c r="H74" i="351"/>
  <c r="H85" i="351"/>
  <c r="H95" i="351"/>
  <c r="H102" i="351"/>
  <c r="H84" i="351"/>
  <c r="H107" i="351"/>
  <c r="H111" i="351"/>
  <c r="H117" i="351"/>
  <c r="H106" i="351"/>
  <c r="H122" i="351"/>
  <c r="H125" i="351"/>
  <c r="H128" i="351"/>
  <c r="H132" i="351"/>
  <c r="H121" i="351"/>
  <c r="H134" i="351"/>
  <c r="H140" i="351"/>
  <c r="H141" i="351"/>
  <c r="G141" i="351"/>
  <c r="A141" i="351"/>
  <c r="A140" i="351"/>
  <c r="A139" i="351"/>
  <c r="A138" i="351"/>
  <c r="A137" i="351"/>
  <c r="A136" i="351"/>
  <c r="A135" i="351"/>
  <c r="K134" i="351"/>
  <c r="J134" i="351"/>
  <c r="I134" i="351"/>
  <c r="E134" i="351"/>
  <c r="D134" i="351"/>
  <c r="C134" i="351"/>
  <c r="A134" i="351"/>
  <c r="A133" i="351"/>
  <c r="K132" i="351"/>
  <c r="J132" i="351"/>
  <c r="I132" i="351"/>
  <c r="E132" i="351"/>
  <c r="D132" i="351"/>
  <c r="C132" i="351"/>
  <c r="A132" i="351"/>
  <c r="A131" i="351"/>
  <c r="A130" i="351"/>
  <c r="A129" i="351"/>
  <c r="K128" i="351"/>
  <c r="J128" i="351"/>
  <c r="I128" i="351"/>
  <c r="E128" i="351"/>
  <c r="D128" i="351"/>
  <c r="C128" i="351"/>
  <c r="A128" i="351"/>
  <c r="A127" i="351"/>
  <c r="A126" i="351"/>
  <c r="K125" i="351"/>
  <c r="J125" i="351"/>
  <c r="I125" i="351"/>
  <c r="E125" i="351"/>
  <c r="D125" i="351"/>
  <c r="C125" i="351"/>
  <c r="C122" i="351"/>
  <c r="C121" i="351"/>
  <c r="A125" i="351"/>
  <c r="A124" i="351"/>
  <c r="A123" i="351"/>
  <c r="K122" i="351"/>
  <c r="J122" i="351"/>
  <c r="J121" i="351"/>
  <c r="I122" i="351"/>
  <c r="I121" i="351"/>
  <c r="E122" i="351"/>
  <c r="D122" i="351"/>
  <c r="A122" i="351"/>
  <c r="E121" i="351"/>
  <c r="D121" i="351"/>
  <c r="A121" i="351"/>
  <c r="A120" i="351"/>
  <c r="A119" i="351"/>
  <c r="A118" i="351"/>
  <c r="K117" i="351"/>
  <c r="J117" i="351"/>
  <c r="I117" i="351"/>
  <c r="E117" i="351"/>
  <c r="D117" i="351"/>
  <c r="C117" i="351"/>
  <c r="A117" i="351"/>
  <c r="A116" i="351"/>
  <c r="A115" i="351"/>
  <c r="A114" i="351"/>
  <c r="A113" i="351"/>
  <c r="A112" i="351"/>
  <c r="K111" i="351"/>
  <c r="J111" i="351"/>
  <c r="J107" i="351"/>
  <c r="J106" i="351"/>
  <c r="I111" i="351"/>
  <c r="E111" i="351"/>
  <c r="D111" i="351"/>
  <c r="C111" i="351"/>
  <c r="A111" i="351"/>
  <c r="A110" i="351"/>
  <c r="A109" i="351"/>
  <c r="A108" i="351"/>
  <c r="K107" i="351"/>
  <c r="I107" i="351"/>
  <c r="E107" i="351"/>
  <c r="E106" i="351"/>
  <c r="D107" i="351"/>
  <c r="D106" i="351"/>
  <c r="C107" i="351"/>
  <c r="A107" i="351"/>
  <c r="I106" i="351"/>
  <c r="C106" i="351"/>
  <c r="A106" i="351"/>
  <c r="A105" i="351"/>
  <c r="A104" i="351"/>
  <c r="A103" i="351"/>
  <c r="K102" i="351"/>
  <c r="J102" i="351"/>
  <c r="I102" i="351"/>
  <c r="E102" i="351"/>
  <c r="D102" i="351"/>
  <c r="C102" i="351"/>
  <c r="A102" i="351"/>
  <c r="A101" i="351"/>
  <c r="A100" i="351"/>
  <c r="A99" i="351"/>
  <c r="A98" i="351"/>
  <c r="A97" i="351"/>
  <c r="A96" i="351"/>
  <c r="K95" i="351"/>
  <c r="J95" i="351"/>
  <c r="I95" i="351"/>
  <c r="E95" i="351"/>
  <c r="D95" i="351"/>
  <c r="C95" i="351"/>
  <c r="A95" i="351"/>
  <c r="A94" i="351"/>
  <c r="A93" i="351"/>
  <c r="A92" i="351"/>
  <c r="A91" i="351"/>
  <c r="A90" i="351"/>
  <c r="A89" i="351"/>
  <c r="A88" i="351"/>
  <c r="A87" i="351"/>
  <c r="A86" i="351"/>
  <c r="K85" i="351"/>
  <c r="J85" i="351"/>
  <c r="I85" i="351"/>
  <c r="E85" i="351"/>
  <c r="D85" i="351"/>
  <c r="C85" i="351"/>
  <c r="A85" i="351"/>
  <c r="J84" i="351"/>
  <c r="I84" i="351"/>
  <c r="E84" i="351"/>
  <c r="D84" i="351"/>
  <c r="C84" i="351"/>
  <c r="A84" i="351"/>
  <c r="A83" i="351"/>
  <c r="A82" i="351"/>
  <c r="A81" i="351"/>
  <c r="A80" i="351"/>
  <c r="K79" i="351"/>
  <c r="J79" i="351"/>
  <c r="I79" i="351"/>
  <c r="E79" i="351"/>
  <c r="D79" i="351"/>
  <c r="C79" i="351"/>
  <c r="A79" i="351"/>
  <c r="A78" i="351"/>
  <c r="A77" i="351"/>
  <c r="A76" i="351"/>
  <c r="K75" i="351"/>
  <c r="J75" i="351"/>
  <c r="J74" i="351"/>
  <c r="I75" i="351"/>
  <c r="E75" i="351"/>
  <c r="D75" i="351"/>
  <c r="C75" i="351"/>
  <c r="C74" i="351"/>
  <c r="A75" i="351"/>
  <c r="K74" i="351"/>
  <c r="E74" i="351"/>
  <c r="D74" i="351"/>
  <c r="A74" i="351"/>
  <c r="A71" i="351"/>
  <c r="K65" i="351"/>
  <c r="J65" i="351"/>
  <c r="I65" i="351"/>
  <c r="F65" i="351"/>
  <c r="E65" i="351"/>
  <c r="D65" i="351"/>
  <c r="C65" i="351"/>
  <c r="K63" i="351"/>
  <c r="J63" i="351"/>
  <c r="J53" i="351"/>
  <c r="J56" i="351"/>
  <c r="J59" i="351"/>
  <c r="J52" i="351"/>
  <c r="I63" i="351"/>
  <c r="F63" i="351"/>
  <c r="E63" i="351"/>
  <c r="D63" i="351"/>
  <c r="C63" i="351"/>
  <c r="F60" i="351"/>
  <c r="F59" i="351"/>
  <c r="K59" i="351"/>
  <c r="I59" i="351"/>
  <c r="E59" i="351"/>
  <c r="D59" i="351"/>
  <c r="C59" i="351"/>
  <c r="F57" i="351"/>
  <c r="F56" i="351"/>
  <c r="K56" i="351"/>
  <c r="I56" i="351"/>
  <c r="E56" i="351"/>
  <c r="D56" i="351"/>
  <c r="C56" i="351"/>
  <c r="K53" i="351"/>
  <c r="I53" i="351"/>
  <c r="I52" i="351"/>
  <c r="F53" i="351"/>
  <c r="E53" i="351"/>
  <c r="D53" i="351"/>
  <c r="C53" i="351"/>
  <c r="K48" i="351"/>
  <c r="J48" i="351"/>
  <c r="I48" i="351"/>
  <c r="F48" i="351"/>
  <c r="E48" i="351"/>
  <c r="D48" i="351"/>
  <c r="C48" i="351"/>
  <c r="K42" i="351"/>
  <c r="J42" i="351"/>
  <c r="I42" i="351"/>
  <c r="F42" i="351"/>
  <c r="E42" i="351"/>
  <c r="D42" i="351"/>
  <c r="C42" i="351"/>
  <c r="K38" i="351"/>
  <c r="J38" i="351"/>
  <c r="I38" i="351"/>
  <c r="F38" i="351"/>
  <c r="E38" i="351"/>
  <c r="D38" i="351"/>
  <c r="C38" i="351"/>
  <c r="F37" i="351"/>
  <c r="K33" i="351"/>
  <c r="J33" i="351"/>
  <c r="I33" i="351"/>
  <c r="F33" i="351"/>
  <c r="E33" i="351"/>
  <c r="D33" i="351"/>
  <c r="D16" i="351"/>
  <c r="D26" i="351"/>
  <c r="D15" i="351"/>
  <c r="C33" i="351"/>
  <c r="K26" i="351"/>
  <c r="J26" i="351"/>
  <c r="I26" i="351"/>
  <c r="F26" i="351"/>
  <c r="E26" i="351"/>
  <c r="C26" i="351"/>
  <c r="K16" i="351"/>
  <c r="J16" i="351"/>
  <c r="I16" i="351"/>
  <c r="F16" i="351"/>
  <c r="E16" i="351"/>
  <c r="C16" i="351"/>
  <c r="K15" i="351"/>
  <c r="F15" i="351"/>
  <c r="K10" i="351"/>
  <c r="J10" i="351"/>
  <c r="I10" i="351"/>
  <c r="F10" i="351"/>
  <c r="E10" i="351"/>
  <c r="D10" i="351"/>
  <c r="C10" i="351"/>
  <c r="D78" i="338"/>
  <c r="D80" i="338"/>
  <c r="C140" i="351"/>
  <c r="C150" i="351"/>
  <c r="E140" i="351"/>
  <c r="D140" i="351"/>
  <c r="D150" i="351"/>
  <c r="C52" i="351"/>
  <c r="D52" i="351"/>
  <c r="E52" i="351"/>
  <c r="C37" i="351"/>
  <c r="D37" i="351"/>
  <c r="E37" i="351"/>
  <c r="E15" i="351"/>
  <c r="C15" i="351"/>
  <c r="K121" i="351"/>
  <c r="K106" i="351"/>
  <c r="K84" i="351"/>
  <c r="I74" i="351"/>
  <c r="I140" i="351"/>
  <c r="I150" i="351"/>
  <c r="H150" i="351"/>
  <c r="J140" i="351"/>
  <c r="K52" i="351"/>
  <c r="I37" i="351"/>
  <c r="K37" i="351"/>
  <c r="J37" i="351"/>
  <c r="I15" i="351"/>
  <c r="J15" i="351"/>
  <c r="F52" i="351"/>
  <c r="F6" i="351"/>
  <c r="F5" i="351"/>
  <c r="F71" i="351"/>
  <c r="O9" i="299"/>
  <c r="N9" i="299"/>
  <c r="C54" i="294"/>
  <c r="A35" i="299"/>
  <c r="Q34" i="299"/>
  <c r="P34" i="299"/>
  <c r="O34" i="299"/>
  <c r="N34" i="299"/>
  <c r="E38" i="233"/>
  <c r="D38" i="233"/>
  <c r="C38" i="233"/>
  <c r="J117" i="123"/>
  <c r="I117" i="123"/>
  <c r="H117" i="123"/>
  <c r="P15" i="299"/>
  <c r="O15" i="299"/>
  <c r="N15" i="299"/>
  <c r="A5" i="299"/>
  <c r="A23" i="299"/>
  <c r="C2" i="246"/>
  <c r="J6" i="233"/>
  <c r="Q6" i="299"/>
  <c r="K11" i="233"/>
  <c r="Q11" i="299"/>
  <c r="P11" i="299"/>
  <c r="O11" i="299"/>
  <c r="N11" i="299"/>
  <c r="A11" i="299"/>
  <c r="Q10" i="299"/>
  <c r="P10" i="299"/>
  <c r="O10" i="299"/>
  <c r="N10" i="299"/>
  <c r="A12" i="299"/>
  <c r="A30" i="299"/>
  <c r="Q29" i="299"/>
  <c r="P29" i="299"/>
  <c r="O29" i="299"/>
  <c r="N29" i="299"/>
  <c r="J2" i="246"/>
  <c r="I2" i="246"/>
  <c r="E5" i="233"/>
  <c r="E20" i="233"/>
  <c r="K12" i="233"/>
  <c r="A13" i="299"/>
  <c r="K2" i="246"/>
  <c r="H44" i="127"/>
  <c r="I46" i="127"/>
  <c r="I57" i="128"/>
  <c r="I62" i="128"/>
  <c r="I70" i="128"/>
  <c r="K7" i="233"/>
  <c r="Q7" i="299"/>
  <c r="A8" i="299"/>
  <c r="F2" i="246"/>
  <c r="E2" i="246"/>
  <c r="D2" i="246"/>
  <c r="I13" i="233"/>
  <c r="H13" i="233"/>
  <c r="G13" i="233"/>
  <c r="F13" i="233"/>
  <c r="F20" i="233"/>
  <c r="P13" i="299"/>
  <c r="D42" i="127"/>
  <c r="F8" i="123"/>
  <c r="M9" i="338"/>
  <c r="M8" i="338"/>
  <c r="M126" i="141"/>
  <c r="K350" i="342"/>
  <c r="J57" i="128"/>
  <c r="E10" i="123"/>
  <c r="F116" i="123"/>
  <c r="E36" i="237"/>
  <c r="E29" i="237"/>
  <c r="E32" i="237"/>
  <c r="L70" i="338"/>
  <c r="L71" i="338"/>
  <c r="M72" i="338"/>
  <c r="M78" i="338"/>
  <c r="O18" i="299"/>
  <c r="N18" i="299"/>
  <c r="D20" i="233"/>
  <c r="O39" i="140"/>
  <c r="N39" i="140"/>
  <c r="M39" i="140"/>
  <c r="L39" i="140"/>
  <c r="L80" i="338"/>
  <c r="K80" i="338"/>
  <c r="J80" i="338"/>
  <c r="A33" i="299"/>
  <c r="Q32" i="299"/>
  <c r="P32" i="299"/>
  <c r="O32" i="299"/>
  <c r="N32" i="299"/>
  <c r="N38" i="137"/>
  <c r="M38" i="137"/>
  <c r="L38" i="137"/>
  <c r="J126" i="141"/>
  <c r="H350" i="342"/>
  <c r="I41" i="123"/>
  <c r="H41" i="123"/>
  <c r="I43" i="123"/>
  <c r="I11" i="123"/>
  <c r="I44" i="123"/>
  <c r="I36" i="123"/>
  <c r="K13" i="233"/>
  <c r="Q13" i="299"/>
  <c r="A14" i="299"/>
  <c r="A32" i="299"/>
  <c r="Q31" i="299"/>
  <c r="P31" i="299"/>
  <c r="O31" i="299"/>
  <c r="N31" i="299"/>
  <c r="L2" i="246"/>
  <c r="H24" i="233"/>
  <c r="O24" i="299"/>
  <c r="I38" i="233"/>
  <c r="K8" i="233"/>
  <c r="J8" i="233"/>
  <c r="A9" i="299"/>
  <c r="G2" i="246"/>
  <c r="A10" i="299"/>
  <c r="Q9" i="299"/>
  <c r="H2" i="246"/>
  <c r="H72" i="338"/>
  <c r="H78" i="338"/>
  <c r="I100" i="350"/>
  <c r="I97" i="134"/>
  <c r="O29" i="300"/>
  <c r="K57" i="123"/>
  <c r="K18" i="123"/>
  <c r="J18" i="123"/>
  <c r="I18" i="123"/>
  <c r="K52" i="123"/>
  <c r="K13" i="123"/>
  <c r="J13" i="123"/>
  <c r="I13" i="123"/>
  <c r="H13" i="123"/>
  <c r="G13" i="123"/>
  <c r="K12" i="123"/>
  <c r="J44" i="88"/>
  <c r="I44" i="88"/>
  <c r="K136" i="314"/>
  <c r="J85" i="126"/>
  <c r="K36" i="123"/>
  <c r="K9" i="123"/>
  <c r="L9" i="123"/>
  <c r="O42" i="137"/>
  <c r="P46" i="137"/>
  <c r="P17" i="299"/>
  <c r="O17" i="299"/>
  <c r="N17" i="299"/>
  <c r="A37" i="299"/>
  <c r="Q36" i="299"/>
  <c r="P36" i="299"/>
  <c r="O36" i="299"/>
  <c r="N36" i="299"/>
  <c r="A36" i="299"/>
  <c r="Q35" i="299"/>
  <c r="G38" i="233"/>
  <c r="F38" i="233"/>
  <c r="H149" i="351"/>
  <c r="C20" i="233"/>
  <c r="O7" i="299"/>
  <c r="N7" i="299"/>
  <c r="A7" i="299"/>
  <c r="A25" i="299"/>
  <c r="J9" i="88"/>
  <c r="I9" i="88"/>
  <c r="H9" i="88"/>
  <c r="G9" i="88"/>
  <c r="F9" i="88"/>
  <c r="E9" i="88"/>
  <c r="D9" i="88"/>
  <c r="C9" i="88"/>
  <c r="J38" i="233"/>
  <c r="E44" i="127"/>
  <c r="E46" i="127"/>
  <c r="F46" i="127"/>
  <c r="K6" i="351"/>
  <c r="J6" i="351"/>
  <c r="J5" i="351"/>
  <c r="I6" i="351"/>
  <c r="E6" i="351"/>
  <c r="D6" i="351"/>
  <c r="C6" i="351"/>
  <c r="K5" i="351"/>
  <c r="E5" i="351"/>
  <c r="H3" i="351"/>
  <c r="G3" i="351"/>
  <c r="F3" i="351"/>
  <c r="E3" i="351"/>
  <c r="D3" i="351"/>
  <c r="C3" i="351"/>
  <c r="B2" i="351"/>
  <c r="A2" i="351"/>
  <c r="A50" i="133"/>
  <c r="A49" i="133"/>
  <c r="K47" i="133"/>
  <c r="I47" i="133"/>
  <c r="G47" i="133"/>
  <c r="F47" i="133"/>
  <c r="E47" i="133"/>
  <c r="D47" i="133"/>
  <c r="C47" i="133"/>
  <c r="K46" i="133"/>
  <c r="Q46" i="298"/>
  <c r="J46" i="133"/>
  <c r="P46" i="298"/>
  <c r="I46" i="133"/>
  <c r="F46" i="133"/>
  <c r="E46" i="133"/>
  <c r="D46" i="133"/>
  <c r="C46" i="133"/>
  <c r="A46" i="133"/>
  <c r="K45" i="133"/>
  <c r="J45" i="133"/>
  <c r="P45" i="298"/>
  <c r="I45" i="133"/>
  <c r="O45" i="298"/>
  <c r="N45" i="298"/>
  <c r="A45" i="133"/>
  <c r="A45" i="298"/>
  <c r="H45" i="133"/>
  <c r="G45" i="133"/>
  <c r="F45" i="133"/>
  <c r="E45" i="133"/>
  <c r="D45" i="133"/>
  <c r="C45" i="133"/>
  <c r="K44" i="133"/>
  <c r="J44" i="133"/>
  <c r="I44" i="133"/>
  <c r="H44" i="133"/>
  <c r="E39" i="233"/>
  <c r="C39" i="233"/>
  <c r="C45" i="233"/>
  <c r="A45" i="233"/>
  <c r="D39" i="233"/>
  <c r="E150" i="351"/>
  <c r="D5" i="351"/>
  <c r="E71" i="351"/>
  <c r="K140" i="351"/>
  <c r="K150" i="351"/>
  <c r="J150" i="351"/>
  <c r="K71" i="351"/>
  <c r="K149" i="351"/>
  <c r="I5" i="351"/>
  <c r="J71" i="351"/>
  <c r="J141" i="351"/>
  <c r="H38" i="233"/>
  <c r="A31" i="299"/>
  <c r="Q30" i="299"/>
  <c r="P30" i="299"/>
  <c r="O30" i="299"/>
  <c r="N30" i="299"/>
  <c r="J36" i="123"/>
  <c r="E8" i="123"/>
  <c r="N24" i="299"/>
  <c r="J12" i="233"/>
  <c r="Q12" i="299"/>
  <c r="J47" i="133"/>
  <c r="P47" i="298"/>
  <c r="Q47" i="298"/>
  <c r="I8" i="233"/>
  <c r="O8" i="299"/>
  <c r="N8" i="299"/>
  <c r="P8" i="299"/>
  <c r="H11" i="123"/>
  <c r="G11" i="123"/>
  <c r="F11" i="123"/>
  <c r="E11" i="123"/>
  <c r="D11" i="123"/>
  <c r="M10" i="123"/>
  <c r="I103" i="123"/>
  <c r="L9" i="338"/>
  <c r="K9" i="338"/>
  <c r="J9" i="338"/>
  <c r="I9" i="338"/>
  <c r="H9" i="338"/>
  <c r="G9" i="338"/>
  <c r="F9" i="338"/>
  <c r="E9" i="338"/>
  <c r="D9" i="338"/>
  <c r="M31" i="338"/>
  <c r="I6" i="233"/>
  <c r="P6" i="299"/>
  <c r="G20" i="233"/>
  <c r="G39" i="233"/>
  <c r="J9" i="123"/>
  <c r="O13" i="299"/>
  <c r="N13" i="299"/>
  <c r="E57" i="128"/>
  <c r="E48" i="127"/>
  <c r="N42" i="137"/>
  <c r="O46" i="137"/>
  <c r="G44" i="127"/>
  <c r="G46" i="127"/>
  <c r="H46" i="127"/>
  <c r="H46" i="133"/>
  <c r="G46" i="133"/>
  <c r="O46" i="298"/>
  <c r="N46" i="298"/>
  <c r="A46" i="298"/>
  <c r="Q45" i="298"/>
  <c r="H47" i="133"/>
  <c r="O47" i="298"/>
  <c r="N47" i="298"/>
  <c r="H36" i="123"/>
  <c r="I9" i="123"/>
  <c r="L72" i="338"/>
  <c r="L13" i="338"/>
  <c r="M13" i="338"/>
  <c r="M15" i="338"/>
  <c r="D10" i="123"/>
  <c r="E116" i="123"/>
  <c r="D36" i="237"/>
  <c r="D29" i="237"/>
  <c r="D32" i="237"/>
  <c r="C42" i="127"/>
  <c r="D8" i="123"/>
  <c r="M7" i="123"/>
  <c r="M117" i="123"/>
  <c r="D44" i="127"/>
  <c r="A29" i="299"/>
  <c r="Q28" i="299"/>
  <c r="P28" i="299"/>
  <c r="O28" i="299"/>
  <c r="N28" i="299"/>
  <c r="A28" i="299"/>
  <c r="Q27" i="299"/>
  <c r="P27" i="299"/>
  <c r="O27" i="299"/>
  <c r="N27" i="299"/>
  <c r="A27" i="299"/>
  <c r="Q26" i="299"/>
  <c r="P26" i="299"/>
  <c r="O26" i="299"/>
  <c r="N26" i="299"/>
  <c r="A26" i="299"/>
  <c r="Q25" i="299"/>
  <c r="P25" i="299"/>
  <c r="Q44" i="298"/>
  <c r="P44" i="298"/>
  <c r="O44" i="298"/>
  <c r="N44" i="298"/>
  <c r="A44" i="133"/>
  <c r="A44" i="298"/>
  <c r="H13" i="338"/>
  <c r="G13" i="338"/>
  <c r="F13" i="338"/>
  <c r="E13" i="338"/>
  <c r="D13" i="338"/>
  <c r="Q8" i="299"/>
  <c r="K20" i="233"/>
  <c r="K39" i="233"/>
  <c r="F57" i="128"/>
  <c r="F62" i="128"/>
  <c r="F48" i="127"/>
  <c r="F149" i="351"/>
  <c r="F141" i="351"/>
  <c r="G44" i="133"/>
  <c r="F44" i="133"/>
  <c r="E44" i="133"/>
  <c r="D44" i="133"/>
  <c r="C44" i="133"/>
  <c r="K43" i="133"/>
  <c r="H43" i="133"/>
  <c r="G43" i="133"/>
  <c r="F43" i="133"/>
  <c r="E43" i="133"/>
  <c r="D43" i="133"/>
  <c r="C43" i="133"/>
  <c r="A43" i="133"/>
  <c r="K41" i="133"/>
  <c r="Q41" i="298"/>
  <c r="J41" i="133"/>
  <c r="P41" i="298"/>
  <c r="I41" i="133"/>
  <c r="H41" i="133"/>
  <c r="G41" i="133"/>
  <c r="F41" i="133"/>
  <c r="E41" i="133"/>
  <c r="D41" i="133"/>
  <c r="C41" i="133"/>
  <c r="A41" i="133"/>
  <c r="K40" i="133"/>
  <c r="I40" i="133"/>
  <c r="F40" i="133"/>
  <c r="E40" i="133"/>
  <c r="D40" i="133"/>
  <c r="C40" i="133"/>
  <c r="A40" i="133"/>
  <c r="K39" i="133"/>
  <c r="K38" i="133"/>
  <c r="J39" i="133"/>
  <c r="P39" i="298"/>
  <c r="I39" i="133"/>
  <c r="G39" i="133"/>
  <c r="F39" i="133"/>
  <c r="E39" i="133"/>
  <c r="D39" i="133"/>
  <c r="C39" i="133"/>
  <c r="C38" i="133"/>
  <c r="A39" i="133"/>
  <c r="K37" i="133"/>
  <c r="E37" i="133"/>
  <c r="D37" i="133"/>
  <c r="C37" i="133"/>
  <c r="A37" i="133"/>
  <c r="K36" i="133"/>
  <c r="J36" i="133"/>
  <c r="I36" i="133"/>
  <c r="H36" i="133"/>
  <c r="G36" i="133"/>
  <c r="F36" i="133"/>
  <c r="E36" i="133"/>
  <c r="D36" i="133"/>
  <c r="C36" i="133"/>
  <c r="A36" i="133"/>
  <c r="K35" i="133"/>
  <c r="J35" i="133"/>
  <c r="I35" i="133"/>
  <c r="H35" i="133"/>
  <c r="G35" i="133"/>
  <c r="F35" i="133"/>
  <c r="E35" i="133"/>
  <c r="D35" i="133"/>
  <c r="C35" i="133"/>
  <c r="A35" i="133"/>
  <c r="K34" i="133"/>
  <c r="J34" i="133"/>
  <c r="I34" i="133"/>
  <c r="H34" i="133"/>
  <c r="G34" i="133"/>
  <c r="F34" i="133"/>
  <c r="E34" i="133"/>
  <c r="D34" i="133"/>
  <c r="C34" i="133"/>
  <c r="A34" i="133"/>
  <c r="K33" i="133"/>
  <c r="J33" i="133"/>
  <c r="I33" i="133"/>
  <c r="H33" i="133"/>
  <c r="G33" i="133"/>
  <c r="F33" i="133"/>
  <c r="E33" i="133"/>
  <c r="D33" i="133"/>
  <c r="C33" i="133"/>
  <c r="A33" i="133"/>
  <c r="C42" i="133"/>
  <c r="P12" i="299"/>
  <c r="E32" i="133"/>
  <c r="C5" i="351"/>
  <c r="C71" i="351"/>
  <c r="C149" i="351"/>
  <c r="D71" i="351"/>
  <c r="E141" i="351"/>
  <c r="E149" i="351"/>
  <c r="K141" i="351"/>
  <c r="I71" i="351"/>
  <c r="J149" i="351"/>
  <c r="O38" i="299"/>
  <c r="E42" i="133"/>
  <c r="O6" i="299"/>
  <c r="N6" i="299"/>
  <c r="A6" i="299"/>
  <c r="A24" i="299"/>
  <c r="Q23" i="299"/>
  <c r="K32" i="133"/>
  <c r="L8" i="338"/>
  <c r="Q38" i="298"/>
  <c r="H40" i="133"/>
  <c r="G40" i="133"/>
  <c r="G38" i="133"/>
  <c r="F38" i="133"/>
  <c r="O40" i="298"/>
  <c r="N40" i="298"/>
  <c r="A40" i="298"/>
  <c r="Q39" i="298"/>
  <c r="C44" i="127"/>
  <c r="D46" i="127"/>
  <c r="D57" i="128"/>
  <c r="M9" i="123"/>
  <c r="D116" i="123"/>
  <c r="C36" i="237"/>
  <c r="C29" i="237"/>
  <c r="C32" i="237"/>
  <c r="M42" i="137"/>
  <c r="L42" i="137"/>
  <c r="K42" i="137"/>
  <c r="J42" i="137"/>
  <c r="N46" i="137"/>
  <c r="M46" i="137"/>
  <c r="L46" i="137"/>
  <c r="K46" i="137"/>
  <c r="J46" i="137"/>
  <c r="I46" i="137"/>
  <c r="H46" i="137"/>
  <c r="G46" i="137"/>
  <c r="F46" i="137"/>
  <c r="E46" i="137"/>
  <c r="D46" i="137"/>
  <c r="C46" i="137"/>
  <c r="Q5" i="299"/>
  <c r="K8" i="338"/>
  <c r="L15" i="338"/>
  <c r="J43" i="133"/>
  <c r="Q43" i="298"/>
  <c r="G57" i="128"/>
  <c r="G62" i="128"/>
  <c r="G48" i="127"/>
  <c r="I12" i="233"/>
  <c r="H12" i="233"/>
  <c r="J20" i="233"/>
  <c r="E38" i="133"/>
  <c r="N38" i="299"/>
  <c r="D38" i="133"/>
  <c r="L78" i="338"/>
  <c r="K78" i="338"/>
  <c r="J78" i="338"/>
  <c r="I78" i="338"/>
  <c r="G36" i="123"/>
  <c r="F36" i="123"/>
  <c r="F9" i="123"/>
  <c r="H9" i="123"/>
  <c r="L10" i="123"/>
  <c r="M116" i="123"/>
  <c r="L36" i="237"/>
  <c r="L29" i="237"/>
  <c r="J37" i="133"/>
  <c r="Q37" i="298"/>
  <c r="H39" i="133"/>
  <c r="O39" i="298"/>
  <c r="N39" i="298"/>
  <c r="A39" i="298"/>
  <c r="L31" i="338"/>
  <c r="M77" i="338"/>
  <c r="M59" i="338"/>
  <c r="M66" i="338"/>
  <c r="J40" i="133"/>
  <c r="J38" i="133"/>
  <c r="I38" i="133"/>
  <c r="Q40" i="298"/>
  <c r="H57" i="128"/>
  <c r="H62" i="128"/>
  <c r="H70" i="128"/>
  <c r="H48" i="127"/>
  <c r="F39" i="233"/>
  <c r="F58" i="127"/>
  <c r="E58" i="127"/>
  <c r="G45" i="233"/>
  <c r="H103" i="123"/>
  <c r="G103" i="123"/>
  <c r="F103" i="123"/>
  <c r="E103" i="123"/>
  <c r="D103" i="123"/>
  <c r="O41" i="298"/>
  <c r="N41" i="298"/>
  <c r="A41" i="298"/>
  <c r="D42" i="133"/>
  <c r="K42" i="133"/>
  <c r="Q42" i="298"/>
  <c r="E62" i="128"/>
  <c r="F70" i="128"/>
  <c r="F81" i="128"/>
  <c r="D32" i="133"/>
  <c r="C32" i="133"/>
  <c r="K31" i="133"/>
  <c r="Q31" i="298"/>
  <c r="J31" i="133"/>
  <c r="F31" i="133"/>
  <c r="E31" i="133"/>
  <c r="D31" i="133"/>
  <c r="C31" i="133"/>
  <c r="A31" i="133"/>
  <c r="K30" i="133"/>
  <c r="J30" i="133"/>
  <c r="I30" i="133"/>
  <c r="O30" i="298"/>
  <c r="N30" i="298"/>
  <c r="A30" i="133"/>
  <c r="A30" i="298"/>
  <c r="H30" i="133"/>
  <c r="G30" i="133"/>
  <c r="F30" i="133"/>
  <c r="E30" i="133"/>
  <c r="D30" i="133"/>
  <c r="C30" i="133"/>
  <c r="K29" i="133"/>
  <c r="J29" i="133"/>
  <c r="I29" i="133"/>
  <c r="H29" i="133"/>
  <c r="G29" i="133"/>
  <c r="F29" i="133"/>
  <c r="F28" i="133"/>
  <c r="E29" i="133"/>
  <c r="D29" i="133"/>
  <c r="C29" i="133"/>
  <c r="A29" i="133"/>
  <c r="K24" i="133"/>
  <c r="Q24" i="298"/>
  <c r="J24" i="133"/>
  <c r="P24" i="298"/>
  <c r="I24" i="133"/>
  <c r="G24" i="133"/>
  <c r="F24" i="133"/>
  <c r="E24" i="133"/>
  <c r="D24" i="133"/>
  <c r="C24" i="133"/>
  <c r="K23" i="133"/>
  <c r="I23" i="133"/>
  <c r="O23" i="298"/>
  <c r="N23" i="298"/>
  <c r="H23" i="133"/>
  <c r="G23" i="133"/>
  <c r="F23" i="133"/>
  <c r="E23" i="133"/>
  <c r="D23" i="133"/>
  <c r="C23" i="133"/>
  <c r="K22" i="133"/>
  <c r="I22" i="133"/>
  <c r="E22" i="133"/>
  <c r="D22" i="133"/>
  <c r="C22" i="133"/>
  <c r="K21" i="133"/>
  <c r="I21" i="133"/>
  <c r="G21" i="133"/>
  <c r="F21" i="133"/>
  <c r="E21" i="133"/>
  <c r="D21" i="133"/>
  <c r="C21" i="133"/>
  <c r="K20" i="133"/>
  <c r="I20" i="133"/>
  <c r="H20" i="133"/>
  <c r="G20" i="133"/>
  <c r="F20" i="133"/>
  <c r="E20" i="133"/>
  <c r="D20" i="133"/>
  <c r="C20" i="133"/>
  <c r="I18" i="133"/>
  <c r="O18" i="298"/>
  <c r="N18" i="298"/>
  <c r="H18" i="133"/>
  <c r="G18" i="133"/>
  <c r="F18" i="133"/>
  <c r="E18" i="133"/>
  <c r="D18" i="133"/>
  <c r="C18" i="133"/>
  <c r="K17" i="133"/>
  <c r="Q17" i="298"/>
  <c r="J17" i="133"/>
  <c r="P17" i="298"/>
  <c r="I17" i="133"/>
  <c r="E17" i="133"/>
  <c r="D17" i="133"/>
  <c r="C17" i="133"/>
  <c r="K16" i="133"/>
  <c r="I16" i="133"/>
  <c r="O16" i="298"/>
  <c r="N16" i="298"/>
  <c r="H16" i="133"/>
  <c r="G16" i="133"/>
  <c r="F16" i="133"/>
  <c r="E16" i="133"/>
  <c r="D16" i="133"/>
  <c r="C16" i="133"/>
  <c r="I14" i="133"/>
  <c r="C14" i="133"/>
  <c r="K13" i="133"/>
  <c r="Q13" i="298"/>
  <c r="J13" i="133"/>
  <c r="I13" i="133"/>
  <c r="O13" i="298"/>
  <c r="N13" i="298"/>
  <c r="H13" i="133"/>
  <c r="G13" i="133"/>
  <c r="F13" i="133"/>
  <c r="E13" i="133"/>
  <c r="D13" i="133"/>
  <c r="C13" i="133"/>
  <c r="K12" i="133"/>
  <c r="Q12" i="298"/>
  <c r="J12" i="133"/>
  <c r="I12" i="133"/>
  <c r="H12" i="133"/>
  <c r="G12" i="133"/>
  <c r="F12" i="133"/>
  <c r="E12" i="133"/>
  <c r="D12" i="133"/>
  <c r="C12" i="133"/>
  <c r="K11" i="133"/>
  <c r="Q11" i="298"/>
  <c r="J11" i="133"/>
  <c r="P11" i="298"/>
  <c r="I11" i="133"/>
  <c r="O11" i="298"/>
  <c r="N11" i="298"/>
  <c r="H11" i="133"/>
  <c r="G11" i="133"/>
  <c r="F11" i="133"/>
  <c r="E11" i="133"/>
  <c r="D11" i="133"/>
  <c r="C11" i="133"/>
  <c r="K10" i="133"/>
  <c r="I10" i="133"/>
  <c r="F10" i="133"/>
  <c r="E10" i="133"/>
  <c r="D10" i="133"/>
  <c r="C10" i="133"/>
  <c r="J8" i="133"/>
  <c r="I8" i="133"/>
  <c r="G8" i="133"/>
  <c r="F8" i="133"/>
  <c r="E8" i="133"/>
  <c r="D8" i="133"/>
  <c r="C8" i="133"/>
  <c r="K7" i="133"/>
  <c r="Q7" i="298"/>
  <c r="J7" i="133"/>
  <c r="P7" i="298"/>
  <c r="I7" i="133"/>
  <c r="H7" i="133"/>
  <c r="G7" i="133"/>
  <c r="F7" i="133"/>
  <c r="E7" i="133"/>
  <c r="D7" i="133"/>
  <c r="C7" i="133"/>
  <c r="K6" i="133"/>
  <c r="I6" i="133"/>
  <c r="H6" i="133"/>
  <c r="G6" i="133"/>
  <c r="F6" i="133"/>
  <c r="E6" i="133"/>
  <c r="D6" i="133"/>
  <c r="C6" i="133"/>
  <c r="H3" i="133"/>
  <c r="G3" i="133"/>
  <c r="F3" i="133"/>
  <c r="E3" i="133"/>
  <c r="D3" i="133"/>
  <c r="C3" i="133"/>
  <c r="B2" i="133"/>
  <c r="A2" i="133"/>
  <c r="K65" i="86"/>
  <c r="J65" i="86"/>
  <c r="I65" i="86"/>
  <c r="H65" i="86"/>
  <c r="G65" i="86"/>
  <c r="F65" i="86"/>
  <c r="E65" i="86"/>
  <c r="D65" i="86"/>
  <c r="C65" i="86"/>
  <c r="B65" i="86"/>
  <c r="A65" i="86"/>
  <c r="K64" i="86"/>
  <c r="J64" i="86"/>
  <c r="I64" i="86"/>
  <c r="H64" i="86"/>
  <c r="G64" i="86"/>
  <c r="F64" i="86"/>
  <c r="E64" i="86"/>
  <c r="D64" i="86"/>
  <c r="C64" i="86"/>
  <c r="B64" i="86"/>
  <c r="A64" i="86"/>
  <c r="K63" i="86"/>
  <c r="J63" i="86"/>
  <c r="I63" i="86"/>
  <c r="H63" i="86"/>
  <c r="G63" i="86"/>
  <c r="F63" i="86"/>
  <c r="E63" i="86"/>
  <c r="D63" i="86"/>
  <c r="C63" i="86"/>
  <c r="B63" i="86"/>
  <c r="A63" i="86"/>
  <c r="K62" i="86"/>
  <c r="J62" i="86"/>
  <c r="I62" i="86"/>
  <c r="H62" i="86"/>
  <c r="G62" i="86"/>
  <c r="F62" i="86"/>
  <c r="E62" i="86"/>
  <c r="D62" i="86"/>
  <c r="C62" i="86"/>
  <c r="B62" i="86"/>
  <c r="A62" i="86"/>
  <c r="K60" i="86"/>
  <c r="J60" i="86"/>
  <c r="I60" i="86"/>
  <c r="H60" i="86"/>
  <c r="G60" i="86"/>
  <c r="F60" i="86"/>
  <c r="E60" i="86"/>
  <c r="D60" i="86"/>
  <c r="C60" i="86"/>
  <c r="B60" i="86"/>
  <c r="K59" i="86"/>
  <c r="J59" i="86"/>
  <c r="I59" i="86"/>
  <c r="H59" i="86"/>
  <c r="G59" i="86"/>
  <c r="F59" i="86"/>
  <c r="E59" i="86"/>
  <c r="D59" i="86"/>
  <c r="C59" i="86"/>
  <c r="B59" i="86"/>
  <c r="K56" i="86"/>
  <c r="J56" i="86"/>
  <c r="I56" i="86"/>
  <c r="H56" i="86"/>
  <c r="G56" i="86"/>
  <c r="F56" i="86"/>
  <c r="E56" i="86"/>
  <c r="D56" i="86"/>
  <c r="C56" i="86"/>
  <c r="B56" i="86"/>
  <c r="K55" i="86"/>
  <c r="J55" i="86"/>
  <c r="I55" i="86"/>
  <c r="K113" i="123"/>
  <c r="H55" i="86"/>
  <c r="J113" i="123"/>
  <c r="G55" i="86"/>
  <c r="I113" i="123"/>
  <c r="F55" i="86"/>
  <c r="H113" i="123"/>
  <c r="E55" i="86"/>
  <c r="D55" i="86"/>
  <c r="F113" i="123"/>
  <c r="C55" i="86"/>
  <c r="E113" i="123"/>
  <c r="B55" i="86"/>
  <c r="D113" i="123"/>
  <c r="K54" i="86"/>
  <c r="J54" i="86"/>
  <c r="I54" i="86"/>
  <c r="H54" i="86"/>
  <c r="G54" i="86"/>
  <c r="F54" i="86"/>
  <c r="E54" i="86"/>
  <c r="D54" i="86"/>
  <c r="C54" i="86"/>
  <c r="B54" i="86"/>
  <c r="A54" i="86"/>
  <c r="K53" i="86"/>
  <c r="J53" i="86"/>
  <c r="I53" i="86"/>
  <c r="H53" i="86"/>
  <c r="G53" i="86"/>
  <c r="F53" i="86"/>
  <c r="E53" i="86"/>
  <c r="D53" i="86"/>
  <c r="C53" i="86"/>
  <c r="B53" i="86"/>
  <c r="C9" i="133"/>
  <c r="K8" i="133"/>
  <c r="Q8" i="298"/>
  <c r="P8" i="298"/>
  <c r="K28" i="133"/>
  <c r="Q28" i="298"/>
  <c r="G113" i="123"/>
  <c r="P13" i="298"/>
  <c r="D28" i="133"/>
  <c r="D48" i="133"/>
  <c r="D58" i="133"/>
  <c r="F45" i="233"/>
  <c r="E45" i="233"/>
  <c r="D45" i="233"/>
  <c r="P40" i="298"/>
  <c r="G9" i="123"/>
  <c r="Q29" i="298"/>
  <c r="P29" i="298"/>
  <c r="O29" i="298"/>
  <c r="N29" i="298"/>
  <c r="A29" i="298"/>
  <c r="C28" i="133"/>
  <c r="G70" i="128"/>
  <c r="E28" i="133"/>
  <c r="E19" i="133"/>
  <c r="D149" i="351"/>
  <c r="D141" i="351"/>
  <c r="C141" i="351"/>
  <c r="K19" i="133"/>
  <c r="Q19" i="298"/>
  <c r="I19" i="133"/>
  <c r="I149" i="351"/>
  <c r="I141" i="351"/>
  <c r="O7" i="298"/>
  <c r="N7" i="298"/>
  <c r="C48" i="133"/>
  <c r="G5" i="133"/>
  <c r="D19" i="133"/>
  <c r="C19" i="133"/>
  <c r="K18" i="133"/>
  <c r="K15" i="133"/>
  <c r="Q15" i="298"/>
  <c r="K15" i="338"/>
  <c r="F5" i="133"/>
  <c r="J18" i="133"/>
  <c r="P18" i="298"/>
  <c r="Q18" i="298"/>
  <c r="M113" i="123"/>
  <c r="H8" i="133"/>
  <c r="H5" i="133"/>
  <c r="O8" i="298"/>
  <c r="N8" i="298"/>
  <c r="H14" i="133"/>
  <c r="G14" i="133"/>
  <c r="F14" i="133"/>
  <c r="E14" i="133"/>
  <c r="D14" i="133"/>
  <c r="D9" i="133"/>
  <c r="O14" i="298"/>
  <c r="N14" i="298"/>
  <c r="J16" i="133"/>
  <c r="Q16" i="298"/>
  <c r="E70" i="128"/>
  <c r="E81" i="128"/>
  <c r="J23" i="133"/>
  <c r="P23" i="298"/>
  <c r="Q23" i="298"/>
  <c r="J20" i="133"/>
  <c r="Q20" i="298"/>
  <c r="H21" i="133"/>
  <c r="O21" i="298"/>
  <c r="N21" i="298"/>
  <c r="J22" i="133"/>
  <c r="P22" i="298"/>
  <c r="Q22" i="298"/>
  <c r="I31" i="133"/>
  <c r="H31" i="133"/>
  <c r="G31" i="133"/>
  <c r="G28" i="133"/>
  <c r="P31" i="298"/>
  <c r="I20" i="233"/>
  <c r="J39" i="233"/>
  <c r="J45" i="233"/>
  <c r="P23" i="299"/>
  <c r="P38" i="299"/>
  <c r="Q38" i="299"/>
  <c r="L42" i="127"/>
  <c r="C46" i="127"/>
  <c r="P37" i="298"/>
  <c r="E5" i="133"/>
  <c r="H38" i="133"/>
  <c r="P43" i="298"/>
  <c r="J6" i="133"/>
  <c r="J5" i="133"/>
  <c r="Q6" i="298"/>
  <c r="J10" i="133"/>
  <c r="Q10" i="298"/>
  <c r="J28" i="133"/>
  <c r="P28" i="298"/>
  <c r="K48" i="133"/>
  <c r="L77" i="338"/>
  <c r="L59" i="338"/>
  <c r="L66" i="338"/>
  <c r="I37" i="133"/>
  <c r="J32" i="133"/>
  <c r="L113" i="123"/>
  <c r="H10" i="133"/>
  <c r="O10" i="298"/>
  <c r="N10" i="298"/>
  <c r="J21" i="133"/>
  <c r="P21" i="298"/>
  <c r="Q21" i="298"/>
  <c r="K10" i="123"/>
  <c r="L116" i="123"/>
  <c r="K36" i="237"/>
  <c r="K29" i="237"/>
  <c r="I43" i="133"/>
  <c r="I42" i="133"/>
  <c r="H42" i="133"/>
  <c r="G42" i="133"/>
  <c r="F42" i="133"/>
  <c r="J42" i="133"/>
  <c r="P42" i="298"/>
  <c r="P5" i="299"/>
  <c r="Q20" i="299"/>
  <c r="H17" i="133"/>
  <c r="O17" i="298"/>
  <c r="N17" i="298"/>
  <c r="H22" i="133"/>
  <c r="G22" i="133"/>
  <c r="F22" i="133"/>
  <c r="O22" i="298"/>
  <c r="N22" i="298"/>
  <c r="H24" i="133"/>
  <c r="O24" i="298"/>
  <c r="N24" i="298"/>
  <c r="L32" i="237"/>
  <c r="J8" i="338"/>
  <c r="K31" i="338"/>
  <c r="D58" i="127"/>
  <c r="D48" i="127"/>
  <c r="P38" i="298"/>
  <c r="O38" i="298"/>
  <c r="N38" i="298"/>
  <c r="D5" i="133"/>
  <c r="I5" i="133"/>
  <c r="I9" i="133"/>
  <c r="P12" i="298"/>
  <c r="O12" i="298"/>
  <c r="N12" i="298"/>
  <c r="E15" i="133"/>
  <c r="D15" i="133"/>
  <c r="C15" i="133"/>
  <c r="K14" i="133"/>
  <c r="I15" i="133"/>
  <c r="O12" i="299"/>
  <c r="N12" i="299"/>
  <c r="A49" i="86"/>
  <c r="K48" i="86"/>
  <c r="J48" i="86"/>
  <c r="I48" i="86"/>
  <c r="H48" i="86"/>
  <c r="G48" i="86"/>
  <c r="F48" i="86"/>
  <c r="E48" i="86"/>
  <c r="D48" i="86"/>
  <c r="C48" i="86"/>
  <c r="B48" i="86"/>
  <c r="A48" i="86"/>
  <c r="K45" i="86"/>
  <c r="J45" i="86"/>
  <c r="I45" i="86"/>
  <c r="H45" i="86"/>
  <c r="G45" i="86"/>
  <c r="F45" i="86"/>
  <c r="E45" i="86"/>
  <c r="D45" i="86"/>
  <c r="C45" i="86"/>
  <c r="B45" i="86"/>
  <c r="A45" i="86"/>
  <c r="H44" i="86"/>
  <c r="G44" i="86"/>
  <c r="F44" i="86"/>
  <c r="E44" i="86"/>
  <c r="D44" i="86"/>
  <c r="C44" i="86"/>
  <c r="B44" i="86"/>
  <c r="K43" i="86"/>
  <c r="J43" i="86"/>
  <c r="I43" i="86"/>
  <c r="H43" i="86"/>
  <c r="G43" i="86"/>
  <c r="F43" i="86"/>
  <c r="E43" i="86"/>
  <c r="D43" i="86"/>
  <c r="C43" i="86"/>
  <c r="B43" i="86"/>
  <c r="K42" i="86"/>
  <c r="J42" i="86"/>
  <c r="I42" i="86"/>
  <c r="H42" i="86"/>
  <c r="G42" i="86"/>
  <c r="F42" i="86"/>
  <c r="E42" i="86"/>
  <c r="D42" i="86"/>
  <c r="C42" i="86"/>
  <c r="B42" i="86"/>
  <c r="K39" i="86"/>
  <c r="J39" i="86"/>
  <c r="I39" i="86"/>
  <c r="H39" i="86"/>
  <c r="G39" i="86"/>
  <c r="F39" i="86"/>
  <c r="E39" i="86"/>
  <c r="D39" i="86"/>
  <c r="C39" i="86"/>
  <c r="B39" i="86"/>
  <c r="K38" i="86"/>
  <c r="J38" i="86"/>
  <c r="I38" i="86"/>
  <c r="H38" i="86"/>
  <c r="G38" i="86"/>
  <c r="F38" i="86"/>
  <c r="E38" i="86"/>
  <c r="D38" i="86"/>
  <c r="C38" i="86"/>
  <c r="B38" i="86"/>
  <c r="A38" i="86"/>
  <c r="K37" i="86"/>
  <c r="J37" i="86"/>
  <c r="I37" i="86"/>
  <c r="H37" i="86"/>
  <c r="G37" i="86"/>
  <c r="F37" i="86"/>
  <c r="E37" i="86"/>
  <c r="D37" i="86"/>
  <c r="C37" i="86"/>
  <c r="B37" i="86"/>
  <c r="A37" i="86"/>
  <c r="K36" i="86"/>
  <c r="J36" i="86"/>
  <c r="I36" i="86"/>
  <c r="H36" i="86"/>
  <c r="G36" i="86"/>
  <c r="F36" i="86"/>
  <c r="E36" i="86"/>
  <c r="D36" i="86"/>
  <c r="C36" i="86"/>
  <c r="B36" i="86"/>
  <c r="A36" i="86"/>
  <c r="K35" i="86"/>
  <c r="J35" i="86"/>
  <c r="I35" i="86"/>
  <c r="H35" i="86"/>
  <c r="G35" i="86"/>
  <c r="F35" i="86"/>
  <c r="E35" i="86"/>
  <c r="D35" i="86"/>
  <c r="C35" i="86"/>
  <c r="B35" i="86"/>
  <c r="A35" i="86"/>
  <c r="K31" i="86"/>
  <c r="J31" i="86"/>
  <c r="I31" i="86"/>
  <c r="H31" i="86"/>
  <c r="G31" i="86"/>
  <c r="F31" i="86"/>
  <c r="E31" i="86"/>
  <c r="D31" i="86"/>
  <c r="C31" i="86"/>
  <c r="B31" i="86"/>
  <c r="A31" i="86"/>
  <c r="K30" i="86"/>
  <c r="J30" i="86"/>
  <c r="I30" i="86"/>
  <c r="H30" i="86"/>
  <c r="G30" i="86"/>
  <c r="F30" i="86"/>
  <c r="E30" i="86"/>
  <c r="D30" i="86"/>
  <c r="C30" i="86"/>
  <c r="B30" i="86"/>
  <c r="A30" i="86"/>
  <c r="K29" i="86"/>
  <c r="J29" i="86"/>
  <c r="I29" i="86"/>
  <c r="H29" i="86"/>
  <c r="G29" i="86"/>
  <c r="F29" i="86"/>
  <c r="E29" i="86"/>
  <c r="D29" i="86"/>
  <c r="C29" i="86"/>
  <c r="B29" i="86"/>
  <c r="A29" i="86"/>
  <c r="K28" i="86"/>
  <c r="J28" i="86"/>
  <c r="H28" i="86"/>
  <c r="G28" i="86"/>
  <c r="F28" i="86"/>
  <c r="E28" i="86"/>
  <c r="G107" i="123"/>
  <c r="D28" i="86"/>
  <c r="C28" i="86"/>
  <c r="B28" i="86"/>
  <c r="K27" i="86"/>
  <c r="M112" i="123"/>
  <c r="J27" i="86"/>
  <c r="A24" i="86"/>
  <c r="K23" i="86"/>
  <c r="J23" i="86"/>
  <c r="I23" i="86"/>
  <c r="H23" i="86"/>
  <c r="G23" i="86"/>
  <c r="F23" i="86"/>
  <c r="E23" i="86"/>
  <c r="D23" i="86"/>
  <c r="C23" i="86"/>
  <c r="B23" i="86"/>
  <c r="A23" i="86"/>
  <c r="A22" i="86"/>
  <c r="K21" i="86"/>
  <c r="J21" i="86"/>
  <c r="I21" i="86"/>
  <c r="H21" i="86"/>
  <c r="G21" i="86"/>
  <c r="F21" i="86"/>
  <c r="E21" i="86"/>
  <c r="D21" i="86"/>
  <c r="C21" i="86"/>
  <c r="B21" i="86"/>
  <c r="K20" i="86"/>
  <c r="J20" i="86"/>
  <c r="I20" i="86"/>
  <c r="H20" i="86"/>
  <c r="G20" i="86"/>
  <c r="F20" i="86"/>
  <c r="E20" i="86"/>
  <c r="D20" i="86"/>
  <c r="C20" i="86"/>
  <c r="B20" i="86"/>
  <c r="A20" i="86"/>
  <c r="A19" i="86"/>
  <c r="A18" i="86"/>
  <c r="K17" i="86"/>
  <c r="J17" i="86"/>
  <c r="I17" i="86"/>
  <c r="H17" i="86"/>
  <c r="G17" i="86"/>
  <c r="F17" i="86"/>
  <c r="E17" i="86"/>
  <c r="D17" i="86"/>
  <c r="C17" i="86"/>
  <c r="B17" i="86"/>
  <c r="K16" i="86"/>
  <c r="J16" i="86"/>
  <c r="I16" i="86"/>
  <c r="H16" i="86"/>
  <c r="G16" i="86"/>
  <c r="F16" i="86"/>
  <c r="E16" i="86"/>
  <c r="D16" i="86"/>
  <c r="C16" i="86"/>
  <c r="B16" i="86"/>
  <c r="K15" i="86"/>
  <c r="J15" i="86"/>
  <c r="I15" i="86"/>
  <c r="H15" i="86"/>
  <c r="G15" i="86"/>
  <c r="F15" i="86"/>
  <c r="E15" i="86"/>
  <c r="D15" i="86"/>
  <c r="C15" i="86"/>
  <c r="B15" i="86"/>
  <c r="K14" i="86"/>
  <c r="J14" i="86"/>
  <c r="I14" i="86"/>
  <c r="H14" i="86"/>
  <c r="G14" i="86"/>
  <c r="F14" i="86"/>
  <c r="E14" i="86"/>
  <c r="D14" i="86"/>
  <c r="C14" i="86"/>
  <c r="B14" i="86"/>
  <c r="K13" i="86"/>
  <c r="J13" i="86"/>
  <c r="I13" i="86"/>
  <c r="H13" i="86"/>
  <c r="G13" i="86"/>
  <c r="F13" i="86"/>
  <c r="E13" i="86"/>
  <c r="D13" i="86"/>
  <c r="C13" i="86"/>
  <c r="B13" i="86"/>
  <c r="K12" i="86"/>
  <c r="J12" i="86"/>
  <c r="I12" i="86"/>
  <c r="K100" i="123"/>
  <c r="H12" i="86"/>
  <c r="G12" i="86"/>
  <c r="F12" i="86"/>
  <c r="E12" i="86"/>
  <c r="D12" i="86"/>
  <c r="C12" i="86"/>
  <c r="B12" i="86"/>
  <c r="K11" i="86"/>
  <c r="J11" i="86"/>
  <c r="M97" i="123"/>
  <c r="I11" i="86"/>
  <c r="H11" i="86"/>
  <c r="G11" i="86"/>
  <c r="F11" i="86"/>
  <c r="I97" i="123"/>
  <c r="E11" i="86"/>
  <c r="D11" i="86"/>
  <c r="C11" i="86"/>
  <c r="B11" i="86"/>
  <c r="A10" i="86"/>
  <c r="K9" i="86"/>
  <c r="J9" i="86"/>
  <c r="I9" i="86"/>
  <c r="H9" i="86"/>
  <c r="G9" i="86"/>
  <c r="F9" i="86"/>
  <c r="E9" i="86"/>
  <c r="D9" i="86"/>
  <c r="C9" i="86"/>
  <c r="B9" i="86"/>
  <c r="K8" i="86"/>
  <c r="J8" i="86"/>
  <c r="I8" i="86"/>
  <c r="H8" i="86"/>
  <c r="G8" i="86"/>
  <c r="F8" i="86"/>
  <c r="E8" i="86"/>
  <c r="D8" i="86"/>
  <c r="C8" i="86"/>
  <c r="B8" i="86"/>
  <c r="K7" i="86"/>
  <c r="J7" i="86"/>
  <c r="I7" i="86"/>
  <c r="H7" i="86"/>
  <c r="G7" i="86"/>
  <c r="F7" i="86"/>
  <c r="E7" i="86"/>
  <c r="D7" i="86"/>
  <c r="C7" i="86"/>
  <c r="B7" i="86"/>
  <c r="K6" i="86"/>
  <c r="J6" i="86"/>
  <c r="I6" i="86"/>
  <c r="H6" i="86"/>
  <c r="G6" i="86"/>
  <c r="F6" i="86"/>
  <c r="E6" i="86"/>
  <c r="D6" i="86"/>
  <c r="C6" i="86"/>
  <c r="B6" i="86"/>
  <c r="K5" i="86"/>
  <c r="J5" i="86"/>
  <c r="I5" i="86"/>
  <c r="H5" i="86"/>
  <c r="G5" i="86"/>
  <c r="F5" i="86"/>
  <c r="E5" i="86"/>
  <c r="D5" i="86"/>
  <c r="C5" i="86"/>
  <c r="B5" i="86"/>
  <c r="H3" i="86"/>
  <c r="G3" i="86"/>
  <c r="F3" i="86"/>
  <c r="E3" i="86"/>
  <c r="D3" i="86"/>
  <c r="C3" i="86"/>
  <c r="B3" i="86"/>
  <c r="A2" i="86"/>
  <c r="B8" i="355"/>
  <c r="C4" i="355"/>
  <c r="D166" i="347"/>
  <c r="D165" i="347"/>
  <c r="D164" i="347"/>
  <c r="D163" i="347"/>
  <c r="D162" i="347"/>
  <c r="D161" i="347"/>
  <c r="D160" i="347"/>
  <c r="D159" i="347"/>
  <c r="D158" i="347"/>
  <c r="D157" i="347"/>
  <c r="D155" i="347"/>
  <c r="D154" i="347"/>
  <c r="D153" i="347"/>
  <c r="D152" i="347"/>
  <c r="D151" i="347"/>
  <c r="D150" i="347"/>
  <c r="D149" i="347"/>
  <c r="D148" i="347"/>
  <c r="D147" i="347"/>
  <c r="D146" i="347"/>
  <c r="D144" i="347"/>
  <c r="D143" i="347"/>
  <c r="D142" i="347"/>
  <c r="D141" i="347"/>
  <c r="D140" i="347"/>
  <c r="D139" i="347"/>
  <c r="D138" i="347"/>
  <c r="D137" i="347"/>
  <c r="D136" i="347"/>
  <c r="D135" i="347"/>
  <c r="D133" i="347"/>
  <c r="D132" i="347"/>
  <c r="D131" i="347"/>
  <c r="D130" i="347"/>
  <c r="D129" i="347"/>
  <c r="D128" i="347"/>
  <c r="D127" i="347"/>
  <c r="D126" i="347"/>
  <c r="D125" i="347"/>
  <c r="D124" i="347"/>
  <c r="D122" i="347"/>
  <c r="D121" i="347"/>
  <c r="D120" i="347"/>
  <c r="D119" i="347"/>
  <c r="D118" i="347"/>
  <c r="D117" i="347"/>
  <c r="D116" i="347"/>
  <c r="D115" i="347"/>
  <c r="D114" i="347"/>
  <c r="D113" i="347"/>
  <c r="D111" i="347"/>
  <c r="D110" i="347"/>
  <c r="D109" i="347"/>
  <c r="D108" i="347"/>
  <c r="D107" i="347"/>
  <c r="D106" i="347"/>
  <c r="D105" i="347"/>
  <c r="D104" i="347"/>
  <c r="D103" i="347"/>
  <c r="D102" i="347"/>
  <c r="D100" i="347"/>
  <c r="D99" i="347"/>
  <c r="D98" i="347"/>
  <c r="D97" i="347"/>
  <c r="D96" i="347"/>
  <c r="D95" i="347"/>
  <c r="D94" i="347"/>
  <c r="D93" i="347"/>
  <c r="D92" i="347"/>
  <c r="D91" i="347"/>
  <c r="D89" i="347"/>
  <c r="D88" i="347"/>
  <c r="D87" i="347"/>
  <c r="D86" i="347"/>
  <c r="D85" i="347"/>
  <c r="D84" i="347"/>
  <c r="D83" i="347"/>
  <c r="D82" i="347"/>
  <c r="D81" i="347"/>
  <c r="D80" i="347"/>
  <c r="D78" i="347"/>
  <c r="D77" i="347"/>
  <c r="D76" i="347"/>
  <c r="D75" i="347"/>
  <c r="D74" i="347"/>
  <c r="D73" i="347"/>
  <c r="D72" i="347"/>
  <c r="D71" i="347"/>
  <c r="D70" i="347"/>
  <c r="D69" i="347"/>
  <c r="D67" i="347"/>
  <c r="D66" i="347"/>
  <c r="D65" i="347"/>
  <c r="D64" i="347"/>
  <c r="D63" i="347"/>
  <c r="D62" i="347"/>
  <c r="D61" i="347"/>
  <c r="D60" i="347"/>
  <c r="D59" i="347"/>
  <c r="D58" i="347"/>
  <c r="D56" i="347"/>
  <c r="D55" i="347"/>
  <c r="D54" i="347"/>
  <c r="D53" i="347"/>
  <c r="D52" i="347"/>
  <c r="D51" i="347"/>
  <c r="D50" i="347"/>
  <c r="D49" i="347"/>
  <c r="D48" i="347"/>
  <c r="D47" i="347"/>
  <c r="D45" i="347"/>
  <c r="D44" i="347"/>
  <c r="D43" i="347"/>
  <c r="D42" i="347"/>
  <c r="D41" i="347"/>
  <c r="D40" i="347"/>
  <c r="D39" i="347"/>
  <c r="D38" i="347"/>
  <c r="D37" i="347"/>
  <c r="D36" i="347"/>
  <c r="D34" i="347"/>
  <c r="D33" i="347"/>
  <c r="D32" i="347"/>
  <c r="D31" i="347"/>
  <c r="D30" i="347"/>
  <c r="D29" i="347"/>
  <c r="D28" i="347"/>
  <c r="D27" i="347"/>
  <c r="D26" i="347"/>
  <c r="D25" i="347"/>
  <c r="D23" i="347"/>
  <c r="D22" i="347"/>
  <c r="D21" i="347"/>
  <c r="D20" i="347"/>
  <c r="D19" i="347"/>
  <c r="D18" i="347"/>
  <c r="D17" i="347"/>
  <c r="D16" i="347"/>
  <c r="D15" i="347"/>
  <c r="D14" i="347"/>
  <c r="D12" i="347"/>
  <c r="D11" i="347"/>
  <c r="D10" i="347"/>
  <c r="D9" i="347"/>
  <c r="D8" i="347"/>
  <c r="D7" i="347"/>
  <c r="D6" i="347"/>
  <c r="D5" i="347"/>
  <c r="D4" i="347"/>
  <c r="D3" i="347"/>
  <c r="B308" i="344"/>
  <c r="B28" i="344"/>
  <c r="O24" i="344"/>
  <c r="N24" i="344"/>
  <c r="M24" i="344"/>
  <c r="L24" i="344"/>
  <c r="K24" i="344"/>
  <c r="J24" i="344"/>
  <c r="I24" i="344"/>
  <c r="H24" i="344"/>
  <c r="G24" i="344"/>
  <c r="F24" i="344"/>
  <c r="E24" i="344"/>
  <c r="A24" i="344"/>
  <c r="O23" i="344"/>
  <c r="N23" i="344"/>
  <c r="M23" i="344"/>
  <c r="L23" i="344"/>
  <c r="K23" i="344"/>
  <c r="J23" i="344"/>
  <c r="I23" i="344"/>
  <c r="H23" i="344"/>
  <c r="G23" i="344"/>
  <c r="F23" i="344"/>
  <c r="E23" i="344"/>
  <c r="O22" i="344"/>
  <c r="N22" i="344"/>
  <c r="M22" i="344"/>
  <c r="L22" i="344"/>
  <c r="K22" i="344"/>
  <c r="J22" i="344"/>
  <c r="I22" i="344"/>
  <c r="H22" i="344"/>
  <c r="G22" i="344"/>
  <c r="F22" i="344"/>
  <c r="E22" i="344"/>
  <c r="A22" i="344"/>
  <c r="O21" i="344"/>
  <c r="N21" i="344"/>
  <c r="M21" i="344"/>
  <c r="L21" i="344"/>
  <c r="K21" i="344"/>
  <c r="J21" i="344"/>
  <c r="I21" i="344"/>
  <c r="H21" i="344"/>
  <c r="G21" i="344"/>
  <c r="F21" i="344"/>
  <c r="E21" i="344"/>
  <c r="A21" i="344"/>
  <c r="O20" i="344"/>
  <c r="N20" i="344"/>
  <c r="M20" i="344"/>
  <c r="L20" i="344"/>
  <c r="K20" i="344"/>
  <c r="J20" i="344"/>
  <c r="I20" i="344"/>
  <c r="H20" i="344"/>
  <c r="G20" i="344"/>
  <c r="F20" i="344"/>
  <c r="E20" i="344"/>
  <c r="A20" i="344"/>
  <c r="O19" i="344"/>
  <c r="N19" i="344"/>
  <c r="M19" i="344"/>
  <c r="L19" i="344"/>
  <c r="K19" i="344"/>
  <c r="J19" i="344"/>
  <c r="I19" i="344"/>
  <c r="H19" i="344"/>
  <c r="G19" i="344"/>
  <c r="F19" i="344"/>
  <c r="E19" i="344"/>
  <c r="A19" i="344"/>
  <c r="O18" i="344"/>
  <c r="N18" i="344"/>
  <c r="M18" i="344"/>
  <c r="L18" i="344"/>
  <c r="K18" i="344"/>
  <c r="J18" i="344"/>
  <c r="I18" i="344"/>
  <c r="H18" i="344"/>
  <c r="G18" i="344"/>
  <c r="F18" i="344"/>
  <c r="E18" i="344"/>
  <c r="A18" i="344"/>
  <c r="O17" i="344"/>
  <c r="N17" i="344"/>
  <c r="M17" i="344"/>
  <c r="L17" i="344"/>
  <c r="K17" i="344"/>
  <c r="J17" i="344"/>
  <c r="I17" i="344"/>
  <c r="H17" i="344"/>
  <c r="G17" i="344"/>
  <c r="F17" i="344"/>
  <c r="E17" i="344"/>
  <c r="A17" i="344"/>
  <c r="O16" i="344"/>
  <c r="N16" i="344"/>
  <c r="M16" i="344"/>
  <c r="L16" i="344"/>
  <c r="K16" i="344"/>
  <c r="J16" i="344"/>
  <c r="I16" i="344"/>
  <c r="H16" i="344"/>
  <c r="G16" i="344"/>
  <c r="F16" i="344"/>
  <c r="E16" i="344"/>
  <c r="A16" i="344"/>
  <c r="O15" i="344"/>
  <c r="N15" i="344"/>
  <c r="M15" i="344"/>
  <c r="L15" i="344"/>
  <c r="K15" i="344"/>
  <c r="J15" i="344"/>
  <c r="I15" i="344"/>
  <c r="H15" i="344"/>
  <c r="G15" i="344"/>
  <c r="F15" i="344"/>
  <c r="E15" i="344"/>
  <c r="A15" i="344"/>
  <c r="O14" i="344"/>
  <c r="N14" i="344"/>
  <c r="M14" i="344"/>
  <c r="L14" i="344"/>
  <c r="K14" i="344"/>
  <c r="J14" i="344"/>
  <c r="I14" i="344"/>
  <c r="H14" i="344"/>
  <c r="G14" i="344"/>
  <c r="F14" i="344"/>
  <c r="E14" i="344"/>
  <c r="A14" i="344"/>
  <c r="O13" i="344"/>
  <c r="N13" i="344"/>
  <c r="M13" i="344"/>
  <c r="L13" i="344"/>
  <c r="K13" i="344"/>
  <c r="J13" i="344"/>
  <c r="I13" i="344"/>
  <c r="H13" i="344"/>
  <c r="G13" i="344"/>
  <c r="F13" i="344"/>
  <c r="E13" i="344"/>
  <c r="A13" i="344"/>
  <c r="O12" i="344"/>
  <c r="N12" i="344"/>
  <c r="M12" i="344"/>
  <c r="L12" i="344"/>
  <c r="K12" i="344"/>
  <c r="J12" i="344"/>
  <c r="I12" i="344"/>
  <c r="H12" i="344"/>
  <c r="G12" i="344"/>
  <c r="F12" i="344"/>
  <c r="E12" i="344"/>
  <c r="A12" i="344"/>
  <c r="O11" i="344"/>
  <c r="N11" i="344"/>
  <c r="M11" i="344"/>
  <c r="L11" i="344"/>
  <c r="K11" i="344"/>
  <c r="J11" i="344"/>
  <c r="I11" i="344"/>
  <c r="H11" i="344"/>
  <c r="G11" i="344"/>
  <c r="F11" i="344"/>
  <c r="E11" i="344"/>
  <c r="A11" i="344"/>
  <c r="O10" i="344"/>
  <c r="N10" i="344"/>
  <c r="M10" i="344"/>
  <c r="L10" i="344"/>
  <c r="K10" i="344"/>
  <c r="J10" i="344"/>
  <c r="I10" i="344"/>
  <c r="H10" i="344"/>
  <c r="G10" i="344"/>
  <c r="F10" i="344"/>
  <c r="E10" i="344"/>
  <c r="A10" i="344"/>
  <c r="O9" i="344"/>
  <c r="N9" i="344"/>
  <c r="M9" i="344"/>
  <c r="L9" i="344"/>
  <c r="K9" i="344"/>
  <c r="J9" i="344"/>
  <c r="I9" i="344"/>
  <c r="H9" i="344"/>
  <c r="G9" i="344"/>
  <c r="F9" i="344"/>
  <c r="E9" i="344"/>
  <c r="A9" i="344"/>
  <c r="O8" i="344"/>
  <c r="N8" i="344"/>
  <c r="M8" i="344"/>
  <c r="L8" i="344"/>
  <c r="K8" i="344"/>
  <c r="J8" i="344"/>
  <c r="I8" i="344"/>
  <c r="H8" i="344"/>
  <c r="G8" i="344"/>
  <c r="F8" i="344"/>
  <c r="E8" i="344"/>
  <c r="A8" i="344"/>
  <c r="O7" i="344"/>
  <c r="N7" i="344"/>
  <c r="M7" i="344"/>
  <c r="L7" i="344"/>
  <c r="K7" i="344"/>
  <c r="J7" i="344"/>
  <c r="I7" i="344"/>
  <c r="H7" i="344"/>
  <c r="G7" i="344"/>
  <c r="F7" i="344"/>
  <c r="E7" i="344"/>
  <c r="A7" i="344"/>
  <c r="O6" i="344"/>
  <c r="N6" i="344"/>
  <c r="M6" i="344"/>
  <c r="L6" i="344"/>
  <c r="K6" i="344"/>
  <c r="J6" i="344"/>
  <c r="I6" i="344"/>
  <c r="H6" i="344"/>
  <c r="G6" i="344"/>
  <c r="F6" i="344"/>
  <c r="E6" i="344"/>
  <c r="A6" i="344"/>
  <c r="O5" i="344"/>
  <c r="N5" i="344"/>
  <c r="M5" i="344"/>
  <c r="L5" i="344"/>
  <c r="K5" i="344"/>
  <c r="J5" i="344"/>
  <c r="I5" i="344"/>
  <c r="H5" i="344"/>
  <c r="G5" i="344"/>
  <c r="F5" i="344"/>
  <c r="E5" i="344"/>
  <c r="A5" i="344"/>
  <c r="O4" i="344"/>
  <c r="N4" i="344"/>
  <c r="M4" i="344"/>
  <c r="L4" i="344"/>
  <c r="K4" i="344"/>
  <c r="J4" i="344"/>
  <c r="I4" i="344"/>
  <c r="H4" i="344"/>
  <c r="G4" i="344"/>
  <c r="F4" i="344"/>
  <c r="E4" i="344"/>
  <c r="A4" i="344"/>
  <c r="O3" i="344"/>
  <c r="N3" i="344"/>
  <c r="M3" i="344"/>
  <c r="L3" i="344"/>
  <c r="K3" i="344"/>
  <c r="J3" i="344"/>
  <c r="I3" i="344"/>
  <c r="H3" i="344"/>
  <c r="G3" i="344"/>
  <c r="F3" i="344"/>
  <c r="E3" i="344"/>
  <c r="A3" i="344"/>
  <c r="O2" i="344"/>
  <c r="N2" i="344"/>
  <c r="M2" i="344"/>
  <c r="L2" i="344"/>
  <c r="K2" i="344"/>
  <c r="J2" i="344"/>
  <c r="I2" i="344"/>
  <c r="H2" i="344"/>
  <c r="G2" i="344"/>
  <c r="F2" i="344"/>
  <c r="E2" i="344"/>
  <c r="A2" i="344"/>
  <c r="B176" i="100"/>
  <c r="B175" i="100"/>
  <c r="B174" i="100"/>
  <c r="B173" i="100"/>
  <c r="B172" i="100"/>
  <c r="B171" i="100"/>
  <c r="B170" i="100"/>
  <c r="B169" i="100"/>
  <c r="B168" i="100"/>
  <c r="B167" i="100"/>
  <c r="B166" i="100"/>
  <c r="B165" i="100"/>
  <c r="B164" i="100"/>
  <c r="B163" i="100"/>
  <c r="B162" i="100"/>
  <c r="B161" i="100"/>
  <c r="B160" i="100"/>
  <c r="B159" i="100"/>
  <c r="B158" i="100"/>
  <c r="B157" i="100"/>
  <c r="B156" i="100"/>
  <c r="B155" i="100"/>
  <c r="B154" i="100"/>
  <c r="F151" i="100"/>
  <c r="E151" i="100"/>
  <c r="F150" i="100"/>
  <c r="E150" i="100"/>
  <c r="F149" i="100"/>
  <c r="E149" i="100"/>
  <c r="F148" i="100"/>
  <c r="E148" i="100"/>
  <c r="F147" i="100"/>
  <c r="E147" i="100"/>
  <c r="F146" i="100"/>
  <c r="E146" i="100"/>
  <c r="F145" i="100"/>
  <c r="E145" i="100"/>
  <c r="B144" i="100"/>
  <c r="B143" i="100"/>
  <c r="E142" i="100"/>
  <c r="F141" i="100"/>
  <c r="E141" i="100"/>
  <c r="F140" i="100"/>
  <c r="E140" i="100"/>
  <c r="F139" i="100"/>
  <c r="E139" i="100"/>
  <c r="F138" i="100"/>
  <c r="E138" i="100"/>
  <c r="F137" i="100"/>
  <c r="E137" i="100"/>
  <c r="F136" i="100"/>
  <c r="E136" i="100"/>
  <c r="B135" i="100"/>
  <c r="B134" i="100"/>
  <c r="B133" i="100"/>
  <c r="B132" i="100"/>
  <c r="B131" i="100"/>
  <c r="B130" i="100"/>
  <c r="B129" i="100"/>
  <c r="B128" i="100"/>
  <c r="B127" i="100"/>
  <c r="B126" i="100"/>
  <c r="B125" i="100"/>
  <c r="B124" i="100"/>
  <c r="B123" i="100"/>
  <c r="B122" i="100"/>
  <c r="B121" i="100"/>
  <c r="B120" i="100"/>
  <c r="B119" i="100"/>
  <c r="B118" i="100"/>
  <c r="B117" i="100"/>
  <c r="B116" i="100"/>
  <c r="B115" i="100"/>
  <c r="B114" i="100"/>
  <c r="B113" i="100"/>
  <c r="F112" i="100"/>
  <c r="E112" i="100"/>
  <c r="B111" i="100"/>
  <c r="D110" i="100"/>
  <c r="C110" i="100"/>
  <c r="F109" i="100"/>
  <c r="E109" i="100"/>
  <c r="F108" i="100"/>
  <c r="E108" i="100"/>
  <c r="F107" i="100"/>
  <c r="E107" i="100"/>
  <c r="F106" i="100"/>
  <c r="E106" i="100"/>
  <c r="F105" i="100"/>
  <c r="E105" i="100"/>
  <c r="F104" i="100"/>
  <c r="E104" i="100"/>
  <c r="E103" i="100"/>
  <c r="F102" i="100"/>
  <c r="E102" i="100"/>
  <c r="F101" i="100"/>
  <c r="E101" i="100"/>
  <c r="F100" i="100"/>
  <c r="E100" i="100"/>
  <c r="A95" i="100"/>
  <c r="B148" i="100"/>
  <c r="B93" i="100"/>
  <c r="X34" i="354"/>
  <c r="B36" i="100"/>
  <c r="B29" i="100"/>
  <c r="B28" i="100"/>
  <c r="B27" i="100"/>
  <c r="B26" i="100"/>
  <c r="B25" i="100"/>
  <c r="B24" i="100"/>
  <c r="B23" i="100"/>
  <c r="B22" i="100"/>
  <c r="B21" i="100"/>
  <c r="B20" i="100"/>
  <c r="B19" i="100"/>
  <c r="B18" i="100"/>
  <c r="B17" i="100"/>
  <c r="B16" i="100"/>
  <c r="J3" i="86"/>
  <c r="B15" i="100"/>
  <c r="I3" i="86"/>
  <c r="B7" i="100"/>
  <c r="B6" i="100"/>
  <c r="B5" i="100"/>
  <c r="E2" i="86"/>
  <c r="B4" i="100"/>
  <c r="B2" i="86"/>
  <c r="B3" i="100"/>
  <c r="B2" i="100"/>
  <c r="X36" i="354"/>
  <c r="P6" i="298"/>
  <c r="O6" i="298"/>
  <c r="N6" i="298"/>
  <c r="K5" i="133"/>
  <c r="Q5" i="298"/>
  <c r="M94" i="123"/>
  <c r="C10" i="86"/>
  <c r="E127" i="123"/>
  <c r="G10" i="86"/>
  <c r="I127" i="123"/>
  <c r="E10" i="86"/>
  <c r="G127" i="123"/>
  <c r="I10" i="86"/>
  <c r="K127" i="123"/>
  <c r="H19" i="133"/>
  <c r="G19" i="133"/>
  <c r="J97" i="123"/>
  <c r="C58" i="133"/>
  <c r="J15" i="133"/>
  <c r="Q40" i="299"/>
  <c r="Q45" i="299"/>
  <c r="F19" i="133"/>
  <c r="O31" i="298"/>
  <c r="N31" i="298"/>
  <c r="A31" i="298"/>
  <c r="Q30" i="298"/>
  <c r="P30" i="298"/>
  <c r="I2" i="86"/>
  <c r="K94" i="123"/>
  <c r="C18" i="86"/>
  <c r="E87" i="123"/>
  <c r="H97" i="123"/>
  <c r="G100" i="123"/>
  <c r="F100" i="123"/>
  <c r="K99" i="123"/>
  <c r="K105" i="123"/>
  <c r="O42" i="298"/>
  <c r="N42" i="298"/>
  <c r="C32" i="86"/>
  <c r="E109" i="123"/>
  <c r="I28" i="133"/>
  <c r="D10" i="86"/>
  <c r="F127" i="123"/>
  <c r="J94" i="123"/>
  <c r="I94" i="123"/>
  <c r="B10" i="86"/>
  <c r="D86" i="123"/>
  <c r="F10" i="86"/>
  <c r="H127" i="123"/>
  <c r="J10" i="86"/>
  <c r="B18" i="86"/>
  <c r="C86" i="349"/>
  <c r="F18" i="86"/>
  <c r="H87" i="123"/>
  <c r="J18" i="86"/>
  <c r="J19" i="86"/>
  <c r="J32" i="86"/>
  <c r="L114" i="123"/>
  <c r="L127" i="123"/>
  <c r="L91" i="123"/>
  <c r="F3" i="338"/>
  <c r="K3" i="256"/>
  <c r="E2" i="358"/>
  <c r="D2" i="358"/>
  <c r="E2" i="349"/>
  <c r="E2" i="134"/>
  <c r="E2" i="350"/>
  <c r="E2" i="301"/>
  <c r="C2" i="148"/>
  <c r="E2" i="146"/>
  <c r="E2" i="136"/>
  <c r="E2" i="305"/>
  <c r="E2" i="316"/>
  <c r="E2" i="249"/>
  <c r="E2" i="142"/>
  <c r="E2" i="144"/>
  <c r="F2" i="361"/>
  <c r="E2" i="337"/>
  <c r="E2" i="336"/>
  <c r="G155" i="235"/>
  <c r="F2" i="123"/>
  <c r="G201" i="235"/>
  <c r="G109" i="235"/>
  <c r="G63" i="235"/>
  <c r="I2" i="235"/>
  <c r="G2" i="315"/>
  <c r="E2" i="88"/>
  <c r="E2" i="147"/>
  <c r="G2" i="314"/>
  <c r="G2" i="141"/>
  <c r="E2" i="128"/>
  <c r="E2" i="253"/>
  <c r="E2" i="255"/>
  <c r="E2" i="248"/>
  <c r="E2" i="237"/>
  <c r="E2" i="129"/>
  <c r="E2" i="131"/>
  <c r="E2" i="343"/>
  <c r="E2" i="126"/>
  <c r="E2" i="127"/>
  <c r="E2" i="342"/>
  <c r="E2" i="233"/>
  <c r="E2" i="351"/>
  <c r="M3" i="296"/>
  <c r="O3" i="256"/>
  <c r="M4" i="338"/>
  <c r="E3" i="294"/>
  <c r="K3" i="358"/>
  <c r="K3" i="349"/>
  <c r="K3" i="350"/>
  <c r="K3" i="134"/>
  <c r="K3" i="301"/>
  <c r="G3" i="139"/>
  <c r="P3" i="95"/>
  <c r="Q3" i="300"/>
  <c r="Q3" i="140"/>
  <c r="Q3" i="298"/>
  <c r="Q3" i="299"/>
  <c r="Q3" i="137"/>
  <c r="K3" i="146"/>
  <c r="L3" i="305"/>
  <c r="K3" i="136"/>
  <c r="K3" i="316"/>
  <c r="K3" i="249"/>
  <c r="K3" i="144"/>
  <c r="K3" i="142"/>
  <c r="J3" i="361"/>
  <c r="L3" i="337"/>
  <c r="K3" i="336"/>
  <c r="M202" i="235"/>
  <c r="M110" i="235"/>
  <c r="M3" i="123"/>
  <c r="M156" i="235"/>
  <c r="M64" i="235"/>
  <c r="K74" i="147"/>
  <c r="M3" i="315"/>
  <c r="K3" i="147"/>
  <c r="L3" i="88"/>
  <c r="M3" i="314"/>
  <c r="M3" i="141"/>
  <c r="L3" i="128"/>
  <c r="K3" i="253"/>
  <c r="L3" i="255"/>
  <c r="K3" i="248"/>
  <c r="L3" i="237"/>
  <c r="L3" i="129"/>
  <c r="L3" i="131"/>
  <c r="X3" i="343"/>
  <c r="L3" i="343"/>
  <c r="L3" i="126"/>
  <c r="L3" i="127"/>
  <c r="K3" i="342"/>
  <c r="K3" i="233"/>
  <c r="K3" i="351"/>
  <c r="K3" i="133"/>
  <c r="T3" i="127"/>
  <c r="S3" i="127"/>
  <c r="S3" i="342"/>
  <c r="S3" i="233"/>
  <c r="X3" i="127"/>
  <c r="W3" i="342"/>
  <c r="W3" i="233"/>
  <c r="G105" i="123"/>
  <c r="J14" i="133"/>
  <c r="J9" i="133"/>
  <c r="P9" i="298"/>
  <c r="O9" i="298"/>
  <c r="N9" i="298"/>
  <c r="Q14" i="298"/>
  <c r="C57" i="128"/>
  <c r="C58" i="127"/>
  <c r="L4" i="338"/>
  <c r="K4" i="338"/>
  <c r="L3" i="296"/>
  <c r="N3" i="256"/>
  <c r="D3" i="294"/>
  <c r="J3" i="358"/>
  <c r="J3" i="349"/>
  <c r="J3" i="134"/>
  <c r="J3" i="350"/>
  <c r="F3" i="139"/>
  <c r="J3" i="301"/>
  <c r="O3" i="95"/>
  <c r="P3" i="300"/>
  <c r="P3" i="140"/>
  <c r="P3" i="298"/>
  <c r="P3" i="299"/>
  <c r="P3" i="137"/>
  <c r="J3" i="146"/>
  <c r="K3" i="305"/>
  <c r="J3" i="316"/>
  <c r="J3" i="249"/>
  <c r="J3" i="136"/>
  <c r="J3" i="144"/>
  <c r="J3" i="142"/>
  <c r="I3" i="361"/>
  <c r="K3" i="337"/>
  <c r="J3" i="336"/>
  <c r="L3" i="123"/>
  <c r="L156" i="235"/>
  <c r="L202" i="235"/>
  <c r="L110" i="235"/>
  <c r="L64" i="235"/>
  <c r="J3" i="147"/>
  <c r="K3" i="88"/>
  <c r="L3" i="315"/>
  <c r="J74" i="147"/>
  <c r="L3" i="314"/>
  <c r="L3" i="141"/>
  <c r="K3" i="128"/>
  <c r="K3" i="255"/>
  <c r="J3" i="253"/>
  <c r="J3" i="248"/>
  <c r="K3" i="237"/>
  <c r="K3" i="131"/>
  <c r="K3" i="129"/>
  <c r="W3" i="343"/>
  <c r="K3" i="343"/>
  <c r="K3" i="126"/>
  <c r="K3" i="127"/>
  <c r="J3" i="342"/>
  <c r="J3" i="233"/>
  <c r="J3" i="351"/>
  <c r="J3" i="133"/>
  <c r="N2" i="139"/>
  <c r="M2" i="139"/>
  <c r="R3" i="342"/>
  <c r="R3" i="233"/>
  <c r="A1" i="338"/>
  <c r="A2" i="338"/>
  <c r="A1" i="358"/>
  <c r="A1" i="250"/>
  <c r="A1" i="139"/>
  <c r="A1" i="145"/>
  <c r="A1" i="148"/>
  <c r="A1" i="146"/>
  <c r="A1" i="136"/>
  <c r="A1" i="249"/>
  <c r="A1" i="305"/>
  <c r="K60" i="316"/>
  <c r="J60" i="316"/>
  <c r="I60" i="316"/>
  <c r="H60" i="316"/>
  <c r="G60" i="316"/>
  <c r="F60" i="316"/>
  <c r="A1" i="316"/>
  <c r="A1" i="144"/>
  <c r="K90" i="143"/>
  <c r="A1" i="143"/>
  <c r="K36" i="142"/>
  <c r="A1" i="142"/>
  <c r="A1" i="360"/>
  <c r="A1" i="337"/>
  <c r="A1" i="335"/>
  <c r="A1" i="361"/>
  <c r="A1" i="336"/>
  <c r="A1" i="123"/>
  <c r="A1" i="235"/>
  <c r="A1" i="315"/>
  <c r="A1" i="88"/>
  <c r="A1" i="147"/>
  <c r="A1" i="314"/>
  <c r="A72" i="147"/>
  <c r="A1" i="141"/>
  <c r="A1" i="128"/>
  <c r="A1" i="255"/>
  <c r="K95" i="253"/>
  <c r="J95" i="253"/>
  <c r="E3" i="338"/>
  <c r="D2" i="349"/>
  <c r="D2" i="350"/>
  <c r="D2" i="134"/>
  <c r="C2" i="134"/>
  <c r="D2" i="301"/>
  <c r="D2" i="146"/>
  <c r="D2" i="136"/>
  <c r="D2" i="305"/>
  <c r="D2" i="316"/>
  <c r="D2" i="249"/>
  <c r="D2" i="144"/>
  <c r="D2" i="142"/>
  <c r="E2" i="361"/>
  <c r="D2" i="337"/>
  <c r="D2" i="336"/>
  <c r="E2" i="123"/>
  <c r="F201" i="235"/>
  <c r="F109" i="235"/>
  <c r="F155" i="235"/>
  <c r="F63" i="235"/>
  <c r="H2" i="235"/>
  <c r="D73" i="147"/>
  <c r="D2" i="147"/>
  <c r="F2" i="315"/>
  <c r="D2" i="88"/>
  <c r="F2" i="314"/>
  <c r="F2" i="141"/>
  <c r="D2" i="128"/>
  <c r="D2" i="255"/>
  <c r="D2" i="253"/>
  <c r="D2" i="248"/>
  <c r="D2" i="237"/>
  <c r="D2" i="131"/>
  <c r="D2" i="129"/>
  <c r="D2" i="343"/>
  <c r="D2" i="126"/>
  <c r="D2" i="127"/>
  <c r="D2" i="342"/>
  <c r="D2" i="233"/>
  <c r="D2" i="351"/>
  <c r="D2" i="133"/>
  <c r="K2" i="296"/>
  <c r="M2" i="256"/>
  <c r="K3" i="338"/>
  <c r="C2" i="294"/>
  <c r="I2" i="358"/>
  <c r="I2" i="349"/>
  <c r="I2" i="134"/>
  <c r="I2" i="350"/>
  <c r="E2" i="139"/>
  <c r="I2" i="301"/>
  <c r="I2" i="146"/>
  <c r="J2" i="305"/>
  <c r="I2" i="316"/>
  <c r="I2" i="249"/>
  <c r="I2" i="136"/>
  <c r="I2" i="144"/>
  <c r="I2" i="142"/>
  <c r="I2" i="337"/>
  <c r="H2" i="361"/>
  <c r="I2" i="336"/>
  <c r="K155" i="235"/>
  <c r="K2" i="123"/>
  <c r="K109" i="235"/>
  <c r="K201" i="235"/>
  <c r="K2" i="235"/>
  <c r="K63" i="235"/>
  <c r="J2" i="88"/>
  <c r="I2" i="147"/>
  <c r="I73" i="147"/>
  <c r="K2" i="314"/>
  <c r="K2" i="315"/>
  <c r="K2" i="141"/>
  <c r="J2" i="128"/>
  <c r="J2" i="255"/>
  <c r="I2" i="253"/>
  <c r="I2" i="248"/>
  <c r="J2" i="237"/>
  <c r="J2" i="129"/>
  <c r="J2" i="131"/>
  <c r="J2" i="343"/>
  <c r="J2" i="126"/>
  <c r="J2" i="127"/>
  <c r="I2" i="342"/>
  <c r="F2" i="342"/>
  <c r="I2" i="233"/>
  <c r="I2" i="351"/>
  <c r="I2" i="133"/>
  <c r="F2" i="133"/>
  <c r="E2" i="133"/>
  <c r="F3" i="294"/>
  <c r="H2" i="139"/>
  <c r="M3" i="127"/>
  <c r="L3" i="233"/>
  <c r="L2" i="139"/>
  <c r="K2" i="139"/>
  <c r="Q3" i="127"/>
  <c r="P3" i="342"/>
  <c r="T3" i="342"/>
  <c r="T3" i="233"/>
  <c r="G99" i="123"/>
  <c r="G97" i="123"/>
  <c r="H105" i="123"/>
  <c r="L108" i="123"/>
  <c r="L105" i="123"/>
  <c r="I106" i="123"/>
  <c r="H106" i="123"/>
  <c r="G106" i="123"/>
  <c r="F106" i="123"/>
  <c r="E106" i="123"/>
  <c r="D106" i="123"/>
  <c r="O5" i="299"/>
  <c r="P20" i="299"/>
  <c r="P40" i="299"/>
  <c r="P45" i="299"/>
  <c r="I32" i="133"/>
  <c r="P32" i="298"/>
  <c r="H28" i="133"/>
  <c r="K42" i="127"/>
  <c r="K44" i="127"/>
  <c r="L44" i="127"/>
  <c r="L46" i="127"/>
  <c r="M8" i="123"/>
  <c r="H20" i="233"/>
  <c r="I39" i="233"/>
  <c r="B101" i="100"/>
  <c r="A1" i="351"/>
  <c r="K58" i="133"/>
  <c r="B108" i="100"/>
  <c r="A1" i="248"/>
  <c r="L67" i="237"/>
  <c r="K67" i="237"/>
  <c r="B150" i="100"/>
  <c r="A1" i="256"/>
  <c r="E60" i="294"/>
  <c r="I18" i="86"/>
  <c r="E32" i="86"/>
  <c r="G114" i="123"/>
  <c r="B105" i="100"/>
  <c r="A1" i="129"/>
  <c r="L344" i="343"/>
  <c r="K344" i="343"/>
  <c r="J344" i="343"/>
  <c r="I344" i="343"/>
  <c r="H344" i="343"/>
  <c r="G344" i="343"/>
  <c r="B109" i="100"/>
  <c r="A1" i="253"/>
  <c r="B140" i="100"/>
  <c r="A1" i="300"/>
  <c r="Q45" i="140"/>
  <c r="P45" i="140"/>
  <c r="O45" i="140"/>
  <c r="B147" i="100"/>
  <c r="A1" i="349"/>
  <c r="A1" i="355"/>
  <c r="B100" i="100"/>
  <c r="B103" i="100"/>
  <c r="A1" i="127"/>
  <c r="B107" i="100"/>
  <c r="A1" i="237"/>
  <c r="L49" i="131"/>
  <c r="K49" i="131"/>
  <c r="B112" i="100"/>
  <c r="A1" i="246"/>
  <c r="B138" i="100"/>
  <c r="A1" i="298"/>
  <c r="B142" i="100"/>
  <c r="A1" i="301"/>
  <c r="P64" i="95"/>
  <c r="O64" i="95"/>
  <c r="N64" i="95"/>
  <c r="B145" i="100"/>
  <c r="A1" i="134"/>
  <c r="B149" i="100"/>
  <c r="A1" i="294"/>
  <c r="C2" i="86"/>
  <c r="K3" i="86"/>
  <c r="K10" i="86"/>
  <c r="E18" i="86"/>
  <c r="D105" i="123"/>
  <c r="B32" i="86"/>
  <c r="D109" i="123"/>
  <c r="F32" i="86"/>
  <c r="H110" i="123"/>
  <c r="K9" i="133"/>
  <c r="Q9" i="298"/>
  <c r="P3" i="127"/>
  <c r="O3" i="342"/>
  <c r="O3" i="233"/>
  <c r="N3" i="233"/>
  <c r="F99" i="123"/>
  <c r="F97" i="123"/>
  <c r="E97" i="123"/>
  <c r="M107" i="123"/>
  <c r="L107" i="123"/>
  <c r="K44" i="86"/>
  <c r="J44" i="86"/>
  <c r="I44" i="86"/>
  <c r="A41" i="301"/>
  <c r="C5" i="133"/>
  <c r="C25" i="133"/>
  <c r="D25" i="133"/>
  <c r="K32" i="237"/>
  <c r="L14" i="237"/>
  <c r="G3" i="338"/>
  <c r="L3" i="256"/>
  <c r="I2" i="296"/>
  <c r="F2" i="358"/>
  <c r="F2" i="349"/>
  <c r="F2" i="134"/>
  <c r="F2" i="350"/>
  <c r="D2" i="139"/>
  <c r="F2" i="301"/>
  <c r="F2" i="148"/>
  <c r="F2" i="146"/>
  <c r="F2" i="305"/>
  <c r="F2" i="316"/>
  <c r="F2" i="249"/>
  <c r="F2" i="136"/>
  <c r="F2" i="142"/>
  <c r="F2" i="144"/>
  <c r="A3" i="335"/>
  <c r="F2" i="337"/>
  <c r="G2" i="361"/>
  <c r="F2" i="336"/>
  <c r="H109" i="235"/>
  <c r="G2" i="123"/>
  <c r="H201" i="235"/>
  <c r="H155" i="235"/>
  <c r="H63" i="235"/>
  <c r="J2" i="235"/>
  <c r="H2" i="314"/>
  <c r="H2" i="315"/>
  <c r="F2" i="88"/>
  <c r="F2" i="147"/>
  <c r="F73" i="147"/>
  <c r="E73" i="147"/>
  <c r="H2" i="141"/>
  <c r="F2" i="128"/>
  <c r="F2" i="255"/>
  <c r="F2" i="253"/>
  <c r="F2" i="248"/>
  <c r="F2" i="237"/>
  <c r="F2" i="129"/>
  <c r="F2" i="131"/>
  <c r="F2" i="343"/>
  <c r="F2" i="126"/>
  <c r="F2" i="127"/>
  <c r="F2" i="233"/>
  <c r="F2" i="351"/>
  <c r="H3" i="294"/>
  <c r="G3" i="294"/>
  <c r="J2" i="139"/>
  <c r="O3" i="127"/>
  <c r="N3" i="342"/>
  <c r="W3" i="127"/>
  <c r="V3" i="342"/>
  <c r="V3" i="233"/>
  <c r="U3" i="233"/>
  <c r="I27" i="86"/>
  <c r="H27" i="86"/>
  <c r="G27" i="86"/>
  <c r="F27" i="86"/>
  <c r="E27" i="86"/>
  <c r="D27" i="86"/>
  <c r="C27" i="86"/>
  <c r="B27" i="86"/>
  <c r="L112" i="123"/>
  <c r="I28" i="86"/>
  <c r="I32" i="86"/>
  <c r="K114" i="123"/>
  <c r="L110" i="123"/>
  <c r="F105" i="123"/>
  <c r="J105" i="123"/>
  <c r="I8" i="338"/>
  <c r="J31" i="338"/>
  <c r="G17" i="133"/>
  <c r="H15" i="133"/>
  <c r="D3" i="338"/>
  <c r="C2" i="358"/>
  <c r="C2" i="349"/>
  <c r="C2" i="350"/>
  <c r="C2" i="301"/>
  <c r="C2" i="146"/>
  <c r="C2" i="305"/>
  <c r="C2" i="316"/>
  <c r="C2" i="249"/>
  <c r="C2" i="136"/>
  <c r="C2" i="144"/>
  <c r="C2" i="142"/>
  <c r="C2" i="337"/>
  <c r="D2" i="361"/>
  <c r="C2" i="336"/>
  <c r="E109" i="235"/>
  <c r="E155" i="235"/>
  <c r="M153" i="235"/>
  <c r="L153" i="235"/>
  <c r="K153" i="235"/>
  <c r="D2" i="123"/>
  <c r="E201" i="235"/>
  <c r="M199" i="235"/>
  <c r="L199" i="235"/>
  <c r="E63" i="235"/>
  <c r="G2" i="235"/>
  <c r="C2" i="88"/>
  <c r="C73" i="147"/>
  <c r="C2" i="147"/>
  <c r="E2" i="314"/>
  <c r="E2" i="315"/>
  <c r="E2" i="141"/>
  <c r="C2" i="128"/>
  <c r="C2" i="255"/>
  <c r="C2" i="253"/>
  <c r="C2" i="248"/>
  <c r="C2" i="237"/>
  <c r="C2" i="129"/>
  <c r="C2" i="131"/>
  <c r="C2" i="343"/>
  <c r="C2" i="126"/>
  <c r="C2" i="127"/>
  <c r="C2" i="342"/>
  <c r="C2" i="233"/>
  <c r="C2" i="351"/>
  <c r="C2" i="133"/>
  <c r="K3" i="296"/>
  <c r="M3" i="256"/>
  <c r="C3" i="294"/>
  <c r="I3" i="358"/>
  <c r="I3" i="349"/>
  <c r="I3" i="134"/>
  <c r="I3" i="350"/>
  <c r="E3" i="139"/>
  <c r="I3" i="301"/>
  <c r="B2" i="95"/>
  <c r="C2" i="300"/>
  <c r="O3" i="300"/>
  <c r="N3" i="95"/>
  <c r="C2" i="140"/>
  <c r="O3" i="140"/>
  <c r="O3" i="298"/>
  <c r="C2" i="298"/>
  <c r="O3" i="299"/>
  <c r="C2" i="299"/>
  <c r="I2" i="148"/>
  <c r="C2" i="137"/>
  <c r="O3" i="137"/>
  <c r="I3" i="146"/>
  <c r="J3" i="305"/>
  <c r="I3" i="316"/>
  <c r="I3" i="249"/>
  <c r="I3" i="136"/>
  <c r="I3" i="142"/>
  <c r="I3" i="144"/>
  <c r="J3" i="337"/>
  <c r="I3" i="337"/>
  <c r="H3" i="361"/>
  <c r="A3" i="360"/>
  <c r="I3" i="336"/>
  <c r="K110" i="235"/>
  <c r="K202" i="235"/>
  <c r="K3" i="123"/>
  <c r="K156" i="235"/>
  <c r="K64" i="235"/>
  <c r="J3" i="88"/>
  <c r="K3" i="314"/>
  <c r="K3" i="315"/>
  <c r="I3" i="147"/>
  <c r="I74" i="147"/>
  <c r="K3" i="141"/>
  <c r="J3" i="128"/>
  <c r="J3" i="255"/>
  <c r="I3" i="253"/>
  <c r="I3" i="248"/>
  <c r="J3" i="237"/>
  <c r="J3" i="129"/>
  <c r="J3" i="131"/>
  <c r="J3" i="343"/>
  <c r="V3" i="343"/>
  <c r="J3" i="126"/>
  <c r="J3" i="127"/>
  <c r="I3" i="342"/>
  <c r="I3" i="233"/>
  <c r="I3" i="351"/>
  <c r="I3" i="133"/>
  <c r="I2" i="139"/>
  <c r="N3" i="127"/>
  <c r="M3" i="342"/>
  <c r="L3" i="342"/>
  <c r="M3" i="233"/>
  <c r="R3" i="127"/>
  <c r="Q3" i="342"/>
  <c r="Q3" i="233"/>
  <c r="P3" i="233"/>
  <c r="V3" i="127"/>
  <c r="U3" i="127"/>
  <c r="U3" i="342"/>
  <c r="F107" i="123"/>
  <c r="E107" i="123"/>
  <c r="D107" i="123"/>
  <c r="M106" i="123"/>
  <c r="L106" i="123"/>
  <c r="K106" i="123"/>
  <c r="J106" i="123"/>
  <c r="J107" i="123"/>
  <c r="I107" i="123"/>
  <c r="H107" i="123"/>
  <c r="I105" i="123"/>
  <c r="M105" i="123"/>
  <c r="K77" i="338"/>
  <c r="K59" i="338"/>
  <c r="K66" i="338"/>
  <c r="J10" i="123"/>
  <c r="K116" i="123"/>
  <c r="J36" i="237"/>
  <c r="J29" i="237"/>
  <c r="G10" i="133"/>
  <c r="H9" i="133"/>
  <c r="H37" i="133"/>
  <c r="O37" i="298"/>
  <c r="N37" i="298"/>
  <c r="A37" i="298"/>
  <c r="Q36" i="298"/>
  <c r="P36" i="298"/>
  <c r="O36" i="298"/>
  <c r="N36" i="298"/>
  <c r="A36" i="298"/>
  <c r="Q35" i="298"/>
  <c r="P35" i="298"/>
  <c r="O35" i="298"/>
  <c r="N35" i="298"/>
  <c r="A35" i="298"/>
  <c r="Q34" i="298"/>
  <c r="P34" i="298"/>
  <c r="O34" i="298"/>
  <c r="N34" i="298"/>
  <c r="A34" i="298"/>
  <c r="Q33" i="298"/>
  <c r="P33" i="298"/>
  <c r="O33" i="298"/>
  <c r="N33" i="298"/>
  <c r="A33" i="298"/>
  <c r="Q32" i="298"/>
  <c r="Q48" i="298"/>
  <c r="B104" i="100"/>
  <c r="A1" i="343"/>
  <c r="B139" i="100"/>
  <c r="A1" i="140"/>
  <c r="B146" i="100"/>
  <c r="A1" i="350"/>
  <c r="D18" i="86"/>
  <c r="H109" i="123"/>
  <c r="C48" i="127"/>
  <c r="B102" i="100"/>
  <c r="A1" i="342"/>
  <c r="K45" i="233"/>
  <c r="B136" i="100"/>
  <c r="A1" i="137"/>
  <c r="B151" i="100"/>
  <c r="A1" i="296"/>
  <c r="K1670" i="256"/>
  <c r="E94" i="123"/>
  <c r="M93" i="123"/>
  <c r="H18" i="86"/>
  <c r="K109" i="123"/>
  <c r="D32" i="86"/>
  <c r="F110" i="123"/>
  <c r="H32" i="86"/>
  <c r="J108" i="123"/>
  <c r="I25" i="133"/>
  <c r="P10" i="298"/>
  <c r="O43" i="298"/>
  <c r="N43" i="298"/>
  <c r="A43" i="298"/>
  <c r="J15" i="338"/>
  <c r="J19" i="133"/>
  <c r="P19" i="298"/>
  <c r="O19" i="298"/>
  <c r="N19" i="298"/>
  <c r="B50" i="100"/>
  <c r="B37" i="100"/>
  <c r="B106" i="100"/>
  <c r="A1" i="131"/>
  <c r="L55" i="129"/>
  <c r="K55" i="129"/>
  <c r="J55" i="129"/>
  <c r="B137" i="100"/>
  <c r="A1" i="299"/>
  <c r="B141" i="100"/>
  <c r="A1" i="95"/>
  <c r="A1" i="86"/>
  <c r="D2" i="86"/>
  <c r="H94" i="123"/>
  <c r="G94" i="123"/>
  <c r="F94" i="123"/>
  <c r="L94" i="123"/>
  <c r="H10" i="86"/>
  <c r="J86" i="123"/>
  <c r="L97" i="123"/>
  <c r="K97" i="123"/>
  <c r="G18" i="86"/>
  <c r="I87" i="123"/>
  <c r="K18" i="86"/>
  <c r="E105" i="123"/>
  <c r="F109" i="123"/>
  <c r="G32" i="86"/>
  <c r="I110" i="123"/>
  <c r="K32" i="86"/>
  <c r="M114" i="123"/>
  <c r="J48" i="133"/>
  <c r="P15" i="298"/>
  <c r="O15" i="298"/>
  <c r="N15" i="298"/>
  <c r="P20" i="298"/>
  <c r="O20" i="298"/>
  <c r="N20" i="298"/>
  <c r="P16" i="298"/>
  <c r="K86" i="123"/>
  <c r="K130" i="123"/>
  <c r="M96" i="123"/>
  <c r="G86" i="349"/>
  <c r="K107" i="123"/>
  <c r="K91" i="123"/>
  <c r="F91" i="123"/>
  <c r="G91" i="123"/>
  <c r="E110" i="123"/>
  <c r="D110" i="123"/>
  <c r="M109" i="123"/>
  <c r="L109" i="123"/>
  <c r="K110" i="123"/>
  <c r="K14" i="237"/>
  <c r="H108" i="123"/>
  <c r="A1" i="133"/>
  <c r="G86" i="123"/>
  <c r="F86" i="123"/>
  <c r="F130" i="123"/>
  <c r="C19" i="86"/>
  <c r="E19" i="86"/>
  <c r="E22" i="86"/>
  <c r="E24" i="86"/>
  <c r="A1" i="126"/>
  <c r="D127" i="123"/>
  <c r="M126" i="123"/>
  <c r="L126" i="123"/>
  <c r="K126" i="123"/>
  <c r="I126" i="123"/>
  <c r="H126" i="123"/>
  <c r="G126" i="123"/>
  <c r="F126" i="123"/>
  <c r="E126" i="123"/>
  <c r="D126" i="123"/>
  <c r="F19" i="86"/>
  <c r="I48" i="133"/>
  <c r="I49" i="133"/>
  <c r="P14" i="298"/>
  <c r="K25" i="133"/>
  <c r="K49" i="133"/>
  <c r="F86" i="349"/>
  <c r="F114" i="123"/>
  <c r="E114" i="123"/>
  <c r="D114" i="123"/>
  <c r="P48" i="298"/>
  <c r="M108" i="123"/>
  <c r="F108" i="123"/>
  <c r="E108" i="123"/>
  <c r="D108" i="123"/>
  <c r="M110" i="123"/>
  <c r="G110" i="123"/>
  <c r="H96" i="123"/>
  <c r="G96" i="123"/>
  <c r="O28" i="298"/>
  <c r="N28" i="298"/>
  <c r="J86" i="349"/>
  <c r="B19" i="86"/>
  <c r="I15" i="338"/>
  <c r="I108" i="123"/>
  <c r="E91" i="123"/>
  <c r="H25" i="133"/>
  <c r="H57" i="133"/>
  <c r="J114" i="123"/>
  <c r="I114" i="123"/>
  <c r="H114" i="123"/>
  <c r="I109" i="123"/>
  <c r="L87" i="123"/>
  <c r="L131" i="123"/>
  <c r="D87" i="123"/>
  <c r="D131" i="123"/>
  <c r="J77" i="338"/>
  <c r="J59" i="338"/>
  <c r="J66" i="338"/>
  <c r="D57" i="133"/>
  <c r="D49" i="133"/>
  <c r="I86" i="123"/>
  <c r="J130" i="123"/>
  <c r="J96" i="123"/>
  <c r="I96" i="123"/>
  <c r="J87" i="123"/>
  <c r="J88" i="123"/>
  <c r="J132" i="123"/>
  <c r="G37" i="133"/>
  <c r="H32" i="133"/>
  <c r="H48" i="133"/>
  <c r="J25" i="133"/>
  <c r="J58" i="133"/>
  <c r="J109" i="123"/>
  <c r="J110" i="123"/>
  <c r="K112" i="123"/>
  <c r="J112" i="123"/>
  <c r="I112" i="123"/>
  <c r="H112" i="123"/>
  <c r="G112" i="123"/>
  <c r="F112" i="123"/>
  <c r="E112" i="123"/>
  <c r="D112" i="123"/>
  <c r="G87" i="123"/>
  <c r="L96" i="123"/>
  <c r="L8" i="123"/>
  <c r="K8" i="123"/>
  <c r="J8" i="123"/>
  <c r="A1" i="233"/>
  <c r="G19" i="86"/>
  <c r="E86" i="349"/>
  <c r="D86" i="349"/>
  <c r="F87" i="123"/>
  <c r="F96" i="123"/>
  <c r="E96" i="123"/>
  <c r="H8" i="338"/>
  <c r="H15" i="338"/>
  <c r="I31" i="338"/>
  <c r="C49" i="133"/>
  <c r="C57" i="133"/>
  <c r="M91" i="123"/>
  <c r="M86" i="123"/>
  <c r="K19" i="86"/>
  <c r="K22" i="86"/>
  <c r="I57" i="133"/>
  <c r="I86" i="349"/>
  <c r="H86" i="349"/>
  <c r="K96" i="123"/>
  <c r="K87" i="123"/>
  <c r="H39" i="233"/>
  <c r="H45" i="233"/>
  <c r="I45" i="233"/>
  <c r="J58" i="127"/>
  <c r="K86" i="349"/>
  <c r="M87" i="123"/>
  <c r="I10" i="123"/>
  <c r="J116" i="123"/>
  <c r="I36" i="237"/>
  <c r="I29" i="237"/>
  <c r="P5" i="298"/>
  <c r="O5" i="298"/>
  <c r="Q25" i="298"/>
  <c r="F17" i="133"/>
  <c r="F15" i="133"/>
  <c r="G15" i="133"/>
  <c r="K46" i="127"/>
  <c r="L57" i="128"/>
  <c r="L48" i="127"/>
  <c r="L58" i="127"/>
  <c r="N5" i="299"/>
  <c r="O20" i="299"/>
  <c r="E86" i="123"/>
  <c r="E88" i="123"/>
  <c r="E132" i="123"/>
  <c r="G109" i="123"/>
  <c r="O32" i="298"/>
  <c r="N32" i="298"/>
  <c r="G108" i="123"/>
  <c r="J91" i="123"/>
  <c r="I91" i="123"/>
  <c r="H91" i="123"/>
  <c r="D19" i="86"/>
  <c r="D22" i="86"/>
  <c r="G9" i="133"/>
  <c r="J32" i="237"/>
  <c r="K108" i="123"/>
  <c r="I19" i="86"/>
  <c r="H19" i="86"/>
  <c r="F88" i="123"/>
  <c r="F132" i="123"/>
  <c r="K88" i="123"/>
  <c r="G88" i="123"/>
  <c r="G132" i="123"/>
  <c r="G131" i="123"/>
  <c r="C22" i="86"/>
  <c r="B22" i="86"/>
  <c r="D88" i="123"/>
  <c r="D132" i="123"/>
  <c r="I58" i="133"/>
  <c r="K57" i="133"/>
  <c r="I32" i="237"/>
  <c r="I130" i="123"/>
  <c r="K131" i="123"/>
  <c r="J131" i="123"/>
  <c r="I131" i="123"/>
  <c r="H131" i="123"/>
  <c r="F131" i="123"/>
  <c r="E131" i="123"/>
  <c r="H58" i="127"/>
  <c r="G58" i="127"/>
  <c r="H58" i="133"/>
  <c r="H49" i="133"/>
  <c r="L86" i="123"/>
  <c r="M130" i="123"/>
  <c r="M88" i="123"/>
  <c r="I77" i="338"/>
  <c r="I59" i="338"/>
  <c r="I66" i="338"/>
  <c r="F9" i="133"/>
  <c r="G25" i="133"/>
  <c r="N20" i="299"/>
  <c r="O40" i="299"/>
  <c r="P25" i="298"/>
  <c r="Q50" i="298"/>
  <c r="I116" i="123"/>
  <c r="H36" i="237"/>
  <c r="H29" i="237"/>
  <c r="H32" i="237"/>
  <c r="F37" i="133"/>
  <c r="F32" i="133"/>
  <c r="F48" i="133"/>
  <c r="E48" i="133"/>
  <c r="E58" i="133"/>
  <c r="G32" i="133"/>
  <c r="G48" i="133"/>
  <c r="J14" i="237"/>
  <c r="D24" i="86"/>
  <c r="E130" i="123"/>
  <c r="D130" i="123"/>
  <c r="M127" i="123"/>
  <c r="O48" i="298"/>
  <c r="N48" i="298"/>
  <c r="Q49" i="137"/>
  <c r="Q48" i="299"/>
  <c r="G8" i="338"/>
  <c r="H31" i="338"/>
  <c r="J57" i="133"/>
  <c r="J49" i="133"/>
  <c r="K57" i="128"/>
  <c r="K58" i="127"/>
  <c r="K48" i="127"/>
  <c r="N5" i="298"/>
  <c r="O25" i="298"/>
  <c r="J22" i="86"/>
  <c r="K24" i="86"/>
  <c r="H86" i="123"/>
  <c r="H88" i="123"/>
  <c r="I88" i="123"/>
  <c r="I132" i="123"/>
  <c r="C24" i="86"/>
  <c r="B24" i="86"/>
  <c r="I14" i="237"/>
  <c r="H77" i="338"/>
  <c r="H59" i="338"/>
  <c r="H66" i="338"/>
  <c r="N40" i="299"/>
  <c r="O45" i="299"/>
  <c r="L130" i="123"/>
  <c r="L88" i="123"/>
  <c r="P50" i="298"/>
  <c r="Q53" i="298"/>
  <c r="G49" i="133"/>
  <c r="G57" i="133"/>
  <c r="H14" i="237"/>
  <c r="G14" i="237"/>
  <c r="F14" i="237"/>
  <c r="E14" i="237"/>
  <c r="D14" i="237"/>
  <c r="C14" i="237"/>
  <c r="C18" i="237"/>
  <c r="H130" i="123"/>
  <c r="G130" i="123"/>
  <c r="G58" i="133"/>
  <c r="F58" i="133"/>
  <c r="H132" i="123"/>
  <c r="N25" i="298"/>
  <c r="O50" i="298"/>
  <c r="O53" i="298"/>
  <c r="F8" i="338"/>
  <c r="G31" i="338"/>
  <c r="G15" i="338"/>
  <c r="M131" i="123"/>
  <c r="I22" i="86"/>
  <c r="H22" i="86"/>
  <c r="G22" i="86"/>
  <c r="J24" i="86"/>
  <c r="J48" i="127"/>
  <c r="P49" i="137"/>
  <c r="P48" i="299"/>
  <c r="E9" i="133"/>
  <c r="E25" i="133"/>
  <c r="E57" i="133"/>
  <c r="F25" i="133"/>
  <c r="I24" i="86"/>
  <c r="H24" i="86"/>
  <c r="I48" i="127"/>
  <c r="O49" i="137"/>
  <c r="N50" i="298"/>
  <c r="M50" i="298"/>
  <c r="P53" i="298"/>
  <c r="P56" i="298"/>
  <c r="Q56" i="298"/>
  <c r="N45" i="299"/>
  <c r="O48" i="299"/>
  <c r="F15" i="338"/>
  <c r="E8" i="338"/>
  <c r="E15" i="338"/>
  <c r="F57" i="133"/>
  <c r="F49" i="133"/>
  <c r="E49" i="133"/>
  <c r="N53" i="298"/>
  <c r="M53" i="298"/>
  <c r="L53" i="298"/>
  <c r="K53" i="298"/>
  <c r="J53" i="298"/>
  <c r="I53" i="298"/>
  <c r="H53" i="298"/>
  <c r="G53" i="298"/>
  <c r="F53" i="298"/>
  <c r="E53" i="298"/>
  <c r="D53" i="298"/>
  <c r="C53" i="298"/>
  <c r="O56" i="298"/>
  <c r="F31" i="338"/>
  <c r="F22" i="86"/>
  <c r="F24" i="86"/>
  <c r="G24" i="86"/>
  <c r="G77" i="338"/>
  <c r="G59" i="338"/>
  <c r="G66" i="338"/>
  <c r="D6" i="123"/>
  <c r="C19" i="237"/>
  <c r="B49" i="86"/>
  <c r="L18" i="237"/>
  <c r="D133" i="123"/>
  <c r="D8" i="338"/>
  <c r="D31" i="338"/>
  <c r="E31" i="338"/>
  <c r="F77" i="338"/>
  <c r="F59" i="338"/>
  <c r="F66" i="338"/>
  <c r="D15" i="338"/>
  <c r="M14" i="338"/>
  <c r="M11" i="338"/>
  <c r="L14" i="338"/>
  <c r="K14" i="338"/>
  <c r="J14" i="338"/>
  <c r="D77" i="338"/>
  <c r="D59" i="338"/>
  <c r="E77" i="338"/>
  <c r="E59" i="338"/>
  <c r="E66" i="338"/>
  <c r="K18" i="237"/>
  <c r="M6" i="123"/>
  <c r="L19" i="237"/>
  <c r="M132" i="123"/>
  <c r="L132" i="123"/>
  <c r="D134" i="123"/>
  <c r="D66" i="338"/>
  <c r="K19" i="237"/>
  <c r="L124" i="123"/>
  <c r="M124" i="123"/>
  <c r="I14" i="338"/>
  <c r="H14" i="338"/>
  <c r="G14" i="338"/>
  <c r="F14" i="338"/>
  <c r="E14" i="338"/>
  <c r="D14" i="338"/>
  <c r="D11" i="338"/>
  <c r="J11" i="338"/>
  <c r="K132" i="123"/>
  <c r="L11" i="338"/>
  <c r="K11" i="338"/>
  <c r="M133" i="123"/>
  <c r="M134" i="123"/>
  <c r="M135" i="123"/>
  <c r="D135" i="123"/>
  <c r="J18" i="237"/>
  <c r="L6" i="123"/>
  <c r="J49" i="86"/>
  <c r="L133" i="123"/>
  <c r="L134" i="123"/>
  <c r="L135" i="123"/>
  <c r="I18" i="237"/>
  <c r="J19" i="237"/>
  <c r="K124" i="123"/>
  <c r="K6" i="123"/>
  <c r="I49" i="86"/>
  <c r="I11" i="338"/>
  <c r="H11" i="338"/>
  <c r="G11" i="338"/>
  <c r="F11" i="338"/>
  <c r="E11" i="338"/>
  <c r="H18" i="237"/>
  <c r="J6" i="123"/>
  <c r="I19" i="237"/>
  <c r="H49" i="86"/>
  <c r="K133" i="123"/>
  <c r="K134" i="123"/>
  <c r="K135" i="123"/>
  <c r="G18" i="237"/>
  <c r="I6" i="123"/>
  <c r="H19" i="237"/>
  <c r="G49" i="86"/>
  <c r="J124" i="123"/>
  <c r="J133" i="123"/>
  <c r="J134" i="123"/>
  <c r="J135" i="123"/>
  <c r="F18" i="237"/>
  <c r="H6" i="123"/>
  <c r="G19" i="237"/>
  <c r="H133" i="123"/>
  <c r="H134" i="123"/>
  <c r="F49" i="86"/>
  <c r="I124" i="123"/>
  <c r="I133" i="123"/>
  <c r="I134" i="123"/>
  <c r="I135" i="123"/>
  <c r="H135" i="123"/>
  <c r="H124" i="123"/>
  <c r="E18" i="237"/>
  <c r="F19" i="237"/>
  <c r="G6" i="123"/>
  <c r="E49" i="86"/>
  <c r="D18" i="237"/>
  <c r="E19" i="237"/>
  <c r="F6" i="123"/>
  <c r="D49" i="86"/>
  <c r="G124" i="123"/>
  <c r="G133" i="123"/>
  <c r="G134" i="123"/>
  <c r="G135" i="123"/>
  <c r="F124" i="123"/>
  <c r="F133" i="123"/>
  <c r="F134" i="123"/>
  <c r="F135" i="123"/>
  <c r="E6" i="123"/>
  <c r="D19" i="237"/>
  <c r="C49" i="86"/>
  <c r="E124" i="123"/>
  <c r="D124" i="123"/>
  <c r="M122" i="123"/>
  <c r="L122" i="123"/>
  <c r="K122" i="123"/>
  <c r="J122" i="123"/>
  <c r="I122" i="123"/>
  <c r="H122" i="123"/>
  <c r="G122" i="123"/>
  <c r="F122" i="123"/>
  <c r="E122" i="123"/>
  <c r="D122" i="123"/>
  <c r="M121" i="123"/>
  <c r="L121" i="123"/>
  <c r="K121" i="123"/>
  <c r="J121" i="123"/>
  <c r="I121" i="123"/>
  <c r="H121" i="123"/>
  <c r="E133" i="123"/>
  <c r="E134" i="123"/>
  <c r="E135" i="123"/>
  <c r="C62" i="128"/>
  <c r="D54" i="128"/>
  <c r="D56" i="128"/>
  <c r="D62" i="128"/>
  <c r="D70" i="128"/>
  <c r="D81" i="128"/>
  <c r="K49" i="86"/>
  <c r="K50" i="86"/>
  <c r="J50" i="86"/>
  <c r="I50" i="86"/>
  <c r="H50" i="86"/>
  <c r="G50" i="86"/>
  <c r="F50" i="86"/>
  <c r="E50" i="86"/>
  <c r="D50" i="86"/>
  <c r="C50" i="86"/>
  <c r="B50" i="86"/>
  <c r="A78" i="128"/>
  <c r="M67" i="338"/>
  <c r="M68" i="338"/>
  <c r="L68" i="338"/>
  <c r="K68" i="338"/>
  <c r="J68" i="338"/>
  <c r="I68" i="338"/>
  <c r="H68" i="338"/>
  <c r="G68" i="338"/>
  <c r="F68" i="338"/>
  <c r="E68" i="338"/>
  <c r="D68" i="338"/>
  <c r="G33" i="88"/>
  <c r="H33" i="88"/>
  <c r="A54" i="128"/>
  <c r="J54" i="128"/>
  <c r="J56" i="128"/>
  <c r="J62" i="128"/>
  <c r="I81" i="128"/>
  <c r="H81" i="128"/>
  <c r="G81" i="128"/>
  <c r="K54" i="128"/>
  <c r="K56" i="128"/>
  <c r="K62" i="128"/>
  <c r="J70" i="128"/>
  <c r="J81" i="128"/>
  <c r="C70" i="128"/>
  <c r="C81" i="128"/>
  <c r="K70" i="128"/>
  <c r="K81" i="128"/>
  <c r="L54" i="128"/>
  <c r="L56" i="128"/>
  <c r="L62" i="128"/>
  <c r="L70" i="128"/>
  <c r="L81" i="128"/>
</calcChain>
</file>

<file path=xl/sharedStrings.xml><?xml version="1.0" encoding="utf-8"?>
<sst xmlns="http://schemas.openxmlformats.org/spreadsheetml/2006/main" count="11471" uniqueCount="4427">
  <si>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</si>
  <si>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</si>
  <si>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</si>
  <si>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</si>
  <si>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</si>
  <si>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</si>
  <si>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</si>
  <si>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</si>
  <si>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</si>
  <si>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</si>
  <si>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</si>
  <si>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</si>
  <si>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</si>
  <si>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</si>
  <si>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</si>
  <si>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</si>
  <si>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</si>
  <si>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</si>
  <si>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</si>
  <si>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</si>
  <si>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</si>
  <si>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Infrastructure - Electricity</t>
  </si>
  <si>
    <t>Generation</t>
  </si>
  <si>
    <t>Transmission &amp; Reticulation</t>
  </si>
  <si>
    <t>Infrastructure - Water</t>
  </si>
  <si>
    <t>Dams &amp; Reservoirs</t>
  </si>
  <si>
    <t>Water purification</t>
  </si>
  <si>
    <t>Reticulation</t>
  </si>
  <si>
    <t>Infrastructure - Sanitation</t>
  </si>
  <si>
    <t>Sewerage purification</t>
  </si>
  <si>
    <t>Infrastructure - Other</t>
  </si>
  <si>
    <t>Social rental housing</t>
  </si>
  <si>
    <t>Specialised vehicles</t>
  </si>
  <si>
    <t>7. Busses used to provide a service to the community</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</si>
  <si>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</si>
  <si>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</si>
  <si>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</si>
  <si>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</si>
  <si>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</si>
  <si>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</si>
  <si>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</si>
  <si>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</si>
  <si>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</si>
  <si>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</si>
  <si>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</si>
  <si>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</si>
  <si>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</si>
  <si>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</si>
  <si>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</si>
  <si>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</si>
  <si>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</si>
  <si>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KZN274 Hlabisa</t>
  </si>
  <si>
    <t>KZN275 Mtubatuba</t>
  </si>
  <si>
    <t>KZN282 uMhlathuze</t>
  </si>
  <si>
    <t>KZN283 Ntambanana</t>
  </si>
  <si>
    <t>KZN285 Mthonjaneni</t>
  </si>
  <si>
    <t>KZN286 Nkandla</t>
  </si>
  <si>
    <t>KZN291 Mandeni</t>
  </si>
  <si>
    <t>KZN292 KwaDukuza</t>
  </si>
  <si>
    <t>KZN293 Ndwedwe</t>
  </si>
  <si>
    <t>KZN294 Maphumulo</t>
  </si>
  <si>
    <t>KZN431 Ingwe</t>
  </si>
  <si>
    <t>KZN432 Kwa Sani</t>
  </si>
  <si>
    <t>KZN433 Greater Kokstad</t>
  </si>
  <si>
    <t>KZN434 Ubuhlebezwe</t>
  </si>
  <si>
    <t>KZN435 Umzimkhulu</t>
  </si>
  <si>
    <t>LIM331 Greater Giyani</t>
  </si>
  <si>
    <t>LIM332 Greater Letaba</t>
  </si>
  <si>
    <t>LIM333 Greater Tzaneen</t>
  </si>
  <si>
    <t>LIM334 Ba-Phalaborwa</t>
  </si>
  <si>
    <t>LIM335 Maruleng</t>
  </si>
  <si>
    <t>LIM341 Musina</t>
  </si>
  <si>
    <t>LIM342 Mutale</t>
  </si>
  <si>
    <t>LIM343 Thulamela</t>
  </si>
  <si>
    <t>LIM344 Makhado</t>
  </si>
  <si>
    <t>LIM351 Blouberg</t>
  </si>
  <si>
    <t>LIM352 Aganang</t>
  </si>
  <si>
    <t>LIM353 Molemole</t>
  </si>
  <si>
    <t>LIM354 Polokwane</t>
  </si>
  <si>
    <t>LIM355 Lepelle-Nkumpi</t>
  </si>
  <si>
    <t>LIM361 Thabazimbi</t>
  </si>
  <si>
    <t>LIM362 Lephalale</t>
  </si>
  <si>
    <t>LIM364 Mookgopong</t>
  </si>
  <si>
    <t>LIM365 Modimolle</t>
  </si>
  <si>
    <t>LIM366 Bela Bela</t>
  </si>
  <si>
    <t>LIM367 Mogalakwena</t>
  </si>
  <si>
    <t>LIM472 Elias Motsoaledi</t>
  </si>
  <si>
    <t>LIM474 Fetakgomo</t>
  </si>
  <si>
    <t>LIM475 Greater Tubatse</t>
  </si>
  <si>
    <t>MP316 Dr J.S. Moroka</t>
  </si>
  <si>
    <t>NW403 City Of Matlosana</t>
  </si>
  <si>
    <t>Choose name from list</t>
  </si>
  <si>
    <t>Name of Muni</t>
  </si>
  <si>
    <t>Name link</t>
  </si>
  <si>
    <t>Electricity Generation</t>
  </si>
  <si>
    <t>Air Transport</t>
  </si>
  <si>
    <t>Forestry</t>
  </si>
  <si>
    <t>Licensing &amp; Regulation</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</si>
  <si>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</si>
  <si>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</si>
  <si>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</si>
  <si>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</si>
  <si>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</si>
  <si>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</si>
  <si>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</si>
  <si>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</si>
  <si>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</si>
  <si>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</si>
  <si>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</si>
  <si>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</si>
  <si>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</si>
  <si>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</si>
  <si>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</si>
  <si>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</si>
  <si>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</si>
  <si>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</si>
  <si>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</si>
  <si>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</si>
  <si>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</si>
  <si>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</si>
  <si>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</si>
  <si>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</si>
  <si>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</si>
  <si>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</si>
  <si>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</si>
  <si>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</si>
  <si>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</si>
  <si>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</si>
  <si>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</si>
  <si>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</si>
  <si>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</si>
  <si>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</si>
  <si>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</si>
  <si>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5. Infrastructure includes 'land and buildings required' by that infrastructure and vehicles/plant &amp; equipment used by the service generated by that infrastructure</t>
  </si>
  <si>
    <t>% increase/-decrease</t>
  </si>
  <si>
    <t>5. Net assets must balance with Total Community Wealth/Equity</t>
  </si>
  <si>
    <t>Biological assets</t>
  </si>
  <si>
    <t>Street Lighting</t>
  </si>
  <si>
    <t>Gas</t>
  </si>
  <si>
    <t>sub-total</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</si>
  <si>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</si>
  <si>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</si>
  <si>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</si>
  <si>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</si>
  <si>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</si>
  <si>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</si>
  <si>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</si>
  <si>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</si>
  <si>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</si>
  <si>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</si>
  <si>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</si>
  <si>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</si>
  <si>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</si>
  <si>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</si>
  <si>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</si>
  <si>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Minorities' interests</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</si>
  <si>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</si>
  <si>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</si>
  <si>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</si>
  <si>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</si>
  <si>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</si>
  <si>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</si>
  <si>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</si>
  <si>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</si>
  <si>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</si>
  <si>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</si>
  <si>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</si>
  <si>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</si>
  <si>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</si>
  <si>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</si>
  <si>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</si>
  <si>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</si>
  <si>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</si>
  <si>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</si>
  <si>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</si>
  <si>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</si>
  <si>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</si>
  <si>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</si>
  <si>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</si>
  <si>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</si>
  <si>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</si>
  <si>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EC134 Lukhanji</t>
  </si>
  <si>
    <t>EC135 Intsika Yethu</t>
  </si>
  <si>
    <t>EC136 Emalahleni (Ec)</t>
  </si>
  <si>
    <t>EC137 Engcobo</t>
  </si>
  <si>
    <t>EC138 Sakhisizwe</t>
  </si>
  <si>
    <t>EC141 Elundini</t>
  </si>
  <si>
    <t>EC142 Senqu</t>
  </si>
  <si>
    <t>EC143 Maletswai</t>
  </si>
  <si>
    <t>2. Must reconcile to Budgeted Financial Performance (revenue and expenditure)</t>
  </si>
  <si>
    <t>1. Insert 'Vote'; e.g. department, if different to standard classification structure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</si>
  <si>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</si>
  <si>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</si>
  <si>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</si>
  <si>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</si>
  <si>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</si>
  <si>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</si>
  <si>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</si>
  <si>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</si>
  <si>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</si>
  <si>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</si>
  <si>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</si>
  <si>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</si>
  <si>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</si>
  <si>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</si>
  <si>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</si>
  <si>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</si>
  <si>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</si>
  <si>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</si>
  <si>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</si>
  <si>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</si>
  <si>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</si>
  <si>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</si>
  <si>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</si>
  <si>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</si>
  <si>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</si>
  <si>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NW401 Ventersdorp</t>
  </si>
  <si>
    <t>NW402 Tlokwe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</si>
  <si>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</si>
  <si>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</si>
  <si>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</si>
  <si>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</si>
  <si>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</si>
  <si>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</si>
  <si>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</si>
  <si>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</si>
  <si>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</si>
  <si>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</si>
  <si>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</si>
  <si>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</si>
  <si>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</si>
  <si>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</si>
  <si>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</si>
  <si>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</si>
  <si>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</si>
  <si>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</si>
  <si>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</si>
  <si>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</si>
  <si>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</si>
  <si>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</si>
  <si>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</si>
  <si>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</si>
  <si>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</si>
  <si>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</si>
  <si>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</si>
  <si>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</si>
  <si>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</si>
  <si>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</si>
  <si>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NC081 Mier</t>
  </si>
  <si>
    <t>NC082 !Kai! Garib</t>
  </si>
  <si>
    <t>NC083 //Khara Hais</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</si>
  <si>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</si>
  <si>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</si>
  <si>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</si>
  <si>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</si>
  <si>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</si>
  <si>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</si>
  <si>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</si>
  <si>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</si>
  <si>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</si>
  <si>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</si>
  <si>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</si>
  <si>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</si>
  <si>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</si>
  <si>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</si>
  <si>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Other governmental units - capital</t>
  </si>
  <si>
    <t>Total payments</t>
  </si>
  <si>
    <t>Increase/(decrease) in tax/consumer debtors</t>
  </si>
  <si>
    <t>Increase/(decrease) in other debtors</t>
  </si>
  <si>
    <t>Salaries &amp; Wages</t>
  </si>
  <si>
    <t>Social contributions</t>
  </si>
  <si>
    <t>Unauthorised expenditure</t>
  </si>
  <si>
    <t>Municipal agencies and accounts</t>
  </si>
  <si>
    <t>Households - social benefits</t>
  </si>
  <si>
    <t>Payment for capital assets</t>
  </si>
  <si>
    <t>Machinery and equipment</t>
  </si>
  <si>
    <t>Software and other intangible assets</t>
  </si>
  <si>
    <t>Receipts less payments</t>
  </si>
  <si>
    <t>Net increase/(decrease) in cash held</t>
  </si>
  <si>
    <t>Buildings and other fixed structures</t>
  </si>
  <si>
    <t>Sales of capital assets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</si>
  <si>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</si>
  <si>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</si>
  <si>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</si>
  <si>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</si>
  <si>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</si>
  <si>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</si>
  <si>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</si>
  <si>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</si>
  <si>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</si>
  <si>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</si>
  <si>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</si>
  <si>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</si>
  <si>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</si>
  <si>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</si>
  <si>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</si>
  <si>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</si>
  <si>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</si>
  <si>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</si>
  <si>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</si>
  <si>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</si>
  <si>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</si>
  <si>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</si>
  <si>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</si>
  <si>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</si>
  <si>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</si>
  <si>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</si>
  <si>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</si>
  <si>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</si>
  <si>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</si>
  <si>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</si>
  <si>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</si>
  <si>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</si>
  <si>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</si>
  <si>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</si>
  <si>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</si>
  <si>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</si>
  <si>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</si>
  <si>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</si>
  <si>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2. Airports, Car Parks, Bus Terminals and Taxi Ranks</t>
  </si>
  <si>
    <t>Transportation</t>
  </si>
  <si>
    <t>Other Land</t>
  </si>
  <si>
    <t>Other Buildings</t>
  </si>
  <si>
    <t>4. Work-in-progress/under construction to be budgeted under the respective item</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</si>
  <si>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</si>
  <si>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</si>
  <si>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</si>
  <si>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</si>
  <si>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</si>
  <si>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</si>
  <si>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</si>
  <si>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</si>
  <si>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</si>
  <si>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</si>
  <si>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</si>
  <si>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Municipal Manager</t>
  </si>
  <si>
    <t>Human Resources</t>
  </si>
  <si>
    <t>Information Technology</t>
  </si>
  <si>
    <t>% of Creditors Paid Within Terms (within`MFMA' s 65(e))</t>
  </si>
  <si>
    <t>Libraries</t>
  </si>
  <si>
    <t>Description of financial indicator</t>
  </si>
  <si>
    <t>Electricity Distribution Losses (2)</t>
  </si>
  <si>
    <t>Investment payments</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</si>
  <si>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</si>
  <si>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</si>
  <si>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</si>
  <si>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</si>
  <si>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</si>
  <si>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</si>
  <si>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</si>
  <si>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</si>
  <si>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</si>
  <si>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</si>
  <si>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</si>
  <si>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</si>
  <si>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</si>
  <si>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</si>
  <si>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</si>
  <si>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</si>
  <si>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</si>
  <si>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</si>
  <si>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</si>
  <si>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</si>
  <si>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</si>
  <si>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</si>
  <si>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</si>
  <si>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</si>
  <si>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</si>
  <si>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</si>
  <si>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</si>
  <si>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</si>
  <si>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</si>
  <si>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</si>
  <si>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 Volume (units purchased and generated less units sold)/units purchased and generated</t>
  </si>
  <si>
    <t>% Volume (units purchased and own source less units sold)/Total units purchased and own source</t>
  </si>
  <si>
    <t>Less: Provision for debt impairment</t>
  </si>
  <si>
    <t>Other Revenue by source</t>
  </si>
  <si>
    <t>Minimum Service Level and Above sub-total</t>
  </si>
  <si>
    <t>Sanitation (free minimum level service)</t>
  </si>
  <si>
    <t>Refuse (removed at least once a week)</t>
  </si>
  <si>
    <t>Electricity (kwh per household per month)</t>
  </si>
  <si>
    <t>Revenue cost of free services provided (R'000)</t>
  </si>
  <si>
    <t>Property rates (R15 000 threshold rebate)</t>
  </si>
  <si>
    <t>Municipal Housing - rental rebates</t>
  </si>
  <si>
    <t>Housing - top structure subsidies</t>
  </si>
  <si>
    <t>Total revenue cost of free services provided (total social package)</t>
  </si>
  <si>
    <t>Increase (decrease) in consumer deposits</t>
  </si>
  <si>
    <t>Multi-year expenditure appropriation</t>
  </si>
  <si>
    <t>10. Ambulances, fire engines, refuse vehicles - but not vehicles that would normally be classified as 'Plant and equipment'</t>
  </si>
  <si>
    <t xml:space="preserve">  Infrastructure - Road transport</t>
  </si>
  <si>
    <t xml:space="preserve">  Infrastructure - Water</t>
  </si>
  <si>
    <t xml:space="preserve">  Infrastructure - Sanitation</t>
  </si>
  <si>
    <t>Repairs and Maintenance by Asset Class</t>
  </si>
  <si>
    <t>Cost of Free Basic Services provided (R'000)</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</si>
  <si>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</si>
  <si>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</si>
  <si>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</si>
  <si>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</si>
  <si>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</si>
  <si>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</si>
  <si>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</si>
  <si>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</si>
  <si>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</si>
  <si>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</si>
  <si>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Repairs and maintenance</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</si>
  <si>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</si>
  <si>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</si>
  <si>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</si>
  <si>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</si>
  <si>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</si>
  <si>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</si>
  <si>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</si>
  <si>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</si>
  <si>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</si>
  <si>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</si>
  <si>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</si>
  <si>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</si>
  <si>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</si>
  <si>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</si>
  <si>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</si>
  <si>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</si>
  <si>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</si>
  <si>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</si>
  <si>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</si>
  <si>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</si>
  <si>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</si>
  <si>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</si>
  <si>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</si>
  <si>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</si>
  <si>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</si>
  <si>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</si>
  <si>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</si>
  <si>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</si>
  <si>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</si>
  <si>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</si>
  <si>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</si>
  <si>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</si>
  <si>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</si>
  <si>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</si>
  <si>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</si>
  <si>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2. Must reconcile to Financial Performance ('Revenue and Expenditure by Standard Classification' and 'Revenue and Expenditure')</t>
  </si>
  <si>
    <t>Total Renewal of Existing Assets</t>
  </si>
  <si>
    <t>Total Property Rates</t>
  </si>
  <si>
    <t>less Revenue Foregone</t>
  </si>
  <si>
    <t>Net Property Rates</t>
  </si>
  <si>
    <t>Renewal of Existing Assets</t>
  </si>
  <si>
    <t>Repairs and Maintenance</t>
  </si>
  <si>
    <t>Positions</t>
  </si>
  <si>
    <t>Contract employees</t>
  </si>
  <si>
    <t>Municipal Council and Boards of Municipal Entities</t>
  </si>
  <si>
    <t>2. Total Revenue by standard classification must reconcile to Total Operating Revenue shown in Budgeted Financial Performance (revenue and expenditure)</t>
  </si>
  <si>
    <t>3. Total Expenditure by Standard Classification must reconcile to Total Operating Expenditure shown in Budgeted Financial Performance (revenue and expenditure)</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</si>
  <si>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</si>
  <si>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</si>
  <si>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</si>
  <si>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</si>
  <si>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</si>
  <si>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</si>
  <si>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6. Donated/contributed and assets funded by finance leases to be allocated to the respective category</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</si>
  <si>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</si>
  <si>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</si>
  <si>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</si>
  <si>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</si>
  <si>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</si>
  <si>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</si>
  <si>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</si>
  <si>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</si>
  <si>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</si>
  <si>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</si>
  <si>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</si>
  <si>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</si>
  <si>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</si>
  <si>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</si>
  <si>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</si>
  <si>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</si>
  <si>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</si>
  <si>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</si>
  <si>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</si>
  <si>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</si>
  <si>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</si>
  <si>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</si>
  <si>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</si>
  <si>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</si>
  <si>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</si>
  <si>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</si>
  <si>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</si>
  <si>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</si>
  <si>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</si>
  <si>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</si>
  <si>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</si>
  <si>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</si>
  <si>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</si>
  <si>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</si>
  <si>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</si>
  <si>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</si>
  <si>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</si>
  <si>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</si>
  <si>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</si>
  <si>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</si>
  <si>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</si>
  <si>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7. Including repairs and maintenance to agricultural, biological and intangible assets</t>
  </si>
  <si>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</si>
  <si>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</si>
  <si>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</si>
  <si>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</si>
  <si>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</si>
  <si>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</si>
  <si>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</si>
  <si>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</si>
  <si>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</si>
  <si>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</si>
  <si>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</si>
  <si>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</si>
  <si>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</si>
  <si>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</si>
  <si>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5. Must agree to total number of households in municipal area</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</si>
  <si>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</si>
  <si>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</si>
  <si>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</si>
  <si>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</si>
  <si>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</si>
  <si>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</si>
  <si>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</si>
  <si>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</si>
  <si>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</si>
  <si>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</si>
  <si>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</si>
  <si>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</si>
  <si>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</si>
  <si>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</si>
  <si>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</si>
  <si>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</si>
  <si>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</si>
  <si>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</si>
  <si>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</si>
  <si>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</si>
  <si>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Infrastructure - Road transport</t>
  </si>
  <si>
    <t>Roads, Pavements &amp; Bridges</t>
  </si>
  <si>
    <t>Storm water</t>
  </si>
  <si>
    <t>Renewal and R&amp;M as a % of PPE</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</si>
  <si>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</si>
  <si>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</si>
  <si>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</si>
  <si>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</si>
  <si>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</si>
  <si>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</si>
  <si>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</si>
  <si>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</si>
  <si>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</si>
  <si>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</si>
  <si>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</si>
  <si>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</si>
  <si>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</si>
  <si>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</si>
  <si>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</si>
  <si>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</si>
  <si>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Monetary value</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</si>
  <si>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</si>
  <si>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</si>
  <si>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</si>
  <si>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</si>
  <si>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</si>
  <si>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</si>
  <si>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</si>
  <si>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</si>
  <si>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</si>
  <si>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</si>
  <si>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</si>
  <si>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</si>
  <si>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</si>
  <si>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 xml:space="preserve">Economic Development/Planning </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</si>
  <si>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</si>
  <si>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</si>
  <si>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</si>
  <si>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</si>
  <si>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</si>
  <si>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</si>
  <si>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</si>
  <si>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</si>
  <si>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</si>
  <si>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</si>
  <si>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</si>
  <si>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</si>
  <si>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</si>
  <si>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</si>
  <si>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</si>
  <si>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</si>
  <si>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</si>
  <si>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</si>
  <si>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</si>
  <si>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</si>
  <si>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</si>
  <si>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</si>
  <si>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</si>
  <si>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</si>
  <si>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</si>
  <si>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</si>
  <si>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</si>
  <si>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</si>
  <si>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</si>
  <si>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</si>
  <si>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</si>
  <si>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</si>
  <si>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Transfers received</t>
  </si>
  <si>
    <t xml:space="preserve">Compensation of employees </t>
  </si>
  <si>
    <t xml:space="preserve">Goods and services </t>
  </si>
  <si>
    <t>Interest, dividends and rent on land</t>
  </si>
  <si>
    <t>Dividends</t>
  </si>
  <si>
    <t>Rent on land</t>
  </si>
  <si>
    <t>Transfers and subsidies</t>
  </si>
  <si>
    <t>Administrative fees</t>
  </si>
  <si>
    <t>International organisations</t>
  </si>
  <si>
    <t>Public corporations and private enterprises</t>
  </si>
  <si>
    <t>Fines, penalties and forfeits</t>
  </si>
  <si>
    <t>Land and subsoil assets</t>
  </si>
  <si>
    <t>Equity</t>
  </si>
  <si>
    <r>
      <t xml:space="preserve">Other </t>
    </r>
    <r>
      <rPr>
        <i/>
        <sz val="8"/>
        <rFont val="Arial Narrow"/>
        <family val="2"/>
      </rPr>
      <t>(list sub-class)</t>
    </r>
  </si>
  <si>
    <t>Other capital assets</t>
  </si>
  <si>
    <t>Financial transactions in assets and liabilities</t>
  </si>
  <si>
    <t>Tax receipts</t>
  </si>
  <si>
    <t>Sale of goods &amp; services (excl. capital assets)</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</si>
  <si>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</si>
  <si>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</si>
  <si>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</si>
  <si>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</si>
  <si>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</si>
  <si>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</si>
  <si>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</si>
  <si>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 xml:space="preserve">Town Planning/Building enforcement </t>
  </si>
  <si>
    <t>Tourism</t>
  </si>
  <si>
    <t>Ambulance</t>
  </si>
  <si>
    <t xml:space="preserve">Other   </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</si>
  <si>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</si>
  <si>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</si>
  <si>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</si>
  <si>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</si>
  <si>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</si>
  <si>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</si>
  <si>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</si>
  <si>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</si>
  <si>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</si>
  <si>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</si>
  <si>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</si>
  <si>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</si>
  <si>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</si>
  <si>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</si>
  <si>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</si>
  <si>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</si>
  <si>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</si>
  <si>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</si>
  <si>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1996 Census</t>
  </si>
  <si>
    <t>Demographics</t>
  </si>
  <si>
    <t>1. Insert 'Vote'; e.g. Department, if different to standard structure</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</si>
  <si>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</si>
  <si>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</si>
  <si>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</si>
  <si>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</si>
  <si>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</si>
  <si>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</si>
  <si>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</si>
  <si>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</si>
  <si>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</si>
  <si>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</si>
  <si>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</si>
  <si>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</si>
  <si>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</si>
  <si>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</si>
  <si>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</si>
  <si>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</si>
  <si>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</si>
  <si>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</si>
  <si>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</si>
  <si>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</si>
  <si>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</si>
  <si>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</si>
  <si>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</si>
  <si>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</si>
  <si>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2 = partial compliance (schedule/table presented with approximately 50% of information displayed)</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</si>
  <si>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</si>
  <si>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</si>
  <si>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</si>
  <si>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</si>
  <si>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</si>
  <si>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</si>
  <si>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</si>
  <si>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</si>
  <si>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</si>
  <si>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</si>
  <si>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</si>
  <si>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</si>
  <si>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</si>
  <si>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 xml:space="preserve">  Infrastructure - Other</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</si>
  <si>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</si>
  <si>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</si>
  <si>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</si>
  <si>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</si>
  <si>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</si>
  <si>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</si>
  <si>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</si>
  <si>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</si>
  <si>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</si>
  <si>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</si>
  <si>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</si>
  <si>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</si>
  <si>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</si>
  <si>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</si>
  <si>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</si>
  <si>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</si>
  <si>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</si>
  <si>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</si>
  <si>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</si>
  <si>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</si>
  <si>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</si>
  <si>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</si>
  <si>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</si>
  <si>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</si>
  <si>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</si>
  <si>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</si>
  <si>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</si>
  <si>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</si>
  <si>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</si>
  <si>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</si>
  <si>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</si>
  <si>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</si>
  <si>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</si>
  <si>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</si>
  <si>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</si>
  <si>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</si>
  <si>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</si>
  <si>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</si>
  <si>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</si>
  <si>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Biodiversity &amp; Landscape</t>
  </si>
  <si>
    <t>Solid Waste</t>
  </si>
  <si>
    <t>Sewerage</t>
  </si>
  <si>
    <t>Storm Water Management</t>
  </si>
  <si>
    <t>Public Toilets</t>
  </si>
  <si>
    <t>Roads</t>
  </si>
  <si>
    <t>Public Buses</t>
  </si>
  <si>
    <t>Parking Garages</t>
  </si>
  <si>
    <t>Water Distribution</t>
  </si>
  <si>
    <t>Water Storage</t>
  </si>
  <si>
    <t>Electricity Distribution</t>
  </si>
  <si>
    <t>Set name on 'Instructions' sheet</t>
  </si>
  <si>
    <t>Highest level of free service provided</t>
  </si>
  <si>
    <t>Property rates (other exemptions, reductions and rebates)</t>
  </si>
  <si>
    <t>Removed at least once a week</t>
  </si>
  <si>
    <t xml:space="preserve">Total cost of FBS provided (minimum social package) </t>
  </si>
  <si>
    <t>7. Show number of households receiving at least these levels of services completely free</t>
  </si>
  <si>
    <t>Total outstanding service debtors/annual revenue received for services</t>
  </si>
  <si>
    <t>No. of successful objections &gt; 10%</t>
  </si>
  <si>
    <t>No. of supplementary valuations</t>
  </si>
  <si>
    <t>No. of valuation roll amendments</t>
  </si>
  <si>
    <t xml:space="preserve">  Infrastructure - Electricity</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</si>
  <si>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</si>
  <si>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</si>
  <si>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</si>
  <si>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</si>
  <si>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</si>
  <si>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</si>
  <si>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</si>
  <si>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</si>
  <si>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</si>
  <si>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</si>
  <si>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</si>
  <si>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</si>
  <si>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</si>
  <si>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</si>
  <si>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</si>
  <si>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</si>
  <si>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</si>
  <si>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</si>
  <si>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</si>
  <si>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</si>
  <si>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</si>
  <si>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</si>
  <si>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</si>
  <si>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</si>
  <si>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</si>
  <si>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</si>
  <si>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</si>
  <si>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</si>
  <si>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</si>
  <si>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</si>
  <si>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</si>
  <si>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</si>
  <si>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</si>
  <si>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</si>
  <si>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</si>
  <si>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</si>
  <si>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</si>
  <si>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</si>
  <si>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</si>
  <si>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</si>
  <si>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</si>
  <si>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</si>
  <si>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</si>
  <si>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</si>
  <si>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</si>
  <si>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</si>
  <si>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</si>
  <si>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</si>
  <si>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</si>
  <si>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</si>
  <si>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</si>
  <si>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</si>
  <si>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</si>
  <si>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</si>
  <si>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</si>
  <si>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</si>
  <si>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</si>
  <si>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</si>
  <si>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</si>
  <si>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</si>
  <si>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</si>
  <si>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</si>
  <si>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Museums &amp; Art Galleries etc</t>
  </si>
  <si>
    <t>Community halls and Facilities</t>
  </si>
  <si>
    <t>Cemeteries &amp; Crematoriums</t>
  </si>
  <si>
    <t>Vehicle Licensing and Testing</t>
  </si>
  <si>
    <t>Contributions recognised - capital</t>
  </si>
  <si>
    <t>Call deposits &lt; 90 days</t>
  </si>
  <si>
    <t>Less: Accumulated depreciation</t>
  </si>
  <si>
    <t>8. Must reflect the cost to the municipality of providing the Free Basic Service</t>
  </si>
  <si>
    <t xml:space="preserve">1. Note that this section of Table SA 30 is deliberately not linked to Table A4 because timing differences between the invoicing of clients and receiving the cash means that the cashflow will differ from budgeted revenue, and similarly for budgeted expenditure. </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</si>
  <si>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</si>
  <si>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</si>
  <si>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</si>
  <si>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</si>
  <si>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</si>
  <si>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</si>
  <si>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</si>
  <si>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</si>
  <si>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</si>
  <si>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</si>
  <si>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</si>
  <si>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</si>
  <si>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GT482 Randfontein</t>
  </si>
  <si>
    <t>GT483 Westonaria</t>
  </si>
  <si>
    <t>MP301 Albert Luthuli</t>
  </si>
  <si>
    <t>MP302 Msukaligwa</t>
  </si>
  <si>
    <t>MP303 Mkhondo</t>
  </si>
  <si>
    <t>MP305 Lekwa</t>
  </si>
  <si>
    <t>MP306 Dipaleseng</t>
  </si>
  <si>
    <t>MP307 Govan Mbeki</t>
  </si>
  <si>
    <t>MP313 Steve Tshwete</t>
  </si>
  <si>
    <t>MP314 Emakhazeni</t>
  </si>
  <si>
    <t>MP321 Thaba Chweu</t>
  </si>
  <si>
    <t>MP322 Mbombela</t>
  </si>
  <si>
    <t>MP323 Umjindi</t>
  </si>
  <si>
    <t>MP324 Nkomazi</t>
  </si>
  <si>
    <t>MP325 Bushbuckridge</t>
  </si>
  <si>
    <t>NC061 Richtersveld</t>
  </si>
  <si>
    <t>NC062 Nama Khoi</t>
  </si>
  <si>
    <t>NC064 Kamiesberg</t>
  </si>
  <si>
    <t>NC065 Hantam</t>
  </si>
  <si>
    <t>NC066 Karoo Hoogland</t>
  </si>
  <si>
    <t>NC067 Khai-Ma</t>
  </si>
  <si>
    <t>EC144 Gariep</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</si>
  <si>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</si>
  <si>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</si>
  <si>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</si>
  <si>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</si>
  <si>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</si>
  <si>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</si>
  <si>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</si>
  <si>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</si>
  <si>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</si>
  <si>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</si>
  <si>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</si>
  <si>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</si>
  <si>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</si>
  <si>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</si>
  <si>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</si>
  <si>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</si>
  <si>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</si>
  <si>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</si>
  <si>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</si>
  <si>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</si>
  <si>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</si>
  <si>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</si>
  <si>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</si>
  <si>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</si>
  <si>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</si>
  <si>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Intangibles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</si>
  <si>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</si>
  <si>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</si>
  <si>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</si>
  <si>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</si>
  <si>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</si>
  <si>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</si>
  <si>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</si>
  <si>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</si>
  <si>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</si>
  <si>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</si>
  <si>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</si>
  <si>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</si>
  <si>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</si>
  <si>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</si>
  <si>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</si>
  <si>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</si>
  <si>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</si>
  <si>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</si>
  <si>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</si>
  <si>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GT000 Ekurhuleni Metro</t>
  </si>
  <si>
    <t>GT001 City Of Johannesburg</t>
  </si>
  <si>
    <t>GT002 City Of Tshwane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</si>
  <si>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</si>
  <si>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</si>
  <si>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</si>
  <si>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</si>
  <si>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</si>
  <si>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</si>
  <si>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</si>
  <si>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</si>
  <si>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</si>
  <si>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</si>
  <si>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3. For example - technology backbones (e.g. fibre optic, WIFI infrastructure) for economic development purposes</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</si>
  <si>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</si>
  <si>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</si>
  <si>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</si>
  <si>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</si>
  <si>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</si>
  <si>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</si>
  <si>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</si>
  <si>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</si>
  <si>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</si>
  <si>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</si>
  <si>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</si>
  <si>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</si>
  <si>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</si>
  <si>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</si>
  <si>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</si>
  <si>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</si>
  <si>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</si>
  <si>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</si>
  <si>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</si>
  <si>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</si>
  <si>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</si>
  <si>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</si>
  <si>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</si>
  <si>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</si>
  <si>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</si>
  <si>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</si>
  <si>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</si>
  <si>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</si>
  <si>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</si>
  <si>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</si>
  <si>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</si>
  <si>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</si>
  <si>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</si>
  <si>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</si>
  <si>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</si>
  <si>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</si>
  <si>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</si>
  <si>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</si>
  <si>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</si>
  <si>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</si>
  <si>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</si>
  <si>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</si>
  <si>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</si>
  <si>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</si>
  <si>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</si>
  <si>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</si>
  <si>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</si>
  <si>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</si>
  <si>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</si>
  <si>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</si>
  <si>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</si>
  <si>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</si>
  <si>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</si>
  <si>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</si>
  <si>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</si>
  <si>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</si>
  <si>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</si>
  <si>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</si>
  <si>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</si>
  <si>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</si>
  <si>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</si>
  <si>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</si>
  <si>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</si>
  <si>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</si>
  <si>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</si>
  <si>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</si>
  <si>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</si>
  <si>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</si>
  <si>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</si>
  <si>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</si>
  <si>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</si>
  <si>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</si>
  <si>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</si>
  <si>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</si>
  <si>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</si>
  <si>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</si>
  <si>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Investment receipts</t>
  </si>
  <si>
    <t>Supporting Table SA10</t>
  </si>
  <si>
    <t>Supporting Table SA11</t>
  </si>
  <si>
    <t>Supporting Table SA13</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</si>
  <si>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</si>
  <si>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</si>
  <si>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</si>
  <si>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</si>
  <si>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</si>
  <si>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</si>
  <si>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</si>
  <si>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</si>
  <si>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</si>
  <si>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</si>
  <si>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</si>
  <si>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</si>
  <si>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</si>
  <si>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</si>
  <si>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</si>
  <si>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</si>
  <si>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</si>
  <si>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</si>
  <si>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</si>
  <si>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</si>
  <si>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</si>
  <si>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</si>
  <si>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</si>
  <si>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</si>
  <si>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</si>
  <si>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</si>
  <si>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</si>
  <si>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</si>
  <si>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</si>
  <si>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</si>
  <si>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</si>
  <si>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</si>
  <si>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</si>
  <si>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</si>
  <si>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</si>
  <si>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</si>
  <si>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</si>
  <si>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</si>
  <si>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DC10 Cacadu</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</si>
  <si>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</si>
  <si>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</si>
  <si>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</si>
  <si>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</si>
  <si>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</si>
  <si>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</si>
  <si>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3. Capital expenditure by standard classification must reconcile to the appropriations by vote</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</si>
  <si>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</si>
  <si>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</si>
  <si>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</si>
  <si>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</si>
  <si>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</si>
  <si>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</si>
  <si>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</si>
  <si>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</si>
  <si>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</si>
  <si>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</si>
  <si>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</si>
  <si>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</si>
  <si>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</si>
  <si>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</si>
  <si>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</si>
  <si>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</si>
  <si>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</si>
  <si>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</si>
  <si>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</si>
  <si>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</si>
  <si>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</si>
  <si>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</si>
  <si>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</si>
  <si>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Other Admin</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</si>
  <si>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</si>
  <si>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</si>
  <si>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</si>
  <si>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</si>
  <si>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</si>
  <si>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</si>
  <si>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</si>
  <si>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</si>
  <si>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</si>
  <si>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</si>
  <si>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</si>
  <si>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</si>
  <si>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</si>
  <si>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</si>
  <si>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</si>
  <si>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</si>
  <si>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</si>
  <si>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</si>
  <si>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</si>
  <si>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</si>
  <si>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</si>
  <si>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</si>
  <si>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</si>
  <si>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</si>
  <si>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</si>
  <si>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</si>
  <si>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</si>
  <si>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</si>
  <si>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</si>
  <si>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</si>
  <si>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</si>
  <si>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</si>
  <si>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</si>
  <si>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</si>
  <si>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</si>
  <si>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</si>
  <si>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</si>
  <si>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</si>
  <si>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</si>
  <si>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</si>
  <si>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</si>
  <si>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</si>
  <si>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</si>
  <si>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</si>
  <si>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</si>
  <si>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</si>
  <si>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</si>
  <si>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</si>
  <si>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</si>
  <si>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</si>
  <si>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</si>
  <si>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</si>
  <si>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</si>
  <si>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</si>
  <si>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</si>
  <si>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</si>
  <si>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</si>
  <si>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</si>
  <si>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</si>
  <si>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</si>
  <si>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</si>
  <si>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</si>
  <si>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</si>
  <si>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</si>
  <si>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</si>
  <si>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</si>
  <si>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</si>
  <si>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</si>
  <si>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</si>
  <si>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</si>
  <si>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</si>
  <si>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</si>
  <si>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</si>
  <si>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</si>
  <si>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</si>
  <si>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</si>
  <si>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</si>
  <si>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</si>
  <si>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</si>
  <si>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</si>
  <si>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</si>
  <si>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DC28 uThungulu</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</si>
  <si>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</si>
  <si>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</si>
  <si>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</si>
  <si>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</si>
  <si>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</si>
  <si>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</si>
  <si>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</si>
  <si>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</si>
  <si>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</si>
  <si>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</si>
  <si>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</si>
  <si>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</si>
  <si>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</si>
  <si>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LP LIMPOPO</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</si>
  <si>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</si>
  <si>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</si>
  <si>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</si>
  <si>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</si>
  <si>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</si>
  <si>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</si>
  <si>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</si>
  <si>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</si>
  <si>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</si>
  <si>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</si>
  <si>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</si>
  <si>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</si>
  <si>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</si>
  <si>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</si>
  <si>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</si>
  <si>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</si>
  <si>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</si>
  <si>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</si>
  <si>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</si>
  <si>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DC43 Sisonke</t>
  </si>
  <si>
    <t>DC48 West Rand</t>
  </si>
  <si>
    <t>DC5 Central Karoo</t>
  </si>
  <si>
    <t>DC6 Namakwa</t>
  </si>
  <si>
    <t>NC NORTHERN CAPE</t>
  </si>
  <si>
    <t>DC8 Siyanda</t>
  </si>
  <si>
    <t>DC9 Frances Baard</t>
  </si>
  <si>
    <t>EC000 Nelson Mandela Bay</t>
  </si>
  <si>
    <t>EC101 Camdeboo</t>
  </si>
  <si>
    <t>EC102 Blue Crane Route</t>
  </si>
  <si>
    <t>EC103 Ikwezi</t>
  </si>
  <si>
    <t>EC104 Makana</t>
  </si>
  <si>
    <t>EC105 Ndlambe</t>
  </si>
  <si>
    <t>EC106 Sundays River Valley</t>
  </si>
  <si>
    <t>EC107 Baviaans</t>
  </si>
  <si>
    <t>EC108 Kouga</t>
  </si>
  <si>
    <t>EC121 Mbhashe</t>
  </si>
  <si>
    <t>EC122 Mnquma</t>
  </si>
  <si>
    <t>EC123 Great Kei</t>
  </si>
  <si>
    <t>EC124 Amahlathi</t>
  </si>
  <si>
    <t>EC126 Ngqushwa</t>
  </si>
  <si>
    <t>EC127 Nkonkobe</t>
  </si>
  <si>
    <t>EC128 Nxuba</t>
  </si>
  <si>
    <t>EC131 Inxuba Yethemba</t>
  </si>
  <si>
    <t>EC132 Tsolwana</t>
  </si>
  <si>
    <t>EC133 Inkwanca</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</si>
  <si>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</si>
  <si>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7. Equity method</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</si>
  <si>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</si>
  <si>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</si>
  <si>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</si>
  <si>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</si>
  <si>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</si>
  <si>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</si>
  <si>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</si>
  <si>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</si>
  <si>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</si>
  <si>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</si>
  <si>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</si>
  <si>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</si>
  <si>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</si>
  <si>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</si>
  <si>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</si>
  <si>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</si>
  <si>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</si>
  <si>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</si>
  <si>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</si>
  <si>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</si>
  <si>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</si>
  <si>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</si>
  <si>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</si>
  <si>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1. Total Capital Expenditure  on renewal of existing assets (SA34b) plus Total Capital Expenditure on new assets (SA34a) must reconcile to total capital expenditure in Budgeted Capital Expenditure</t>
  </si>
  <si>
    <t>Capital expenditure on new assets by Asset Class/Sub-class</t>
  </si>
  <si>
    <t>Total Capital Expenditure on new assets</t>
  </si>
  <si>
    <t>1. Total Capital Expenditure on new assets (SA34a) plus Total Capital Expenditure on renewal of existing assets (SA34b) must reconcile to total capital expenditure in Budgeted Capital Expenditure</t>
  </si>
  <si>
    <t>6, 7</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</si>
  <si>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</si>
  <si>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</si>
  <si>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</si>
  <si>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</si>
  <si>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</si>
  <si>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</si>
  <si>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</si>
  <si>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</si>
  <si>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</si>
  <si>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</si>
  <si>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</si>
  <si>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</si>
  <si>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</si>
  <si>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</si>
  <si>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</si>
  <si>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</si>
  <si>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</si>
  <si>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</si>
  <si>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</si>
  <si>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</si>
  <si>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List sub-class</t>
  </si>
  <si>
    <t>DoRA operating</t>
  </si>
  <si>
    <t>5. Repairs &amp; maintenance detailed in Table A9 and Table SA34c</t>
  </si>
  <si>
    <t>Forecast Cash Flow</t>
  </si>
  <si>
    <t>Entity 2</t>
  </si>
  <si>
    <t>Entity 3</t>
  </si>
  <si>
    <t>Ent2</t>
  </si>
  <si>
    <t>Ent3</t>
  </si>
  <si>
    <t>Top level</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</si>
  <si>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</si>
  <si>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</si>
  <si>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</si>
  <si>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</si>
  <si>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</si>
  <si>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</si>
  <si>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</si>
  <si>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</si>
  <si>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</si>
  <si>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</si>
  <si>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</si>
  <si>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</si>
  <si>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</si>
  <si>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</si>
  <si>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</si>
  <si>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</si>
  <si>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</si>
  <si>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</si>
  <si>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</si>
  <si>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</si>
  <si>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</si>
  <si>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</si>
  <si>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</si>
  <si>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</si>
  <si>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</si>
  <si>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</si>
  <si>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Rand thousand</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</si>
  <si>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</si>
  <si>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</si>
  <si>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</si>
  <si>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</si>
  <si>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</si>
  <si>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</si>
  <si>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</si>
  <si>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</si>
  <si>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</si>
  <si>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</si>
  <si>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</si>
  <si>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</si>
  <si>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</si>
  <si>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</si>
  <si>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</si>
  <si>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</si>
  <si>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</si>
  <si>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</si>
  <si>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</si>
  <si>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</si>
  <si>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</si>
  <si>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</si>
  <si>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Sanitation (free sanitation service)</t>
  </si>
  <si>
    <t>Electricity/other energy (50kwh per household per month)</t>
  </si>
  <si>
    <t>Refuse (removed once a week)</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</si>
  <si>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</si>
  <si>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</si>
  <si>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</si>
  <si>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</si>
  <si>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</si>
  <si>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</si>
  <si>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</si>
  <si>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</si>
  <si>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</si>
  <si>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</si>
  <si>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</si>
  <si>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</si>
  <si>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</si>
  <si>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</si>
  <si>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</si>
  <si>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</si>
  <si>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</si>
  <si>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8. Not municipal contributions to the 'top structure' being built using the housing subsidies</t>
  </si>
  <si>
    <t>9. Statues, art collections, medals etc.</t>
  </si>
  <si>
    <t>1. Insert description listed by municipal name and demarcation code of recipient</t>
  </si>
  <si>
    <t>Depreciation offsets</t>
  </si>
  <si>
    <t>B</t>
  </si>
  <si>
    <t>Chart 11</t>
  </si>
  <si>
    <t>Chart 12</t>
  </si>
  <si>
    <t>Chart 13</t>
  </si>
  <si>
    <t>Chart 14</t>
  </si>
  <si>
    <t>RSC levies</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</si>
  <si>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</si>
  <si>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</si>
  <si>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</si>
  <si>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</si>
  <si>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</si>
  <si>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</si>
  <si>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</si>
  <si>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</si>
  <si>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</si>
  <si>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</si>
  <si>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</si>
  <si>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</si>
  <si>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</si>
  <si>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</si>
  <si>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</si>
  <si>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</si>
  <si>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</si>
  <si>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</si>
  <si>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</si>
  <si>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</si>
  <si>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</si>
  <si>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</si>
  <si>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</si>
  <si>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</si>
  <si>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</si>
  <si>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</si>
  <si>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</si>
  <si>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</si>
  <si>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</si>
  <si>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</si>
  <si>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</si>
  <si>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</si>
  <si>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</si>
  <si>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</si>
  <si>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</si>
  <si>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</si>
  <si>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</si>
  <si>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</si>
  <si>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</si>
  <si>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</si>
  <si>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</si>
  <si>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</si>
  <si>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</si>
  <si>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</si>
  <si>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</si>
  <si>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</si>
  <si>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</si>
  <si>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</si>
  <si>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</si>
  <si>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</si>
  <si>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</si>
  <si>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</si>
  <si>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</si>
  <si>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</si>
  <si>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</si>
  <si>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</si>
  <si>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</si>
  <si>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</si>
  <si>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</si>
  <si>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</si>
  <si>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</si>
  <si>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</si>
  <si>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</si>
  <si>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</si>
  <si>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</si>
  <si>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</si>
  <si>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</si>
  <si>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</si>
  <si>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</si>
  <si>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</si>
  <si>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</si>
  <si>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</si>
  <si>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</si>
  <si>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</si>
  <si>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</si>
  <si>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</si>
  <si>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</si>
  <si>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</si>
  <si>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</si>
  <si>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</si>
  <si>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</si>
  <si>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</si>
  <si>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</si>
  <si>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</si>
  <si>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</si>
  <si>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</si>
  <si>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</si>
  <si>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</si>
  <si>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</si>
  <si>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</si>
  <si>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</si>
  <si>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</si>
  <si>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</si>
  <si>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</si>
  <si>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Financing</t>
  </si>
  <si>
    <t>Check changes in cash flow receivables apportioned</t>
  </si>
  <si>
    <t>Check total payments - Cash Flow Budget</t>
  </si>
  <si>
    <t>Check total receipts = Cash Flow Budget</t>
  </si>
  <si>
    <t>Negative income adjustment</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</si>
  <si>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</si>
  <si>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</si>
  <si>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</si>
  <si>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</si>
  <si>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</si>
  <si>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</si>
  <si>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</si>
  <si>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</si>
  <si>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</si>
  <si>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</si>
  <si>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</si>
  <si>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</si>
  <si>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</si>
  <si>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</si>
  <si>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</si>
  <si>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</si>
  <si>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</si>
  <si>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</si>
  <si>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</si>
  <si>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</si>
  <si>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Cash Flow categories &amp; sub-categories</t>
  </si>
  <si>
    <t>Asset Management</t>
  </si>
  <si>
    <t>Supporting table level</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</si>
  <si>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</si>
  <si>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</si>
  <si>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</si>
  <si>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</si>
  <si>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</si>
  <si>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</si>
  <si>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</si>
  <si>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</si>
  <si>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</si>
  <si>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</si>
  <si>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</si>
  <si>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</si>
  <si>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</si>
  <si>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</si>
  <si>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</si>
  <si>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Ratepayers and other</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</si>
  <si>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</si>
  <si>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</si>
  <si>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</si>
  <si>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</si>
  <si>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</si>
  <si>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</si>
  <si>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</si>
  <si>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</si>
  <si>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</si>
  <si>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</si>
  <si>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</si>
  <si>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</si>
  <si>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</si>
  <si>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</si>
  <si>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</si>
  <si>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</si>
  <si>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</si>
  <si>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</si>
  <si>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</si>
  <si>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</si>
  <si>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</si>
  <si>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</si>
  <si>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</si>
  <si>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</si>
  <si>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</si>
  <si>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</si>
  <si>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</si>
  <si>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</si>
  <si>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</si>
  <si>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</si>
  <si>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</si>
  <si>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</si>
  <si>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</si>
  <si>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</si>
  <si>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</si>
  <si>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</si>
  <si>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</si>
  <si>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</si>
  <si>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</si>
  <si>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</si>
  <si>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</si>
  <si>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</si>
  <si>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Fire</t>
  </si>
  <si>
    <t>Buses</t>
  </si>
  <si>
    <t>Ent1</t>
  </si>
  <si>
    <t>Other materials</t>
  </si>
  <si>
    <t>TOTAL BUDGET PHASE-IN/COMPLIANCE ASSESSMENT SCORE:</t>
  </si>
  <si>
    <t>Score *</t>
  </si>
  <si>
    <t>* scaled to score out of 100</t>
  </si>
  <si>
    <t>Total weighting and score:</t>
  </si>
  <si>
    <t>Dividends received</t>
  </si>
  <si>
    <t>Proceeds on disposal of PPE</t>
  </si>
  <si>
    <t>1, 2</t>
  </si>
  <si>
    <t>Head46</t>
  </si>
  <si>
    <t xml:space="preserve"> - Adjustments Budget - January 2007</t>
  </si>
  <si>
    <t>Other benefits and allowances</t>
  </si>
  <si>
    <t>Agricultural assets</t>
  </si>
  <si>
    <t>Agricultural Assets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</si>
  <si>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</si>
  <si>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</si>
  <si>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</si>
  <si>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</si>
  <si>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</si>
  <si>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</si>
  <si>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</si>
  <si>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</si>
  <si>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</si>
  <si>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</si>
  <si>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</si>
  <si>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</si>
  <si>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</si>
  <si>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</si>
  <si>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</si>
  <si>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</si>
  <si>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</si>
  <si>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</si>
  <si>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</si>
  <si>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</si>
  <si>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</si>
  <si>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</si>
  <si>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</si>
  <si>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</si>
  <si>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</si>
  <si>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Other current investments &gt; 90 days</t>
  </si>
  <si>
    <t>Total refuse removal revenue</t>
  </si>
  <si>
    <t>Total landfill revenue</t>
  </si>
  <si>
    <t>NET INCREASE/ (DECREASE) IN CASH HELD</t>
  </si>
  <si>
    <t>Community</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</si>
  <si>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</si>
  <si>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</si>
  <si>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</si>
  <si>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</si>
  <si>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</si>
  <si>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</si>
  <si>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</si>
  <si>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</si>
  <si>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</si>
  <si>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</si>
  <si>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</si>
  <si>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</si>
  <si>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</si>
  <si>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</si>
  <si>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</si>
  <si>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</si>
  <si>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</si>
  <si>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</si>
  <si>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</si>
  <si>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</si>
  <si>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</si>
  <si>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</si>
  <si>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</si>
  <si>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</si>
  <si>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</si>
  <si>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Other governmental units - operating</t>
  </si>
  <si>
    <t>Sale of scrap, waste &amp; other used goods (excl.cap)</t>
  </si>
  <si>
    <t>Current payments</t>
  </si>
  <si>
    <t>Increase/(decrease) attributable to rates</t>
  </si>
  <si>
    <t>Property tax revenue as % of tax + service revenue</t>
  </si>
  <si>
    <t>Increase/(decrease) attributable to service debtors</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</si>
  <si>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</si>
  <si>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</si>
  <si>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</si>
  <si>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</si>
  <si>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</si>
  <si>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</si>
  <si>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</si>
  <si>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</si>
  <si>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</si>
  <si>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</si>
  <si>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</si>
  <si>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</si>
  <si>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</si>
  <si>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</si>
  <si>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</si>
  <si>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</si>
  <si>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</si>
  <si>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</si>
  <si>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</si>
  <si>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</si>
  <si>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</si>
  <si>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</si>
  <si>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</si>
  <si>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</si>
  <si>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</si>
  <si>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</si>
  <si>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</si>
  <si>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</si>
  <si>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</si>
  <si>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</si>
  <si>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</si>
  <si>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</si>
  <si>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</si>
  <si>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</si>
  <si>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</si>
  <si>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</si>
  <si>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</si>
  <si>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</si>
  <si>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</si>
  <si>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</si>
  <si>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</si>
  <si>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</si>
  <si>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</si>
  <si>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</si>
  <si>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</si>
  <si>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</si>
  <si>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</si>
  <si>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</si>
  <si>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</si>
  <si>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</si>
  <si>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</si>
  <si>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</si>
  <si>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</si>
  <si>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Child Care</t>
  </si>
  <si>
    <t>Aged Care</t>
  </si>
  <si>
    <t>Other Community</t>
  </si>
  <si>
    <t>Other Social</t>
  </si>
  <si>
    <t>Police</t>
  </si>
  <si>
    <t>1. Include 'Loans and advances' where applicable if any reportable amounts until phased compliance with s164 of MFMA achieved</t>
  </si>
  <si>
    <t>4. B/A, C/B, D/C, E/C, F/C, G/D, H/D, I/D</t>
  </si>
  <si>
    <t>Employee costs/(Total Revenue - capital revenue)</t>
  </si>
  <si>
    <t>6. Donated/contributed &amp; leased assets to be included within the respective sub-class</t>
  </si>
  <si>
    <t>Supporting Table SA34a</t>
  </si>
  <si>
    <t>Supporting Table SA34b</t>
  </si>
  <si>
    <t>Supporting Table SA34c</t>
  </si>
  <si>
    <t>Payments in lieu of leave</t>
  </si>
  <si>
    <t>Post-retirement benefit obligations</t>
  </si>
  <si>
    <t>PPE at cost/valuation (excl. finance leases)</t>
  </si>
  <si>
    <t>Financial Position categories and sub-categories</t>
  </si>
  <si>
    <t>Entity 1</t>
  </si>
  <si>
    <t>Head56</t>
  </si>
  <si>
    <t>Total Adjusts.</t>
  </si>
  <si>
    <t>3 = full compliance (schedule/table presented with all information completed)</t>
  </si>
  <si>
    <t>Phase-in compliance assessment example</t>
  </si>
  <si>
    <t>Rating</t>
  </si>
  <si>
    <t>Description/justification for rating</t>
  </si>
  <si>
    <t>Weight</t>
  </si>
  <si>
    <t>YES</t>
  </si>
  <si>
    <t>NO</t>
  </si>
  <si>
    <t>Total score and weighting:</t>
  </si>
  <si>
    <t>MHC = mandatory year 1 for high capacity, MMC for medium &amp; MLC for low</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</si>
  <si>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</si>
  <si>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</si>
  <si>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</si>
  <si>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</si>
  <si>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</si>
  <si>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</si>
  <si>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</si>
  <si>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</si>
  <si>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</si>
  <si>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DRAFT UNDER DEVELOPMENT</t>
  </si>
  <si>
    <t>MHC YR1</t>
  </si>
  <si>
    <t>MHC YR2</t>
  </si>
  <si>
    <t>MHC YR3</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</si>
  <si>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</si>
  <si>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</si>
  <si>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</si>
  <si>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</si>
  <si>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</si>
  <si>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</si>
  <si>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</si>
  <si>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</si>
  <si>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</si>
  <si>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</si>
  <si>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</si>
  <si>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</si>
  <si>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</si>
  <si>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</si>
  <si>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</si>
  <si>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</si>
  <si>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</si>
  <si>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</si>
  <si>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</si>
  <si>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</si>
  <si>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</si>
  <si>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</si>
  <si>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Max score</t>
  </si>
  <si>
    <t>Scaling</t>
  </si>
  <si>
    <t>Surplus/(Deficit)</t>
  </si>
  <si>
    <t>Standard classifications</t>
  </si>
  <si>
    <t>Conservancy</t>
  </si>
  <si>
    <t>Ambulances</t>
  </si>
  <si>
    <t>Longstanding Debtors Recovered</t>
  </si>
  <si>
    <t>(Total Operating Revenue - Operating Grants)/Debt service payments due within financial year)</t>
  </si>
  <si>
    <t>Phase-in compliance assessment description rating</t>
  </si>
  <si>
    <t>0 = non-compliance (schedule/table etc not presented)</t>
  </si>
  <si>
    <t>1 = minimal compliance (schedule/table presented with minimal information)</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</si>
  <si>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</si>
  <si>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</si>
  <si>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</si>
  <si>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</si>
  <si>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</si>
  <si>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</si>
  <si>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</si>
  <si>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</si>
  <si>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</si>
  <si>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</si>
  <si>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</si>
  <si>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</si>
  <si>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</si>
  <si>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</si>
  <si>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</si>
  <si>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</si>
  <si>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</si>
  <si>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</si>
  <si>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</si>
  <si>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</si>
  <si>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</si>
  <si>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</si>
  <si>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</si>
  <si>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</si>
  <si>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</si>
  <si>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</si>
  <si>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</si>
  <si>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</si>
  <si>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</si>
  <si>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</si>
  <si>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</si>
  <si>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</si>
  <si>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</si>
  <si>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</si>
  <si>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</si>
  <si>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</si>
  <si>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</si>
  <si>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</si>
  <si>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</si>
  <si>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</si>
  <si>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</si>
  <si>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KZN000 eThekwini</t>
  </si>
  <si>
    <t>KZN211 Vulamehlo</t>
  </si>
  <si>
    <t>KZN212 Umdoni</t>
  </si>
  <si>
    <t>KZN213 Umzumbe</t>
  </si>
  <si>
    <t>KZN214 uMuziwabantu</t>
  </si>
  <si>
    <t>KZN216 Hibiscus Coast</t>
  </si>
  <si>
    <t>KZN221 uMshwathi</t>
  </si>
  <si>
    <t>KZN222 uMngeni</t>
  </si>
  <si>
    <t>KZN223 Mpofana</t>
  </si>
  <si>
    <t>KZN224 Impendle</t>
  </si>
  <si>
    <t>KZN225 Msunduzi</t>
  </si>
  <si>
    <t>KZN226 Mkhambathini</t>
  </si>
  <si>
    <t>KZN227 Richmond</t>
  </si>
  <si>
    <t>KZN232 Emnambithi/Ladysmith</t>
  </si>
  <si>
    <t>KZN233 Indaka</t>
  </si>
  <si>
    <t>KZN234 Umtshezi</t>
  </si>
  <si>
    <t>KZN235 Okhahlamba</t>
  </si>
  <si>
    <t>KZN236 Imbabazane</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</si>
  <si>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</si>
  <si>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</si>
  <si>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</si>
  <si>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</si>
  <si>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</si>
  <si>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</si>
  <si>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</si>
  <si>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</si>
  <si>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</si>
  <si>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</si>
  <si>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</si>
  <si>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</si>
  <si>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</si>
  <si>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</si>
  <si>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</si>
  <si>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</si>
  <si>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</si>
  <si>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</si>
  <si>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</si>
  <si>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</si>
  <si>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</si>
  <si>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</si>
  <si>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</si>
  <si>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</si>
  <si>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Sub Total - Other Municipal Staff</t>
  </si>
  <si>
    <t xml:space="preserve">R Thousand </t>
  </si>
  <si>
    <t>Sales by market establishments</t>
  </si>
  <si>
    <t>Other Sales</t>
  </si>
  <si>
    <t>Capital expenditure - Municipal Vote</t>
  </si>
  <si>
    <t xml:space="preserve">Department 14 - </t>
  </si>
  <si>
    <t>Capital payments % of capital expenditure</t>
  </si>
  <si>
    <t>2.</t>
  </si>
  <si>
    <t>Electricity/other energy</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</si>
  <si>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</si>
  <si>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</si>
  <si>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</si>
  <si>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</si>
  <si>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</si>
  <si>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</si>
  <si>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</si>
  <si>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</si>
  <si>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</si>
  <si>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</si>
  <si>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</si>
  <si>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</si>
  <si>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</si>
  <si>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</si>
  <si>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</si>
  <si>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</si>
  <si>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</si>
  <si>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NOTE: This was an early preliminary suggestion aligned to the tables - it should be deleted before publishing</t>
  </si>
  <si>
    <t>UNDER DEVELOPMENT - 2008/09 PROJECT</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</si>
  <si>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</si>
  <si>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</si>
  <si>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</si>
  <si>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</si>
  <si>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</si>
  <si>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</si>
  <si>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</si>
  <si>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</si>
  <si>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</si>
  <si>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</si>
  <si>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</si>
  <si>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</si>
  <si>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</si>
  <si>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</si>
  <si>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</si>
  <si>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</si>
  <si>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</si>
  <si>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</si>
  <si>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</si>
  <si>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</si>
  <si>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</si>
  <si>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</si>
  <si>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</si>
  <si>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</si>
  <si>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</si>
  <si>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</si>
  <si>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</si>
  <si>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</si>
  <si>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</si>
  <si>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</si>
  <si>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</si>
  <si>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</si>
  <si>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</si>
  <si>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</si>
  <si>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</si>
  <si>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</si>
  <si>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</si>
  <si>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</si>
  <si>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</si>
  <si>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</si>
  <si>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</si>
  <si>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</si>
  <si>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</si>
  <si>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</si>
  <si>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</si>
  <si>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</si>
  <si>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</si>
  <si>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</si>
  <si>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</si>
  <si>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</si>
  <si>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</si>
  <si>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</si>
  <si>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</si>
  <si>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</si>
  <si>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</si>
  <si>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</si>
  <si>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</si>
  <si>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</si>
  <si>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</si>
  <si>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</si>
  <si>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</si>
  <si>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</si>
  <si>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</si>
  <si>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</si>
  <si>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</si>
  <si>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KZN215 Ezinqoleni</t>
  </si>
  <si>
    <t>KZN273 The Big 5 False Bay</t>
  </si>
  <si>
    <t>KZN281 Mfolozi</t>
  </si>
  <si>
    <t>KZN284 uMlalazi</t>
  </si>
  <si>
    <t>LIM471 Ephraim Mogale</t>
  </si>
  <si>
    <t>LIM473 Makhuduthamaga</t>
  </si>
  <si>
    <t>MP304 Pixley Ka Seme (MP)</t>
  </si>
  <si>
    <t>MP311 Victor Khanye</t>
  </si>
  <si>
    <t>NC451 Joe Morolong</t>
  </si>
  <si>
    <t>WC000 City of Cape Town</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</si>
  <si>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</si>
  <si>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</si>
  <si>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</si>
  <si>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</si>
  <si>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</si>
  <si>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</si>
  <si>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</si>
  <si>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</si>
  <si>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</si>
  <si>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</si>
  <si>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</si>
  <si>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</si>
  <si>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</si>
  <si>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</si>
  <si>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</si>
  <si>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</si>
  <si>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</si>
  <si>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</si>
  <si>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</si>
  <si>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</si>
  <si>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</si>
  <si>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</si>
  <si>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</si>
  <si>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</si>
  <si>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</si>
  <si>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</si>
  <si>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</si>
  <si>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</si>
  <si>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</si>
  <si>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</si>
  <si>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</si>
  <si>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</si>
  <si>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</si>
  <si>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</si>
  <si>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</si>
  <si>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</si>
  <si>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</si>
  <si>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</si>
  <si>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</si>
  <si>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</si>
  <si>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</si>
  <si>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</si>
  <si>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</si>
  <si>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</si>
  <si>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</si>
  <si>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</si>
  <si>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</si>
  <si>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</si>
  <si>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</si>
  <si>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</si>
  <si>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</si>
  <si>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</si>
  <si>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</si>
  <si>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EC001 Buffalo City</t>
  </si>
  <si>
    <t>EC443 Mbizana</t>
  </si>
  <si>
    <t>EC444 Ntabankulu</t>
  </si>
  <si>
    <t>FS164 Naledi (Fs)</t>
  </si>
  <si>
    <t>FS196 Mantsopa</t>
  </si>
  <si>
    <t>MP312 Emalahleni (Mp)</t>
  </si>
  <si>
    <t>MP315 Thembisile Hani</t>
  </si>
  <si>
    <t>NW397 Molopo-Kagisano</t>
  </si>
  <si>
    <t>FS000 Mangaung</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</si>
  <si>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</si>
  <si>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</si>
  <si>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</si>
  <si>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</si>
  <si>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</si>
  <si>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</si>
  <si>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</si>
  <si>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</si>
  <si>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</si>
  <si>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</si>
  <si>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</si>
  <si>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</si>
  <si>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</si>
  <si>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</si>
  <si>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</si>
  <si>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</si>
  <si>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</si>
  <si>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</si>
  <si>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</si>
  <si>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Investment Properties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</si>
  <si>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</si>
  <si>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</si>
  <si>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</si>
  <si>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</si>
  <si>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</si>
  <si>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</si>
  <si>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</si>
  <si>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</si>
  <si>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</si>
  <si>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</si>
  <si>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</si>
  <si>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</si>
  <si>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</si>
  <si>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</si>
  <si>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</si>
  <si>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</si>
  <si>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</si>
  <si>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</si>
  <si>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</si>
  <si>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</si>
  <si>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</si>
  <si>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</si>
  <si>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</si>
  <si>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</si>
  <si>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</si>
  <si>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</si>
  <si>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</si>
  <si>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</si>
  <si>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</si>
  <si>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11]</t>
  </si>
  <si>
    <t>[NAME OF VOTE 12]</t>
  </si>
  <si>
    <t>[NAME OF VOTE 13]</t>
  </si>
  <si>
    <t>[NAME OF VOTE 14]</t>
  </si>
  <si>
    <t>[NAME OF VOTE 15]</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</si>
  <si>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</si>
  <si>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</si>
  <si>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</si>
  <si>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</si>
  <si>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</si>
  <si>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</si>
  <si>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</si>
  <si>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</si>
  <si>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</si>
  <si>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</si>
  <si>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</si>
  <si>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</si>
  <si>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</si>
  <si>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</si>
  <si>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</si>
  <si>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</si>
  <si>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</si>
  <si>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</si>
  <si>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</si>
  <si>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</si>
  <si>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</si>
  <si>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</si>
  <si>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</si>
  <si>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</si>
  <si>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</si>
  <si>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</si>
  <si>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</si>
  <si>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</si>
  <si>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</si>
  <si>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</si>
  <si>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</si>
  <si>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</si>
  <si>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</si>
  <si>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</si>
  <si>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Interest Rate 
3.</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</si>
  <si>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</si>
  <si>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</si>
  <si>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</si>
  <si>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</si>
  <si>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</si>
  <si>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</si>
  <si>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</si>
  <si>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</si>
  <si>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</si>
  <si>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</si>
  <si>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</si>
  <si>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</si>
  <si>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</si>
  <si>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</si>
  <si>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</si>
  <si>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</si>
  <si>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</si>
  <si>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</si>
  <si>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</si>
  <si>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</si>
  <si>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</si>
  <si>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</si>
  <si>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</si>
  <si>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</si>
  <si>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</si>
  <si>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</si>
  <si>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</si>
  <si>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</si>
  <si>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</si>
  <si>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</si>
  <si>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</si>
  <si>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</si>
  <si>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</si>
  <si>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</si>
  <si>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</si>
  <si>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</si>
  <si>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</si>
  <si>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</si>
  <si>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</si>
  <si>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</si>
  <si>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</si>
  <si>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</si>
  <si>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</si>
  <si>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</si>
  <si>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</si>
  <si>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</si>
  <si>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</si>
  <si>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</si>
  <si>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</si>
  <si>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</si>
  <si>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</si>
  <si>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</si>
  <si>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</si>
  <si>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</si>
  <si>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</si>
  <si>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</si>
  <si>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</si>
  <si>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</si>
  <si>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</si>
  <si>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</si>
  <si>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List other rebates or exemptions</t>
  </si>
  <si>
    <t>[insert lines if necessary]</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</si>
  <si>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</si>
  <si>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</si>
  <si>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</si>
  <si>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</si>
  <si>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</si>
  <si>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</si>
  <si>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</si>
  <si>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</si>
  <si>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Water usage - Block 2 (c/kl)</t>
  </si>
  <si>
    <t>Water usage - Block 3 (c/kl)</t>
  </si>
  <si>
    <t>Water usage - Block 4 (c/kl)</t>
  </si>
  <si>
    <t>[insert extra blocks if necessary]</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</si>
  <si>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</si>
  <si>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</si>
  <si>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</si>
  <si>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</si>
  <si>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</si>
  <si>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</si>
  <si>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</si>
  <si>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</si>
  <si>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</si>
  <si>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</si>
  <si>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(fill in thresholds)</t>
  </si>
  <si>
    <t>Waste management tariffs</t>
  </si>
  <si>
    <t>Street cleaning charge</t>
  </si>
  <si>
    <t>Basic charge/fixed fee</t>
  </si>
  <si>
    <t>80l bin - once a week</t>
  </si>
  <si>
    <t>250l bin - once a week</t>
  </si>
  <si>
    <t>1 If properties are not rated or zero rated this must be indicated as such</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</si>
  <si>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</si>
  <si>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</si>
  <si>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</si>
  <si>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</si>
  <si>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</si>
  <si>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</si>
  <si>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</si>
  <si>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</si>
  <si>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</si>
  <si>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</si>
  <si>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</si>
  <si>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</si>
  <si>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</si>
  <si>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</si>
  <si>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</si>
  <si>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</si>
  <si>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</si>
  <si>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</si>
  <si>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</si>
  <si>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</si>
  <si>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</si>
  <si>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</si>
  <si>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</si>
  <si>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</si>
  <si>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</si>
  <si>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</si>
  <si>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</si>
  <si>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</si>
  <si>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</si>
  <si>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</si>
  <si>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</si>
  <si>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</si>
  <si>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</si>
  <si>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</si>
  <si>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</si>
  <si>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</si>
  <si>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</si>
  <si>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</si>
  <si>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</si>
  <si>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</si>
  <si>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</si>
  <si>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</si>
  <si>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</si>
  <si>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</si>
  <si>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</si>
  <si>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</si>
  <si>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</si>
  <si>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</si>
  <si>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</si>
  <si>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</si>
  <si>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</si>
  <si>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</si>
  <si>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</si>
  <si>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</si>
  <si>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</si>
  <si>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</si>
  <si>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</si>
  <si>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</si>
  <si>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</si>
  <si>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</si>
  <si>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</si>
  <si>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</si>
  <si>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</si>
  <si>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</si>
  <si>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Multi-year appropriation for 2012/13 
in the 2011/12 Annual Budget</t>
  </si>
  <si>
    <t>Multi-year appropriation for 2013/14 
in the 2011/12 Annual Budget</t>
  </si>
  <si>
    <t xml:space="preserve">New multi-year appropriations 
(funds for new and existing projects) </t>
  </si>
  <si>
    <t>Appropriation for 2012/13</t>
  </si>
  <si>
    <t>Adjustments in 2011/12</t>
  </si>
  <si>
    <t>Appropriation carried forward</t>
  </si>
  <si>
    <t>Debtors collection assumptions</t>
  </si>
  <si>
    <t>1. Depreciation based on write down values. Not including Depreciation resulting from revaluation.</t>
  </si>
  <si>
    <t>`</t>
  </si>
  <si>
    <t>Downward adjustments for 2012/13</t>
  </si>
  <si>
    <t>Balance outstanding - debtors</t>
  </si>
  <si>
    <t>Estimate of debtors collection rate</t>
  </si>
  <si>
    <t>Creditors due</t>
  </si>
  <si>
    <t>Household service targets</t>
  </si>
  <si>
    <t xml:space="preserve">Water </t>
  </si>
  <si>
    <t>Energy</t>
  </si>
  <si>
    <t>Check (no. of households)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</si>
  <si>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</si>
  <si>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</si>
  <si>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</si>
  <si>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</si>
  <si>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</si>
  <si>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</si>
  <si>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</si>
  <si>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</si>
  <si>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</si>
  <si>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</si>
  <si>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</si>
  <si>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</si>
  <si>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</si>
  <si>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</si>
  <si>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</si>
  <si>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</si>
  <si>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</si>
  <si>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</si>
  <si>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</si>
  <si>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</si>
  <si>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</si>
  <si>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</si>
  <si>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</si>
  <si>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</si>
  <si>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</si>
  <si>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EXECUTIVE MAYOR</t>
  </si>
  <si>
    <t>001 - OFFICE OF THE EXECUTIVE MAYOR</t>
  </si>
  <si>
    <t>002 - OFFICE OF THE SPEAKER</t>
  </si>
  <si>
    <t>003 - MAYORAL COMMITTEE</t>
  </si>
  <si>
    <t>004 - COUNCIL GENERAL</t>
  </si>
  <si>
    <t>005 - OFFICE OF THE CHIEF WHIP</t>
  </si>
  <si>
    <t>006 - INTERGOVERNMENTAL RELATIONS</t>
  </si>
  <si>
    <t>MUNICIPAL MANAGER</t>
  </si>
  <si>
    <t>010 - OFFICE OF THE MUNICIPAL MANAGER</t>
  </si>
  <si>
    <t>011 - INTERNAL AUDITING</t>
  </si>
  <si>
    <t>012 - INTEGRATED DEVELOPMENT PLAN (IDP)</t>
  </si>
  <si>
    <t>013 - CORPORATE ADVISORY</t>
  </si>
  <si>
    <t>014 - PERFORMANCE MANAGEMENT SYSTEM</t>
  </si>
  <si>
    <t>015 - INFORMATION TECHNOLOGY</t>
  </si>
  <si>
    <t>016 - COORDINATOR 2010</t>
  </si>
  <si>
    <t>017 - REGIONAL COMMUNITY CENTRES</t>
  </si>
  <si>
    <t>018 - PROJECT MANAGEMENT UNIT</t>
  </si>
  <si>
    <t>CORPORATE SUPPORT SERVICES</t>
  </si>
  <si>
    <t>020 - OFFICE OF THE DIRECTOR CORPORATE SUPPORT SERVICES</t>
  </si>
  <si>
    <t>025 - ADMINISTRATIVE SUPPORT</t>
  </si>
  <si>
    <t>030 - HUMAN RESOURCE MANAGEMENT</t>
  </si>
  <si>
    <t>050 - LEGAL AND VALUATION SERVICES</t>
  </si>
  <si>
    <t>BUDGET AND TREASURY OFFICE</t>
  </si>
  <si>
    <t>070 - OFFICE OF THE DIRECTOR BUDGET AND TREASURY</t>
  </si>
  <si>
    <t>075 - ACCOUNTING SERVICES</t>
  </si>
  <si>
    <t>080 - FINANCIAL CONTROL</t>
  </si>
  <si>
    <t>090 - FINANCIAL MANAGEMENT SERVICES</t>
  </si>
  <si>
    <t>PUBLIC SAFETY</t>
  </si>
  <si>
    <t>100 - OFFICE OF THE DIRECTOR PUBLIC SAFETY</t>
  </si>
  <si>
    <t>105 - MUNICIPAL POLICE AND SECURITY SERVICES</t>
  </si>
  <si>
    <t>115 - EMERGENCY AND DISASTER MANAGEMENT</t>
  </si>
  <si>
    <t>130 - TRAFFIC SERVICES</t>
  </si>
  <si>
    <t>140 - TESTING AND LICENSES</t>
  </si>
  <si>
    <t>PLANNING &amp; HUMAN SETTLEMENT</t>
  </si>
  <si>
    <t>150 - OFFICE OF THE DIRECTOR PLANNING AND HUMAN SETLEMENT</t>
  </si>
  <si>
    <t>155 - DEVELOPMENT PLANNING</t>
  </si>
  <si>
    <t>156 - ESTATES</t>
  </si>
  <si>
    <t>160 - HOUSING PROVISION</t>
  </si>
  <si>
    <t>165 - BUILDING CONTROL AND REGULATIONS</t>
  </si>
  <si>
    <t>175 - INTEGRATED ENVIRONMENTAL MANAGEMENT</t>
  </si>
  <si>
    <t xml:space="preserve">LOCAL ECONOMIC DEVELOPMENT </t>
  </si>
  <si>
    <t>180 - LOCAL ECONOMIC DEVELOPMENT</t>
  </si>
  <si>
    <t>181 - BUSINESS ADVICE CENTRE</t>
  </si>
  <si>
    <t>185 - ENTERPRISE / SMME DEVELOPMENT</t>
  </si>
  <si>
    <t>190 - POLICY RESERCH AND MARKETING</t>
  </si>
  <si>
    <t>195 - INTER GOVERNMENTAL RELATIONS</t>
  </si>
  <si>
    <t>COMMUNITY DEVELOPMENT</t>
  </si>
  <si>
    <t>200 - OFFICE OF THE DIRECTOR COMMUNITY DEVELOPMENT</t>
  </si>
  <si>
    <t>205 - ENVIRONMENTAL HEALTH SERVICES</t>
  </si>
  <si>
    <t>210 - CLINIC SERVICES</t>
  </si>
  <si>
    <t>215 - LIBRARY AND INFORMATION SERVICES</t>
  </si>
  <si>
    <t>220 - CEMETERIES</t>
  </si>
  <si>
    <t>225 - COMMUNITY HALLS</t>
  </si>
  <si>
    <t>230 - KLOOF HOLIDAY RESORT</t>
  </si>
  <si>
    <t>235 - PARKS AND OPEN AREAS</t>
  </si>
  <si>
    <t>245 - SPORT FACILITIES</t>
  </si>
  <si>
    <t>250 - SWIMMING POOLS</t>
  </si>
  <si>
    <t>TECHNICAL AND INFRASTRUCTURE</t>
  </si>
  <si>
    <t>300 - OFFICE OF THE DIRECTOR TECHNICAL SERVICSE AND INFRASTRUCTURE DEVELOPMENT</t>
  </si>
  <si>
    <t>305 - CIVIL FACILITIES DEVELOPMENT AND MANAGEMENT</t>
  </si>
  <si>
    <t>310 - ELECTRICAL ENGINEERING SERVICES</t>
  </si>
  <si>
    <t>315 - STREET LIGHTING</t>
  </si>
  <si>
    <t>335 - ROADS AND STORMWATER</t>
  </si>
  <si>
    <t>325 - MECHANICAL ENGINEERING SERVICES</t>
  </si>
  <si>
    <t>340 - WATER SERVICE &amp; 341 - BOSPOORT WATERWORKS</t>
  </si>
  <si>
    <t>345 - SANITATION SERVICE</t>
  </si>
  <si>
    <t>350 - SEWERAGE PURIFICATION</t>
  </si>
  <si>
    <t>360 - WASTE MANAGEMENT</t>
  </si>
  <si>
    <t>1.1 - 001 - OFFICE OF THE EXECUTIVE MAYOR</t>
  </si>
  <si>
    <t>1.2 - 002 - OFFICE OF THE SPEAKER</t>
  </si>
  <si>
    <t>1.3 - 003 - MAYORAL COMMITTEE</t>
  </si>
  <si>
    <t>1.4 - 004 - COUNCIL GENERAL</t>
  </si>
  <si>
    <t>1.5 - 005 - OFFICE OF THE CHIEF WHIP</t>
  </si>
  <si>
    <t>1.6 - 006 - INTERGOVERNMENTAL RELATIONS</t>
  </si>
  <si>
    <t>2.1 - 010 - OFFICE OF THE MUNICIPAL MANAGER</t>
  </si>
  <si>
    <t>2.2 - 011 - INTERNAL AUDITING</t>
  </si>
  <si>
    <t>2.3 - 012 - INTEGRATED DEVELOPMENT PLAN (IDP)</t>
  </si>
  <si>
    <t>2.4 - 013 - CORPORATE ADVISORY</t>
  </si>
  <si>
    <t>2.5 - 014 - PERFORMANCE MANAGEMENT SYSTEM</t>
  </si>
  <si>
    <t>2.6 - 015 - INFORMATION TECHNOLOGY</t>
  </si>
  <si>
    <t>2.7 - 016 - COORDINATOR 2010</t>
  </si>
  <si>
    <t>2.8 - 017 - REGIONAL COMMUNITY CENTRES</t>
  </si>
  <si>
    <t>2.9 - 018 - PROJECT MANAGEMENT UNIT</t>
  </si>
  <si>
    <t>3.1 - 020 - OFFICE OF THE DIRECTOR CORPORATE SUPPORT SERVICES</t>
  </si>
  <si>
    <t>3.2 - 025 - ADMINISTRATIVE SUPPORT</t>
  </si>
  <si>
    <t>3.3 - 030 - HUMAN RESOURCE MANAGEMENT</t>
  </si>
  <si>
    <t>3.4 - 050 - LEGAL AND VALUATION SERVICES</t>
  </si>
  <si>
    <t>4.1 - 070 - OFFICE OF THE DIRECTOR BUDGET AND TREASURY</t>
  </si>
  <si>
    <t>4.2 - 075 - ACCOUNTING SERVICES</t>
  </si>
  <si>
    <t>4.3 - 080 - FINANCIAL CONTROL</t>
  </si>
  <si>
    <t>4.4 - 090 - FINANCIAL MANAGEMENT SERVICES</t>
  </si>
  <si>
    <t>5.1 - 100 - OFFICE OF THE DIRECTOR PUBLIC SAFETY</t>
  </si>
  <si>
    <t>5.2 - 105 - MUNICIPAL POLICE AND SECURITY SERVICES</t>
  </si>
  <si>
    <t>5.3 - 115 - EMERGENCY AND DISASTER MANAGEMENT</t>
  </si>
  <si>
    <t>5.4 - 130 - TRAFFIC SERVICES</t>
  </si>
  <si>
    <t>5.5 - 140 - TESTING AND LICENSES</t>
  </si>
  <si>
    <t>6.1 - 150 - OFFICE OF THE DIRECTOR PLANNING AND HUMAN SETLEMENT</t>
  </si>
  <si>
    <t>6.2 - 155 - DEVELOPMENT PLANNING</t>
  </si>
  <si>
    <t>6.3 - 156 - ESTATES</t>
  </si>
  <si>
    <t>6.4 - 160 - HOUSING PROVISION</t>
  </si>
  <si>
    <t>6.5 - 165 - BUILDING CONTROL AND REGULATIONS</t>
  </si>
  <si>
    <t>6.6 - 175 - INTEGRATED ENVIRONMENTAL MANAGEMENT</t>
  </si>
  <si>
    <t>7.1 - 180 - LOCAL ECONOMIC DEVELOPMENT</t>
  </si>
  <si>
    <t>7.2 - 181 - BUSINESS ADVICE CENTRE</t>
  </si>
  <si>
    <t>7.3 - 185 - ENTERPRISE / SMME DEVELOPMENT</t>
  </si>
  <si>
    <t>7.4 - 190 - POLICY RESERCH AND MARKETING</t>
  </si>
  <si>
    <t>7.5 - 195 - INTER GOVERNMENTAL RELATIONS</t>
  </si>
  <si>
    <t>8.1 - 200 - OFFICE OF THE DIRECTOR COMMUNITY DEVELOPMENT</t>
  </si>
  <si>
    <t>8.2 - 205 - ENVIRONMENTAL HEALTH SERVICES</t>
  </si>
  <si>
    <t>8.3 - 210 - CLINIC SERVICES</t>
  </si>
  <si>
    <t>8.4 - 215 - LIBRARY AND INFORMATION SERVICES</t>
  </si>
  <si>
    <t>8.5 - 220 - CEMETERIES</t>
  </si>
  <si>
    <t>8.6 - 225 - COMMUNITY HALLS</t>
  </si>
  <si>
    <t>8.7 - 230 - KLOOF HOLIDAY RESORT</t>
  </si>
  <si>
    <t>8.8 - 235 - PARKS AND OPEN AREAS</t>
  </si>
  <si>
    <t>8.9 - 245 - SPORT FACILITIES</t>
  </si>
  <si>
    <t>8.10 - 250 - SWIMMING POOLS</t>
  </si>
  <si>
    <t>9.1 - 300 - OFFICE OF THE DIRECTOR TECHNICAL SERVICSE AND INFRASTRUCTURE DEVELOPMENT</t>
  </si>
  <si>
    <t>9.2 - 305 - CIVIL FACILITIES DEVELOPMENT AND MANAGEMENT</t>
  </si>
  <si>
    <t>9.3 - 310 - ELECTRICAL ENGINEERING SERVICES</t>
  </si>
  <si>
    <t>9.4 - 315 - STREET LIGHTING</t>
  </si>
  <si>
    <t>9.5 - 335 - ROADS AND STORMWATER</t>
  </si>
  <si>
    <t>9.6 - 325 - MECHANICAL ENGINEERING SERVICES</t>
  </si>
  <si>
    <t>9.7 - 340 - WATER SERVICE &amp; 341 - BOSPOORT WATERWORKS</t>
  </si>
  <si>
    <t>9.8 - 345 - SANITATION SERVICE</t>
  </si>
  <si>
    <t>9.9 - 350 - SEWERAGE PURIFICATION</t>
  </si>
  <si>
    <t>9.10 - 360 - WASTE MANAGEMENT</t>
  </si>
  <si>
    <t>Fuel levy</t>
  </si>
  <si>
    <t>Cleaning services</t>
  </si>
  <si>
    <t>Cash handling</t>
  </si>
  <si>
    <t>Consultant PMU assistance</t>
  </si>
  <si>
    <t>Engineering services</t>
  </si>
  <si>
    <t>Audit</t>
  </si>
  <si>
    <t>Reading of Meters</t>
  </si>
  <si>
    <t>Waste plan implementation</t>
  </si>
  <si>
    <t>Security services</t>
  </si>
  <si>
    <t>Training</t>
  </si>
  <si>
    <t>Software</t>
  </si>
  <si>
    <t>Network</t>
  </si>
  <si>
    <t>Valuation cost</t>
  </si>
  <si>
    <t>Fleet management</t>
  </si>
  <si>
    <t>Water supply</t>
  </si>
  <si>
    <t>Township establishment</t>
  </si>
  <si>
    <t>Roads rural areas</t>
  </si>
  <si>
    <t>Landfill site: cunsultancy fees</t>
  </si>
  <si>
    <t>Revenue management</t>
  </si>
  <si>
    <t>Fines settlement</t>
  </si>
  <si>
    <t>Washing</t>
  </si>
  <si>
    <t>Youth gender aged disabled children project</t>
  </si>
  <si>
    <t>1 .Ensuring  good governance, financial viability and optimal institutional transformation and capacity building</t>
  </si>
  <si>
    <t>To practise sound and sustainable financial management by strengthening internal control measures and compliance to relevant legislation and policies</t>
  </si>
  <si>
    <t>To ensure that transformation is reflected in all levels of the municipality through managing an organisational structure supportive of the Employment Equity.</t>
  </si>
  <si>
    <t>To create an integrated information and communication technology for the municipality by establishing, implementing and monitoring a management information system</t>
  </si>
  <si>
    <t>To promote a culture of accountability, transparency and performance excellence through proper implementation of performance management system, other compliance monitoring mechanisms and by ensuring effective internal audit services</t>
  </si>
  <si>
    <t>To ensure functionality and sustainability of ward committees, Council committees and consultative forum by positively engaging on issues of common interest and oversight</t>
  </si>
  <si>
    <t>2. Provision of quality basic service, infrastructure , housing and spatial restructuring</t>
  </si>
  <si>
    <t>To facilitate an accelerated housing development and promote integrated human settlement through spatial restructuring and integrated land use management with special emphasis on curbing urban sprawl and promotion densification</t>
  </si>
  <si>
    <t>To ensure provision of quality basic services and investment of funds into infrastructure projects to benefit the community</t>
  </si>
  <si>
    <t>NW373 RUSTENBURG</t>
  </si>
  <si>
    <t>www.rustenburg.gov.za</t>
  </si>
  <si>
    <t>munman@rustenburg.gov.za</t>
  </si>
  <si>
    <t>Rustenburg</t>
  </si>
  <si>
    <t>Missionery Mpheni House</t>
  </si>
  <si>
    <t>Cnr Beyers Naude &amp; Nelson Mandela Rd</t>
  </si>
  <si>
    <t>014 590 3111</t>
  </si>
  <si>
    <t>Director Community Development</t>
  </si>
  <si>
    <t>Director Techical Services</t>
  </si>
  <si>
    <t>014 590 3415</t>
  </si>
  <si>
    <t>014 590 3454</t>
  </si>
  <si>
    <t>014 590 3015</t>
  </si>
  <si>
    <t>M Khunou</t>
  </si>
  <si>
    <t>014 590 3004</t>
  </si>
  <si>
    <t>014 590 3006</t>
  </si>
  <si>
    <t>lmekgwe@rustenburg.gov.za</t>
  </si>
  <si>
    <t>M.K. Mako</t>
  </si>
  <si>
    <t>014 590 3005</t>
  </si>
  <si>
    <t>014 590 3003</t>
  </si>
  <si>
    <t>Sthembile G. Molefe</t>
  </si>
  <si>
    <t>D Jolobe</t>
  </si>
  <si>
    <t>014-5903129</t>
  </si>
  <si>
    <t>014 590 3129</t>
  </si>
  <si>
    <t>014-5903399</t>
  </si>
  <si>
    <t>014 590 3399</t>
  </si>
  <si>
    <t>gsmolefe@rustenburg.gov.za</t>
  </si>
  <si>
    <t>djolobe@rustenburg.gov.za</t>
  </si>
  <si>
    <t>V. Mdhluli</t>
  </si>
  <si>
    <t>J Kwatlhai</t>
  </si>
  <si>
    <t>014 590 3684</t>
  </si>
  <si>
    <t>vmdhluli@rustenburg.gov.za</t>
  </si>
  <si>
    <t>jkwatlhai@rustenburg.gov.za</t>
  </si>
  <si>
    <t>M Dikoko</t>
  </si>
  <si>
    <t>014 590 3466</t>
  </si>
  <si>
    <t>mdikoko@rustenburg.gov.za</t>
  </si>
  <si>
    <t>nmodisagae@rustenburg.gov.za</t>
  </si>
  <si>
    <t>J Mofokeng</t>
  </si>
  <si>
    <t>014 590 3468</t>
  </si>
  <si>
    <t>P Malatsi</t>
  </si>
  <si>
    <t>014 590 3372</t>
  </si>
  <si>
    <t>pmalatsi@rustenburg.gov.za</t>
  </si>
  <si>
    <t>2.10- 019- CHIEF OPERATING OFFICER</t>
  </si>
  <si>
    <t>2.10- 270- OFFICE OF THE DIRECTOR-RTT</t>
  </si>
  <si>
    <t>2.11- 270- DIRECTOR: RRT</t>
  </si>
  <si>
    <t>Upgrading of Facilities</t>
  </si>
  <si>
    <t>1.7 - 007 - MUNICIPAL PUBLIC ACCOUNTS</t>
  </si>
  <si>
    <t>Bojanala District Municipality</t>
  </si>
  <si>
    <t>Standard Bank donation</t>
  </si>
  <si>
    <t xml:space="preserve">Other </t>
  </si>
  <si>
    <t xml:space="preserve">   </t>
  </si>
  <si>
    <t>2.11 - 270 - OFFICE OF THE DIRECTOR - RRT</t>
  </si>
  <si>
    <t>2.10  019 - OFFICE OF THE CHIEF OPERATING OFFICER</t>
  </si>
  <si>
    <t>To maintain and upgrade the level of existing services to meet the required standards and ensure sustainability</t>
  </si>
  <si>
    <t>Through the development of roads and public transport system, facilitate community members' accesss to VCT, treatment and care, especially in rural areas or peripheral settlements</t>
  </si>
  <si>
    <t>Implement measures to promote the safety of community members, especially women and children, using public transport and related infrastructure (eg. Bus shelters and taxi ranks)</t>
  </si>
  <si>
    <t>Review land use management by laws pertaining to informal economic uses and housing to accommodate such practises and consider adopting supportive measures to ensure such activities do not compromise enviromental health conditions</t>
  </si>
  <si>
    <t>Identify sites as reception areas for immigrants and new households in the municipal area of jurisdiction</t>
  </si>
  <si>
    <t>3. Build clean and green city, healthy and safe enviroment for all</t>
  </si>
  <si>
    <t>Ensuring sustainable enviroment management and protection</t>
  </si>
  <si>
    <t>To promote safety and security by adequately managing traffic, monitoring public transport, providing adequate disaster management and emergency services and by ensuring compliance to and enforcement of by laws</t>
  </si>
  <si>
    <t>To ensure good health of the community by providing a comprehensive Primary Health care and ensuring the impementation of HIV/AIDS programme</t>
  </si>
  <si>
    <t>Monitor and assess the demand and supply of burial sites</t>
  </si>
  <si>
    <t>Make underutilized municipal land and buildings available to community organisations providing HIV and AIDS and community development services at subsidized</t>
  </si>
  <si>
    <t>Effectively utilizing MPCC's, libraries, halls, hostels for HIV and AIDS programmes and services</t>
  </si>
  <si>
    <t>To enable all residents within the municipal area to enjoy the following: Access to safe, sufficient and affordable water, Access to safe and hygienic sanitation, Air quality that means acceptable standards, Solid Waste management</t>
  </si>
  <si>
    <t>4. Stimulate shared economic growth, job creation and social development</t>
  </si>
  <si>
    <t>To promote, attract and retain investors through maximizing private sector investment and facilitate forging of partnerships and creating conditions conducive to entrepreneurial activity and investment.</t>
  </si>
  <si>
    <t>To ensure social development of communities by providing social and recreational amenities; lobbying programmes for women, youth, children and people with disabilities</t>
  </si>
  <si>
    <t>5. Hosting of 2010 FIFA World Cup</t>
  </si>
  <si>
    <t>To ensure effective stakeholder participation and proper planning and preparations related to the soccer tournament</t>
  </si>
  <si>
    <t>Department of Energy</t>
  </si>
  <si>
    <t>Department of Arts,Sports &amp; Culture &amp; DPLG</t>
  </si>
  <si>
    <t>Natonal Lottery,Other,Public</t>
  </si>
  <si>
    <t>National Lottery,Sony</t>
  </si>
  <si>
    <t>Accelerated delivery and maintenance of quality basic and essential services to all Communities</t>
  </si>
  <si>
    <t>Improved service delivery through provision of high quality, reliable and cost effective infrastructure based on integrated spatial planning</t>
  </si>
  <si>
    <t>Develop and implement educational/awareness programmes to obtain community in and ownership in the use and protection of community and municipal facilities</t>
  </si>
  <si>
    <t>Implementation of a City Business Development (CBD) Regeneration Strategy</t>
  </si>
  <si>
    <t>Improved public transport infrastructure</t>
  </si>
  <si>
    <t>2. Drive diversified economic growth and job creation</t>
  </si>
  <si>
    <t>Consolidated Rustenburg minerals index, value- production and economic growth path quantification and impact</t>
  </si>
  <si>
    <t>Revive and expedite development of alternative high value adding economic growth sectors - agriculture, manufacturing, transportation services and products</t>
  </si>
  <si>
    <t>Build and support broad-based black economic empowerment and sustainable Small, Medium and Micro Enterprises (SMMEs) business development</t>
  </si>
  <si>
    <t>Create an enabling environment for the attraction, retention and expansion of foreign and local investments</t>
  </si>
  <si>
    <t>Stimulate and facilitate sustainable tourism development and marketing of Rustenburg City as a world-class destination</t>
  </si>
  <si>
    <t>Development of an integrated human resources that empowers communities skills development</t>
  </si>
  <si>
    <t>Development of an institutional integrated human resources capability that enhances institutional competence</t>
  </si>
  <si>
    <t>3. Ensure municpal financial viability and management</t>
  </si>
  <si>
    <t>Develop and implement integrated financial management systems to support municipal programmes and ensure internal financial sustainability</t>
  </si>
  <si>
    <t>Implement revenue management strategy to enhance municipal financial viability and sustainability</t>
  </si>
  <si>
    <t>Implement sound and sustainable financial management and compliance controls</t>
  </si>
  <si>
    <t xml:space="preserve">Develop and implement an integrated municipal core projects’ funding and acquisition model aligned with funding institutions’ terms and conditions
</t>
  </si>
  <si>
    <t>4. Maintain clean, green, safe and healthy municipal enviroment for all</t>
  </si>
  <si>
    <t>Implement quality and improved health and social services to Communities</t>
  </si>
  <si>
    <t>Explore and implement alternative eco-friendly and conservation interventions to preserve the environment</t>
  </si>
  <si>
    <t>Implement integrated community safety and security strategy and measures</t>
  </si>
  <si>
    <t>Implement an integrated by-law enforcement programme</t>
  </si>
  <si>
    <t>5. Transform and maintain a vibrant and sustainable rural development</t>
  </si>
  <si>
    <t>Drive integrated rural development planning and infrastructural development</t>
  </si>
  <si>
    <t>Provide conductive environment for rural economic development through sustainable SMME’s mentoring</t>
  </si>
  <si>
    <t>6. Uphold good governance and public participation principles</t>
  </si>
  <si>
    <t>Drive good governance and legislative compliance in all municipal processes</t>
  </si>
  <si>
    <t>Promote public participation and partnerships with stakeholders on municipal programmes</t>
  </si>
  <si>
    <t>Establish and maintain strong partnerships with local (mining) industries to oversee social responsibility programmes, job creation and local economic development</t>
  </si>
  <si>
    <t>7. Drive optimal municipal institutional development, transformation and capacity building</t>
  </si>
  <si>
    <t>Develop and implement integrated internal systems and processes</t>
  </si>
  <si>
    <t>Develop, implement and review internal policies and procedures on regular basis</t>
  </si>
  <si>
    <t>Establish and inculcate a service delivery culture</t>
  </si>
  <si>
    <t>Establish quality management processes in the delivery of all services</t>
  </si>
  <si>
    <t>Maintain a positive and vibrant image and identity of the municipality</t>
  </si>
  <si>
    <t>Provide credible leadership in driving transformation initiatives</t>
  </si>
  <si>
    <t>Develop and implement internal capability model (institutional core and critical competencies, scarce skills, maintenance skills) that enhance institutional and external stakeholders' development communities and institutional capability</t>
  </si>
  <si>
    <t>Review, realign and implement organisational structure to support the vision and objectives</t>
  </si>
  <si>
    <t>1 .Efficient provision of quality basic service sand infrastructure within a well-planned spatial structure</t>
  </si>
  <si>
    <t>007 - OFFICE OF THE MUNICIPAL PUBLIC ACCOUNTS</t>
  </si>
  <si>
    <t>1.7 - 007 - OFFICE OF THE MUNICIPAL PUBLIC ACCOUNTS</t>
  </si>
  <si>
    <t>019 - OFFICE OF THE CHIEF OPERATIONS OFFICER</t>
  </si>
  <si>
    <t>2.10 - 019 - OFFICE OF THE CHIEF OPERATIONS OFFICER</t>
  </si>
  <si>
    <t>014 590 3325</t>
  </si>
  <si>
    <t>N Modisagae</t>
  </si>
  <si>
    <t>014 590 3578</t>
  </si>
  <si>
    <t>jmofokeng@rustenburg.gov.za</t>
  </si>
  <si>
    <t>speaker@rustenburg.gov.za</t>
  </si>
  <si>
    <t>Bessie Mpelegeng Ngwana CR115/2007</t>
  </si>
  <si>
    <t>Donation SPCA</t>
  </si>
  <si>
    <t>Donation RLM Sports &amp; Recreation</t>
  </si>
  <si>
    <t xml:space="preserve">1. Efficient provision of quality of basic services and infrastructure within a well planned spatial structure </t>
  </si>
  <si>
    <t xml:space="preserve">Accelerated delivery and maintenance of quality basic and essential services to all communities </t>
  </si>
  <si>
    <t>Consolidated Rustenburg mineral index, value-production and economic growth path quantification and impact</t>
  </si>
  <si>
    <t xml:space="preserve">Revive and expedite development of alternative high value adding growth sector-agriculture,manufacturing,transportation services and products </t>
  </si>
  <si>
    <t>Build and support broad-based black economic empowerment and sustainable Small,Medium and Micro Enterprises (SMME's) business development</t>
  </si>
  <si>
    <t xml:space="preserve">Create an enabling eviroment for the attraction,retention and expansion of foreign and local investments </t>
  </si>
  <si>
    <t>3.Ensure municipal financial viability and management</t>
  </si>
  <si>
    <t>O</t>
  </si>
  <si>
    <t>Develop and implement an integrated municipal core projects' funding and acquisition model aligned with funding institutions' terms and conditions</t>
  </si>
  <si>
    <t>4. Maintain clean,green, safe and healthy municipal environment for all</t>
  </si>
  <si>
    <t>Implement quality and improved health and social services to communities</t>
  </si>
  <si>
    <t>implement an integrated by law-enforcement programme</t>
  </si>
  <si>
    <t>5. Transform and maintain vibrant and sustainable rural development</t>
  </si>
  <si>
    <t>Provide conductive environment for rural economic development through SMME's mentoring</t>
  </si>
  <si>
    <t>Estabilsh quality management processes in the delivery of all services</t>
  </si>
  <si>
    <t>COMPUTER EQUIPMENT</t>
  </si>
  <si>
    <t>OFFICE EQUIPMENT</t>
  </si>
  <si>
    <t>COMPUTER</t>
  </si>
  <si>
    <t>All</t>
  </si>
  <si>
    <t>Renewal</t>
  </si>
  <si>
    <t>OFFICE BLINDS &amp; CARPET - STRATEGIC MAN &amp; SEC</t>
  </si>
  <si>
    <t>OTHER LAND &amp; BUILDING</t>
  </si>
  <si>
    <t>BLINDS &amp; CARPET</t>
  </si>
  <si>
    <t>New</t>
  </si>
  <si>
    <t>COMPUTER EQUIPMENT AS NEEDED BY DEPARTMENTS</t>
  </si>
  <si>
    <t>OTHER ASSETS</t>
  </si>
  <si>
    <t>COMPUTER HARDWARE</t>
  </si>
  <si>
    <t>SHREDDER MACHINE</t>
  </si>
  <si>
    <t>OFFICE MACHINES</t>
  </si>
  <si>
    <t>PURCHASE OF ACCESS CONTROL EQUIPMENTS</t>
  </si>
  <si>
    <t>INFRASTRUCTURE ASSETS</t>
  </si>
  <si>
    <t>ACCESS CONTROL EQUIPMENT</t>
  </si>
  <si>
    <t>ALL AREAS - TOWNSHIP DEVELOPMENT</t>
  </si>
  <si>
    <t>COMMUNITY ASSETS</t>
  </si>
  <si>
    <t>TOWNSHIP DEVELOPMENTS</t>
  </si>
  <si>
    <t>MONNAKATO - SEWER OUTFALL</t>
  </si>
  <si>
    <t>OUTFALL SEWERS</t>
  </si>
  <si>
    <t>3 X COMPACTOR VEHICLES - CHASY, CAB AND COMPACTOR</t>
  </si>
  <si>
    <t>TRUCKS</t>
  </si>
  <si>
    <t>Replace</t>
  </si>
  <si>
    <t>WATER TANKER NEW - 1</t>
  </si>
  <si>
    <t xml:space="preserve">MPHENI HOUSE - BACK UP GENERATOR </t>
  </si>
  <si>
    <t>ELECTRIICITY SUPPLY AND RETICULATION</t>
  </si>
  <si>
    <t>COMPUTERS</t>
  </si>
  <si>
    <t>LAPTOPS</t>
  </si>
  <si>
    <t>PROJECTOR</t>
  </si>
  <si>
    <t>AIR CONDITIONERS</t>
  </si>
  <si>
    <t>GPSMAP</t>
  </si>
  <si>
    <t>OFFICE FURNITURE</t>
  </si>
  <si>
    <t>DIGITAL STEEL CAMERA</t>
  </si>
  <si>
    <t>COMPUTER EQUIPMENT AS NEEDED BY DEPARTMENT</t>
  </si>
  <si>
    <t>SAFE FOR BACK UP TAPES - DRP</t>
  </si>
  <si>
    <t>SAFE</t>
  </si>
  <si>
    <t>CARPETS FOR IT OFFICE</t>
  </si>
  <si>
    <t>CARPETS</t>
  </si>
  <si>
    <t>BOITEKONG-CONSTRUCTION OF REGIONAL COMMUNITY CENTRE</t>
  </si>
  <si>
    <t>COMMUNITY CENTRES</t>
  </si>
  <si>
    <t>FREEDOM PARK-COSTRUCTION OF REGIONAL COMMUNITY CENTRE</t>
  </si>
  <si>
    <t>TELEPHONE EXTENSIONS CABLE(REPLACEMENT OF INSTRUMENTS)</t>
  </si>
  <si>
    <t>TELECOMMUNICATION EQUIPMENT</t>
  </si>
  <si>
    <t>FINANCIAL SERVER</t>
  </si>
  <si>
    <t>SEVER</t>
  </si>
  <si>
    <t>FINANCIAL MANAGENT SERVICES-FURNITURE &amp; EQUIPMENT</t>
  </si>
  <si>
    <t>FURNITURE AND EQUIPMENT</t>
  </si>
  <si>
    <t>PURCHASE OF LAPTOP,PROXIMA &amp; RECORDING SYSTEM FOR ALL SCM</t>
  </si>
  <si>
    <t>IMPROVEMENT OF THE OPEN OFFICE FOR CASHIERS AND SECURITY SYSTEM</t>
  </si>
  <si>
    <t>OFFICE BUILDINGS &amp; SECURITY SYSTEM</t>
  </si>
  <si>
    <t>SOUND SYSTEM FOR TRIBUNALS</t>
  </si>
  <si>
    <t>SOUND SYSTEMS</t>
  </si>
  <si>
    <t>CAR MONITORING EQUIPMENT</t>
  </si>
  <si>
    <t>NEW STOVES</t>
  </si>
  <si>
    <t>STOVES</t>
  </si>
  <si>
    <t>DEVELOPMENT OF A SERVICE DELIVERY CENTRE AT BOITEKONG - PAARDEKRAAL</t>
  </si>
  <si>
    <t>SERVIVE DELIVERY CENTRE</t>
  </si>
  <si>
    <t>VISITORS CHAIR - WEDGE RANGE X 5</t>
  </si>
  <si>
    <t>CHAIRS</t>
  </si>
  <si>
    <t>EXECUTIVE CHAIRS</t>
  </si>
  <si>
    <t>4 X COMPUTERS</t>
  </si>
  <si>
    <t>BAR FRIDGE</t>
  </si>
  <si>
    <t>FRIDGE</t>
  </si>
  <si>
    <t>AIRCONDITIONERS</t>
  </si>
  <si>
    <t>MONEY LIGHT DETECTOR MACHINE</t>
  </si>
  <si>
    <t>MONEY LIGHT DETECTOR</t>
  </si>
  <si>
    <t>POUND</t>
  </si>
  <si>
    <t>NEW FURNITURE - VTS/DLTC</t>
  </si>
  <si>
    <t>FLATSCREEN MONITORS</t>
  </si>
  <si>
    <t>REPLACEMENT &amp; UPGRADING OF COMPUTERS</t>
  </si>
  <si>
    <t>WAITING AREA SHELTER AT VTS</t>
  </si>
  <si>
    <t>SHELTER</t>
  </si>
  <si>
    <t>UPGRADING OF TURNING RADIUS AT VTS</t>
  </si>
  <si>
    <t>RADIUS</t>
  </si>
  <si>
    <t>COMPUTERS X 5</t>
  </si>
  <si>
    <t>COMBINNED COMMUNICATION CENTRE</t>
  </si>
  <si>
    <t>DPS/490/0004</t>
  </si>
  <si>
    <t>COMBINED COMMUNICATION CENTRE</t>
  </si>
  <si>
    <t>FIRE FIGHTING HOSES</t>
  </si>
  <si>
    <t>FIRE HOSES</t>
  </si>
  <si>
    <t>FIRE SAFETY EQUIPMENTS</t>
  </si>
  <si>
    <t>FIRE EQUIPMENT</t>
  </si>
  <si>
    <t>PAVING STUDENT PARKING</t>
  </si>
  <si>
    <t>PAVING</t>
  </si>
  <si>
    <t>ERECTION OF CARPORTS</t>
  </si>
  <si>
    <t>CARPOTS</t>
  </si>
  <si>
    <t>MAJOR FIRE FIGHTING VEHICLE</t>
  </si>
  <si>
    <t>FIRE ENGINES</t>
  </si>
  <si>
    <t>AERIAL LADDER VEHICLE</t>
  </si>
  <si>
    <t>SPECIAL PURPOSE VEHICLE</t>
  </si>
  <si>
    <t>UHF 2 RADIO COMMUNICATION SYSTEM &amp; 20X 2 WAY RADIO</t>
  </si>
  <si>
    <t>DPS/490/0003</t>
  </si>
  <si>
    <t>RADIO EQUIPMENT</t>
  </si>
  <si>
    <t>FURNITURE FOR TRAINING SPACE &amp; INSTRUCTORS OFFICES</t>
  </si>
  <si>
    <t>3 X COMPUTERS</t>
  </si>
  <si>
    <t>3 X LAPTOPS/NOTE BOOKS</t>
  </si>
  <si>
    <t>PRINTERS X 2</t>
  </si>
  <si>
    <t>1 X 102cm TV MONITOR &amp; DVD PLAYER COMBO</t>
  </si>
  <si>
    <t>REVAMPING OF EXISTING TRAINING CENTRE</t>
  </si>
  <si>
    <t>TRAININING CENTRE</t>
  </si>
  <si>
    <t>4 X SURROUND SOUND SYSTEM</t>
  </si>
  <si>
    <t>SUPPLY &amp; INSTALLATION OF 2X22000 BTU AIR CONDITIONERS</t>
  </si>
  <si>
    <t>7.2m X 18m PREFABRICATED ENCLOSURE UNIT</t>
  </si>
  <si>
    <t>ABRICATED UNIT</t>
  </si>
  <si>
    <t>7.2m X 6m PREFABRICATED ENCLOSURE UNITS X 2</t>
  </si>
  <si>
    <t>3m X 6m ABLUTION FACILITY FOR STUDENTS</t>
  </si>
  <si>
    <t xml:space="preserve">ABLUTION FACILITY </t>
  </si>
  <si>
    <t>2.5m X 32m STEEL SHADE AGAINST ENCLOSURE UNIT</t>
  </si>
  <si>
    <t>3m X 6m KITCHEN FACILITY FOR STUDENTS</t>
  </si>
  <si>
    <t>KITCHEN FACILITY</t>
  </si>
  <si>
    <t>CONSTRUCTION OF PHATSIMA FIRE HOUSE</t>
  </si>
  <si>
    <t>DPS/490/0006</t>
  </si>
  <si>
    <t>FIRE STATIONS</t>
  </si>
  <si>
    <t>CONSTRUCTION OF MARIKANA FIRE HOUSE</t>
  </si>
  <si>
    <t>DPS/490/0005</t>
  </si>
  <si>
    <t>VISITORS CHAIRS STEEL FRAME FOR RECEPTION AREA X 3</t>
  </si>
  <si>
    <t>WOODEN OFFICE CUPBOARD</t>
  </si>
  <si>
    <t>LAPTOP X 2</t>
  </si>
  <si>
    <t>DIGITAL CAMERAS</t>
  </si>
  <si>
    <t>DIGITAL CAMERA</t>
  </si>
  <si>
    <t>GLOBAL POSITIONING SYSTEM(GPS) FOR CONFIRMATION OF LAND PORTION</t>
  </si>
  <si>
    <t>RUSTENBURG HAWKERS STALL - MAX BORNMAN AREA</t>
  </si>
  <si>
    <t>HAWKER STALS</t>
  </si>
  <si>
    <t>CAMERAS</t>
  </si>
  <si>
    <t>URN</t>
  </si>
  <si>
    <t>KITCHEN UTENSILS</t>
  </si>
  <si>
    <t>UPGRADING OF MONAKATO SPORTS CENTRE</t>
  </si>
  <si>
    <t>SPORTS FACILITY</t>
  </si>
  <si>
    <t>UPGRADING OF TLASENG SPORTS FACILITY</t>
  </si>
  <si>
    <t>UPGRADING OF ROBEGA SPORTS FACILITY</t>
  </si>
  <si>
    <t>UPGRADING OF ZINNIAVILLE SPORTS FACILITIES</t>
  </si>
  <si>
    <t>INSTALLATION OF PALISADE FENCE AT LETHABONG SPORTS GROUND</t>
  </si>
  <si>
    <t>FENCING</t>
  </si>
  <si>
    <t>ZINNIAVILLE - UPGRADING OF SPORTS GROUND</t>
  </si>
  <si>
    <t>OUTDOOR SPORTS FACILITIES</t>
  </si>
  <si>
    <t>UPGRADING OF SPORTS FACILITIES FOR 2011 NATIONAL PARAPLEGIC GAMES</t>
  </si>
  <si>
    <t>UPGRADING OF SPORTS FACILITY: PAARDEKRAAL EXT3</t>
  </si>
  <si>
    <t>OLYMPIA PARK - UPGRADING</t>
  </si>
  <si>
    <t>STADIUM</t>
  </si>
  <si>
    <t>UPGRADING OF BOITEKONG HALL</t>
  </si>
  <si>
    <t>DCD/444/01</t>
  </si>
  <si>
    <t>HALLS</t>
  </si>
  <si>
    <t>UPGRADING OF MARIKANA HALL</t>
  </si>
  <si>
    <t>BOITEKONG HALL - UPGRADING OF SEWER TANK</t>
  </si>
  <si>
    <t>SEWERS</t>
  </si>
  <si>
    <t>OFFICE COMPUTER AND PRINTER</t>
  </si>
  <si>
    <t>SUNRISE PARK: MULTI-PURPOSE HALL</t>
  </si>
  <si>
    <t>CIVIC CENTRE - REPLENISH AND REVAMP</t>
  </si>
  <si>
    <t>CIVIC CENTRE</t>
  </si>
  <si>
    <t>PURCHASE NEW CHAIRS AND TABLES FOR COMMUNITY HALLS</t>
  </si>
  <si>
    <t>INSTALL LITTER BINS AT COMMUNITY HALLS</t>
  </si>
  <si>
    <t>LITTERING BINS</t>
  </si>
  <si>
    <t>3 X CIRCULATION MOTOR PUMP</t>
  </si>
  <si>
    <t>MOTOR PUMP</t>
  </si>
  <si>
    <t>TWO PLATES STOVES X 3</t>
  </si>
  <si>
    <t>REPLACE FENCE AT BERGERS FORD PARK</t>
  </si>
  <si>
    <t>REPLACE BOOM GRA TRUCK</t>
  </si>
  <si>
    <t>PURCHASE POLE PRUNERS</t>
  </si>
  <si>
    <t>POLE PRUNNER</t>
  </si>
  <si>
    <t>PURCHASE BILLY GOAT MACHINE</t>
  </si>
  <si>
    <t>MACHINE</t>
  </si>
  <si>
    <t>PURCHASE LITTER BINS</t>
  </si>
  <si>
    <t>CONSTRUCTION OF A FENCE - MONNAKATO CEMETRY</t>
  </si>
  <si>
    <t>LETHABONG CEMETRY - EXTENSION</t>
  </si>
  <si>
    <t>CEMETERIES</t>
  </si>
  <si>
    <t>INSTALLATION OF TELEPHONE SYSTEM AT RIETVLEI CEMETRY OFFICE</t>
  </si>
  <si>
    <t>RIETVLEI CEMETRY:DEVELOPMENT OF PALISADE FENCING</t>
  </si>
  <si>
    <t>WATER COOLER CHARORA</t>
  </si>
  <si>
    <t>WATER COOLER</t>
  </si>
  <si>
    <t>LITTERING BINS INSIDE CHARORA</t>
  </si>
  <si>
    <t>WATER COOLER TLHABANE</t>
  </si>
  <si>
    <t>FAX MACHINE - PHATSIMA</t>
  </si>
  <si>
    <t>DVD/VCR COMBO BOITEKONG</t>
  </si>
  <si>
    <t>DVD/VCR COMBO</t>
  </si>
  <si>
    <t>HIGH BACK CHAIR - BERSEBA</t>
  </si>
  <si>
    <t>FAN - BERSEBA</t>
  </si>
  <si>
    <t>FAN</t>
  </si>
  <si>
    <t>HOOVER - MARIKANA</t>
  </si>
  <si>
    <t>HOOVER MACHINE</t>
  </si>
  <si>
    <t>DVD/VCR COMBO - MARIKANA</t>
  </si>
  <si>
    <t>CLOCK-IN-SYSTEM : MAIN</t>
  </si>
  <si>
    <t>27,25,31</t>
  </si>
  <si>
    <t>CHILDREN'S CHAIRS X 8 EAST END</t>
  </si>
  <si>
    <t>CHILDREN'S TABLES X 2 EAST END</t>
  </si>
  <si>
    <t>TABLES</t>
  </si>
  <si>
    <t>HAND RAIL - EAST END</t>
  </si>
  <si>
    <t>HAND RAIL</t>
  </si>
  <si>
    <t>COMPUTERS X 8</t>
  </si>
  <si>
    <t>AIRCONDITIONERS - MAIN LIBRARY</t>
  </si>
  <si>
    <t>AIRCONDITIONERS - LETHABONG INFO HUB</t>
  </si>
  <si>
    <t>AIRCONDITIONERS - CHARORE INFO HUB</t>
  </si>
  <si>
    <t>ALARM SYSTEM - MAMEROTSE INFO HUB</t>
  </si>
  <si>
    <t>SECURITY SYSTEM</t>
  </si>
  <si>
    <t>HOOVER MACHINE - BOITEKONG</t>
  </si>
  <si>
    <t>HOOVER MACHINE - TLHABANE LIBRARY</t>
  </si>
  <si>
    <t>SIGNAGE BOARDS - EAST END LIBRARY</t>
  </si>
  <si>
    <t>SIGNAGE BOARDS</t>
  </si>
  <si>
    <t>LAMINATING MACHINE - BARSEBA INFO HUB</t>
  </si>
  <si>
    <t>TELEPHONE HANDSETS - BRANCH LABRARIES</t>
  </si>
  <si>
    <t>CLOCK IN SYSTEM - MAIN LIBRARY</t>
  </si>
  <si>
    <t>OFFICE CHAIRS X 6 - TLHABANE LIBRARY</t>
  </si>
  <si>
    <t>FANS X 3 - MAMEROTSE INFO HUB</t>
  </si>
  <si>
    <t>OFICE CHAIRS X 3 - MARIKANA LIBRARY</t>
  </si>
  <si>
    <t>COUNTER CHAIRS X 3 - TLHABANE LIBRARY</t>
  </si>
  <si>
    <t>COUNTER CHAIR - CHARORE INFOR HUB</t>
  </si>
  <si>
    <t>OFFICE CHAIRS - EAST END LIBRARY</t>
  </si>
  <si>
    <t>DOOR CARPET - MARIKANA LIBRARY</t>
  </si>
  <si>
    <t>CARPET</t>
  </si>
  <si>
    <t>CARPET(CHILDREN SECTION) - KARLIENPARK LIBRARY</t>
  </si>
  <si>
    <t>TLHABANE CONSTRUCTION OF NEW LIBRARY</t>
  </si>
  <si>
    <t>LIBRARIES</t>
  </si>
  <si>
    <t>BASIN FOR HANDS WITH STAND CHARORA</t>
  </si>
  <si>
    <t>BASINS</t>
  </si>
  <si>
    <t>LITTERING BINS INSIDE TLHABANE</t>
  </si>
  <si>
    <t>CARPORT KARLIEN PARK</t>
  </si>
  <si>
    <t>AIRCON COVERS MONAKATO</t>
  </si>
  <si>
    <t>ERECTION OF SINK &amp; KITCHEN CUPBOARD - KARLIENPARK</t>
  </si>
  <si>
    <t>SINK &amp; KITCHEN CUPBOARD</t>
  </si>
  <si>
    <t>LOCKERS FOR BAGS - PHATSIMA LIBRARY</t>
  </si>
  <si>
    <t>LOCKERS</t>
  </si>
  <si>
    <t>REPAIR OF BLINDS - BOITEKONG LIBRARY</t>
  </si>
  <si>
    <t>BLINDS</t>
  </si>
  <si>
    <t>COMPLETION OF GLASS PARTITION - BOITEKONG</t>
  </si>
  <si>
    <t>GLASS PARTITION</t>
  </si>
  <si>
    <t>COMPUTER CABINETS X 2 - MAIN LIBRARY</t>
  </si>
  <si>
    <t>CARPETS - MAMEROTSE INFO HUB</t>
  </si>
  <si>
    <t>CARPET - CHARORE INFO HUB</t>
  </si>
  <si>
    <t>CARPET - LETHABONG INFO HUB</t>
  </si>
  <si>
    <t>RE-PAINTING OF PALISADE FENCE - MAIN LIBRARY</t>
  </si>
  <si>
    <t>AIRCONDITIONER: TEAROOM - KARLIEN PARK</t>
  </si>
  <si>
    <t>ALARM SYSTEM - MATHOPESTAD</t>
  </si>
  <si>
    <t>ALARM SYSTEMS</t>
  </si>
  <si>
    <t>STUDY AND REFERENCE BOOKS (PHATSIMA)</t>
  </si>
  <si>
    <t>BOOKS</t>
  </si>
  <si>
    <t>STUDY AND REFERENCE BOOKS (CHARORA)</t>
  </si>
  <si>
    <t>STUDY AND REFERENCE BOOKS (TLHABANE)</t>
  </si>
  <si>
    <t>STUDY AND REFERENCE BOOKS (KARLIENPARK)</t>
  </si>
  <si>
    <t>STUDY AND REFERENCE BOOKS (MAIN)</t>
  </si>
  <si>
    <t>STUDY AND REFERENCE BOOKS (BOITEKONG)</t>
  </si>
  <si>
    <t>STUDY AND REFERENCE BOOKS (MONNAKATO)</t>
  </si>
  <si>
    <t>STUDY AND REFERENCE BOOKS (MAMEROTSE)</t>
  </si>
  <si>
    <t>STUDY AND REFERENCE BOOKS (LETHABONG)</t>
  </si>
  <si>
    <t>STUDY AND REFERENCE BOOKS (BARSEBA)</t>
  </si>
  <si>
    <t>STUDY AND REFERENCE BOOKS (MARIKANA)</t>
  </si>
  <si>
    <t>STUDY AND REFERENCE BOOKS (MATHOPESTAD)</t>
  </si>
  <si>
    <t>STUDY AND REFERENCE BOOKS (EAST END)</t>
  </si>
  <si>
    <t>PALISADE FENCING: EAST END</t>
  </si>
  <si>
    <t>AIRCONDITIONER - MATHOPESTAD INFO HUB</t>
  </si>
  <si>
    <t xml:space="preserve"> TLHABANE - REHABILITATION OF WATER RETICULATION</t>
  </si>
  <si>
    <t>WATER SUPPLY AND RETICULATION</t>
  </si>
  <si>
    <t>9,10,12</t>
  </si>
  <si>
    <t xml:space="preserve"> WATER TANKER NEW - 1</t>
  </si>
  <si>
    <t>AC PR PIPES WITH UPVC PR PIPES (REPLACEMENT)</t>
  </si>
  <si>
    <t>PIPES</t>
  </si>
  <si>
    <t>REHABILITATION OF RESERVOIR SITES</t>
  </si>
  <si>
    <t xml:space="preserve">WATER RESERVOIRS </t>
  </si>
  <si>
    <t>RANKELENYANE - CONTRIBUTION OF BULK SUPPLY</t>
  </si>
  <si>
    <t xml:space="preserve"> MAKOLOKWE - WATER RETICULATION</t>
  </si>
  <si>
    <t>IKEMELENG YARD CONNECTION</t>
  </si>
  <si>
    <t>BOKAMOSO - BULK WATER</t>
  </si>
  <si>
    <t>BETHANIE, MODIKWE &amp; BERSEBA - WATER RETICULATION &amp; YARD CONNECTION: COMPLET</t>
  </si>
  <si>
    <t>BOKAMOSO UPGRADING OF WATER RETICULATION</t>
  </si>
  <si>
    <t>ALL</t>
  </si>
  <si>
    <t>IKEMELENG BULK WATER SUPPLY</t>
  </si>
  <si>
    <t>RIETFLEI - WATER SUPPLY</t>
  </si>
  <si>
    <t>IKAGENG - WATER SUPPLY</t>
  </si>
  <si>
    <t>MAKOLOKWE - WATER RETICULATION</t>
  </si>
  <si>
    <t>MAUMONG - WATER SUPPLY</t>
  </si>
  <si>
    <t>ROBEGA WATER SUPPLY</t>
  </si>
  <si>
    <t>CONNECTIONS - PUBLIC CONTRIBUTION</t>
  </si>
  <si>
    <t>WATERKLOOF - PHASE THREE</t>
  </si>
  <si>
    <t>POWER STATIONS</t>
  </si>
  <si>
    <t xml:space="preserve"> AMIE COETZEE - REPLACE 11kV SWITCHGEAR &amp; EQUIPMENT</t>
  </si>
  <si>
    <t>SWITCHGEAR EQUIPMENT</t>
  </si>
  <si>
    <t xml:space="preserve"> BRAVO - REPLACE 11kV SWITCHGEAR &amp; EQUIPMENT</t>
  </si>
  <si>
    <t xml:space="preserve"> DONKERHOEK - REPLACE 11kV SWITCHGEAR &amp; EQUIPM</t>
  </si>
  <si>
    <t xml:space="preserve"> WATERKLOOF - PHASE ONE</t>
  </si>
  <si>
    <t>BULK CONSUMER METER &amp; EQUIPMENT</t>
  </si>
  <si>
    <t>LOAD CONTROL EQUIPMENT</t>
  </si>
  <si>
    <t>RUSTENBURG - INTERNAL NETWORK UPGRADING</t>
  </si>
  <si>
    <t>ELECTRICITY SUPPLY AND RETICULATION</t>
  </si>
  <si>
    <t>INSTALLATION OF PALISADE FENCING AROUND TRANSFORMATORS AT MUNICPAL</t>
  </si>
  <si>
    <t>PURCHASE OF 11000 VOLT OVERHEAD INSULATION MATERIAL(RAYSOLITE</t>
  </si>
  <si>
    <t>TRANSFORMER KIOSK</t>
  </si>
  <si>
    <t>PURCHASE OF TWO AUTO RECLOSERS FOR THE RURAL ELECTRICITY NETWORK</t>
  </si>
  <si>
    <t>INSTALLATION OF STREETLIGHTS IN DOCTOR MOROKA ROAD</t>
  </si>
  <si>
    <t>STREETLIGHTS</t>
  </si>
  <si>
    <t>REPLACEMENT OF REDUNDANT SIGNALHEADS WITH ENERGY EFFICIENT UNIT</t>
  </si>
  <si>
    <t>ENERGY EFFICIENT UNIT</t>
  </si>
  <si>
    <t>REPLACEMENT OF OLD U/S COMMUNICATION RADIOS</t>
  </si>
  <si>
    <t>ROBOT - PLC CONTROLLERS &amp; EQUIPMENT</t>
  </si>
  <si>
    <t>CONTROLLERS AND EQUIPMENT</t>
  </si>
  <si>
    <t>SUBSTATION TRIPPING UNITS</t>
  </si>
  <si>
    <t>PRINTER FOR PRINTING OF TENDER DOCUMENTS</t>
  </si>
  <si>
    <t>GENERATOR - TEST SECTION</t>
  </si>
  <si>
    <t>GENERATOR</t>
  </si>
  <si>
    <t>1000 JOULES CABLE TEST INSTRUMENT</t>
  </si>
  <si>
    <t>CABLES</t>
  </si>
  <si>
    <t>SMALL HAND TOOL - TEST SECTION</t>
  </si>
  <si>
    <t>TEST SECTION</t>
  </si>
  <si>
    <t>33KV HIGH VOLTAGE TESTER X 4</t>
  </si>
  <si>
    <t>AVM NOTE VALIDATORS</t>
  </si>
  <si>
    <t>VALIDATORS</t>
  </si>
  <si>
    <t>CHAINSAW FOR THE CUTTING OF TREES RURAL NETWORKS X 2</t>
  </si>
  <si>
    <t>CHAINSAW</t>
  </si>
  <si>
    <t>PALLET JACK TO ASSIST IN MAINTENANCE STORE</t>
  </si>
  <si>
    <t xml:space="preserve">EQUIPMENT </t>
  </si>
  <si>
    <t>PURCHASE OF SEALING PLIERS TO SEAL ENERGY METERS AGAINST TAMPERING</t>
  </si>
  <si>
    <t>SEALING PLIERS</t>
  </si>
  <si>
    <t>PURCHASE OF HIGH VOLTAGE TESTER FOR T &amp; I SECTION</t>
  </si>
  <si>
    <t xml:space="preserve">ELECTRICITY EQUIPMENT </t>
  </si>
  <si>
    <t>INSTALLATION OF AIRCONDITIONER IN THE MAINTENANCE STORE ROOM</t>
  </si>
  <si>
    <t>PURCHASE OF CRIMPER FOR THE 33KV JOINTS</t>
  </si>
  <si>
    <t>PLANT AND EQUIPMENT GENERAL</t>
  </si>
  <si>
    <t>PURCHASE OF LARGE SCALE PRINTER / PLOTTER FOR PLANS &amp; DESIGNS</t>
  </si>
  <si>
    <t>PURCHASE OF POWER PRUNER TO CLEAR-CUT OVERHEAD LINES &amp; SERVITUTES</t>
  </si>
  <si>
    <t>POWER PRUNER</t>
  </si>
  <si>
    <t>PURCHASE OF A VACUUM CLEANER TO CLEAN THE SUBSTATIONS</t>
  </si>
  <si>
    <t>VACUUM CLEANER</t>
  </si>
  <si>
    <t>PURCHASE OF A STICK</t>
  </si>
  <si>
    <t>STICK</t>
  </si>
  <si>
    <t>OVERHEAD RURAL SYSTEM</t>
  </si>
  <si>
    <t>RURAL DEVELOPMENT</t>
  </si>
  <si>
    <t>BOITEKONG PHASE II - ELECTRIFICATION DME FUNDING</t>
  </si>
  <si>
    <t>BULK SERVICES - BOITEKONG DME</t>
  </si>
  <si>
    <t>SERALENG PHASE III - ELECTRIFICATION DME</t>
  </si>
  <si>
    <t>ELECTRIFICATION PROJECTS BOITEKONG &amp; SERALENG - DME</t>
  </si>
  <si>
    <t>CHERRIE PICKER - NEW</t>
  </si>
  <si>
    <t>CLOCKING MACHINE</t>
  </si>
  <si>
    <t>ELECTRICITY RETICULATION</t>
  </si>
  <si>
    <t>PAVING OF THE SIDE WALKS ON MAJOR ROADS</t>
  </si>
  <si>
    <t>ROADS WARDS 3,4,5,6,7,21,23,24&amp;26</t>
  </si>
  <si>
    <t>ROADS</t>
  </si>
  <si>
    <t>21,23,24,26</t>
  </si>
  <si>
    <t>REPLACEMENT OF CABSTARS - 3</t>
  </si>
  <si>
    <t>REPLACEMENT OF GRADER</t>
  </si>
  <si>
    <t xml:space="preserve">PLANT AND EQUIPMENT </t>
  </si>
  <si>
    <t>SEALING OF NEW ROADS</t>
  </si>
  <si>
    <t>REPLACEMENT OF DORPSPRUIT BRIDGE</t>
  </si>
  <si>
    <t>OVERHEAD BRIDGE</t>
  </si>
  <si>
    <t>IKEMELENG - ROADS AND STORMWATER DRAINAGE CONSTRUCTION</t>
  </si>
  <si>
    <t>ROADS AND STORMWATER DRAINS</t>
  </si>
  <si>
    <t>BOITEKONG ROADS AND STORMWATER DRAINAGE PHASE 3</t>
  </si>
  <si>
    <t>BOITEKONG ROADS AND STORMWATER DRAINAGE PHASE 2009/10</t>
  </si>
  <si>
    <t>MONNAKATO ROADS AND STORMWATER DRAINAGE PHASE 3</t>
  </si>
  <si>
    <t>LETHABONG ROADS AND STORMWATER DRAINAGE PHASE 3</t>
  </si>
  <si>
    <t>MATHOPESTAD ACCESS ROAD</t>
  </si>
  <si>
    <t>BERSEBA ROADS &amp; STORMWATER</t>
  </si>
  <si>
    <t>BETHANIE ROADS &amp; STORMWATER</t>
  </si>
  <si>
    <t>MAKOLOKWE ROADS &amp; STORMWATER</t>
  </si>
  <si>
    <t>MERITING ROADS &amp; STORMWATER</t>
  </si>
  <si>
    <t>RUSTENBURG 13 - UPGRADING OF ROADS &amp; STORMWATER</t>
  </si>
  <si>
    <t>SERALENG - UPGRADING OF ROADS &amp; STORMWATER</t>
  </si>
  <si>
    <t>TLHABANE-REPLACE AC OUTFALL SEWER</t>
  </si>
  <si>
    <t>SEWER RETICULATION</t>
  </si>
  <si>
    <t>9,10</t>
  </si>
  <si>
    <t>BOOSTER - UPGRADING OF SEWER SYSTEM</t>
  </si>
  <si>
    <t>REPLACEMENT OF MANHOLE COVERS</t>
  </si>
  <si>
    <t>MANHOLE COVER</t>
  </si>
  <si>
    <t>MARIKANA - PUMP STATION</t>
  </si>
  <si>
    <t>PUMP STATION</t>
  </si>
  <si>
    <t>VEHICLE TO CLEAN SEWERAGE LINES</t>
  </si>
  <si>
    <t xml:space="preserve">          New</t>
  </si>
  <si>
    <t>2 X CABSTARS</t>
  </si>
  <si>
    <t>UPGRADING OF BOOSTER OFFICES</t>
  </si>
  <si>
    <t>OFFICE BUILDING</t>
  </si>
  <si>
    <t>REPLACEMENT OF MATTRESSES</t>
  </si>
  <si>
    <t>MATTRESSES</t>
  </si>
  <si>
    <t>SEWERAGE RETICULATION</t>
  </si>
  <si>
    <t>UPGRADING OF CIVIC CENTRE</t>
  </si>
  <si>
    <t>CONSTRUCTION OF CONTROL ROOM</t>
  </si>
  <si>
    <t>TELEPHONE EQUIPMENT</t>
  </si>
  <si>
    <t>UPGRADING OF WORKSHOP</t>
  </si>
  <si>
    <t>HIGH BACK SWIVEL AND TILT OFFICE CHAIR</t>
  </si>
  <si>
    <t>LETHABONG WASTE TRANSFER STATION</t>
  </si>
  <si>
    <t>WASTE MANAGEMENT DEPOT</t>
  </si>
  <si>
    <t>WATERFALL LANDFILL SITE</t>
  </si>
  <si>
    <t>DIWST004</t>
  </si>
  <si>
    <t>WASTE SITE</t>
  </si>
  <si>
    <t>MARIKANA WASTE TRANSFER STATION - CONSTRUCTION</t>
  </si>
  <si>
    <t>PHOKENG WASTE TRANSFER STATION</t>
  </si>
  <si>
    <t>WASTE DEPOT : FURNITURE, TOOLS AND EQUIPMENT</t>
  </si>
  <si>
    <t>TOOLS</t>
  </si>
  <si>
    <t>3 X COMPACTOR VEHICLES - CHASY, CAB &amp; COMPACTOR</t>
  </si>
  <si>
    <t>WASTE COMPACTORS X 4</t>
  </si>
  <si>
    <t>MATHOPESTAD HIGH MAST LIGHTS</t>
  </si>
  <si>
    <t>MODIKWE HIGH MAST LIGHTS</t>
  </si>
  <si>
    <t>MOKOLOKWE HOGH MAST LIGHTS</t>
  </si>
  <si>
    <t>BOITEKONG - HIGH MAST LIGHTING</t>
  </si>
  <si>
    <t>MAMEROTSE - HIGH MAST LIGHTING</t>
  </si>
  <si>
    <t>MAILE - HIGH MAST LIGHTING</t>
  </si>
  <si>
    <t>AIRCONDITIONER - OFF. OF THE DIRECTOR,MMC,PA,SECRETARY &amp; CALL CENTRE</t>
  </si>
  <si>
    <t>INSTALLATION OF OFFICES - 8th FLOOR</t>
  </si>
  <si>
    <t>NEW OFFICES</t>
  </si>
  <si>
    <t>CHRISTMAS DECORATIONS</t>
  </si>
  <si>
    <t>DECORATIONS</t>
  </si>
  <si>
    <t>COMPUTERS AS NEEDED BY DEPARTMENTS</t>
  </si>
  <si>
    <t>INTERNAL &amp; EXTERNAL REPAIRS FOR ALL 9 RCCS</t>
  </si>
  <si>
    <t>REPAIRS</t>
  </si>
  <si>
    <t>10,25,28 &amp; 31</t>
  </si>
  <si>
    <t>4,5,6 &amp; 24</t>
  </si>
  <si>
    <t>PALISADE FENCING OF RCC OFFICES</t>
  </si>
  <si>
    <t>1 &amp; 10</t>
  </si>
  <si>
    <t>PHOTOCOPY MACHINE X 2 - BLACK &amp; COLOUR PRINT</t>
  </si>
  <si>
    <t>1,20 &amp; 24</t>
  </si>
  <si>
    <t>STEEL SECURITY DOORS</t>
  </si>
  <si>
    <t>SECURITY DOOR</t>
  </si>
  <si>
    <t>10, 29</t>
  </si>
  <si>
    <t>RADIO LINKS FOR TELEPHONE SYSTEM/CRM MANAGEMENT ACSESS</t>
  </si>
  <si>
    <t>DIGITAL TELEPHONES REPLACE ANALOG PHONES</t>
  </si>
  <si>
    <t>UPGRADING AND MAINTENANCE OF SWITCHBOARD</t>
  </si>
  <si>
    <t>SWITCHBOARD</t>
  </si>
  <si>
    <t>RECORDING DIVICES</t>
  </si>
  <si>
    <t>RECORDING DEVICE</t>
  </si>
  <si>
    <t>WATERPROOFING AND RESEALING OF MUNICIPAL STORES ROOF</t>
  </si>
  <si>
    <t>BUILDING</t>
  </si>
  <si>
    <t>REVAPM AND UPGRADE OF MUNICIPAL STORES</t>
  </si>
  <si>
    <t>ZIPPEL FILING SYSTEM FOR SCM OFFICE</t>
  </si>
  <si>
    <t>FILLING CABINET</t>
  </si>
  <si>
    <t>PARTITIONING OF OFFICES</t>
  </si>
  <si>
    <t>INSTALLATION OF INFORMATION BOARDS</t>
  </si>
  <si>
    <t>INFORMATION BOARDS</t>
  </si>
  <si>
    <t>11,17</t>
  </si>
  <si>
    <t>DEVELOPMENT OF SERVICE DELIVERY CENTER  - BOITEKONG</t>
  </si>
  <si>
    <t>SERVICE DELIVERY CENTRE</t>
  </si>
  <si>
    <t>DRAUGHTMANS CHAIRS</t>
  </si>
  <si>
    <t>TWO WAY RADIO'S FOR TRAFFIC OFFICERS X 40</t>
  </si>
  <si>
    <t xml:space="preserve">INSTALLATION OF CCTV CAMERAS </t>
  </si>
  <si>
    <t>TENTS FOR DISASTER MANAGEMENT RELIEF</t>
  </si>
  <si>
    <t>EMERGENCY EQUIPMENT</t>
  </si>
  <si>
    <t>PORTABLE WATER DAMS</t>
  </si>
  <si>
    <t>FOAM EQUIPMENT</t>
  </si>
  <si>
    <t>BREATHING APPARATUS</t>
  </si>
  <si>
    <t>APPARATUS</t>
  </si>
  <si>
    <t>WATER TANKER</t>
  </si>
  <si>
    <t>UPGRADING OF MAMEROTSE COMMUNITY HALL</t>
  </si>
  <si>
    <t>HALL</t>
  </si>
  <si>
    <t>UPGRADING OF OLD TOWN HALL</t>
  </si>
  <si>
    <t xml:space="preserve">BULK FILLING - MAIN </t>
  </si>
  <si>
    <t>FILLING CABINETS</t>
  </si>
  <si>
    <t>TV AERIAL - MARIKANA</t>
  </si>
  <si>
    <t>TV AERIAL</t>
  </si>
  <si>
    <t>CARPET - MATHOPESTAD</t>
  </si>
  <si>
    <t>BOOK BLOCKS - EAST END</t>
  </si>
  <si>
    <t>PAVING - MAMEROTSE</t>
  </si>
  <si>
    <t>LAMINATING MACHINE - BOITEKONG</t>
  </si>
  <si>
    <t xml:space="preserve">CHAIRS FOR NEWSPAPER AREA - BOITEKONG </t>
  </si>
  <si>
    <t>BURGLAR DOOR - LETHABONG</t>
  </si>
  <si>
    <t>COMPUTER CABINET - BARSEBA</t>
  </si>
  <si>
    <t>COMPUTER CABINET</t>
  </si>
  <si>
    <t>OUTSIDE LITTERING BINS - MARIKANA</t>
  </si>
  <si>
    <t>CARPORT - MARIKANA</t>
  </si>
  <si>
    <t>CARPORT</t>
  </si>
  <si>
    <t xml:space="preserve">2 X BOOK TROLLEYS - TLHABANE </t>
  </si>
  <si>
    <t>BOOK TROLLEYS</t>
  </si>
  <si>
    <t>CABINET LOCKERS - TLHABANE</t>
  </si>
  <si>
    <t>CABINET LOCKERS</t>
  </si>
  <si>
    <t>OUTSIDE LITTERING BINS - TLHABANE</t>
  </si>
  <si>
    <t>2 X DISPLAY BOARDS - TLHABANE</t>
  </si>
  <si>
    <t>DISPLAY BOARDS</t>
  </si>
  <si>
    <t>HI-FI - PHATSIMA</t>
  </si>
  <si>
    <t xml:space="preserve">HI FI </t>
  </si>
  <si>
    <t>PARCEL LOCKERS - PHATSIMA</t>
  </si>
  <si>
    <t>PARCEL LOCKERS</t>
  </si>
  <si>
    <t>1 X COMPUTER - PHATSIMA</t>
  </si>
  <si>
    <t>REFURBISHMENT OF AUDITORIUM - MAIN</t>
  </si>
  <si>
    <t>RENOVATIONS (PAINTING) - BOITEKONG</t>
  </si>
  <si>
    <t>HERITAGE ASSETS</t>
  </si>
  <si>
    <t>PAINTINGS</t>
  </si>
  <si>
    <t>HOOVER - MAIN</t>
  </si>
  <si>
    <t>HOOVER</t>
  </si>
  <si>
    <t>HOOVER - TLHABANE</t>
  </si>
  <si>
    <t>3 X HIGH BACK CHAIRS - MAIN</t>
  </si>
  <si>
    <t>74cm TELEVISION SET - MAIN</t>
  </si>
  <si>
    <t>TV SET</t>
  </si>
  <si>
    <t>AERIAL SET - MAIN</t>
  </si>
  <si>
    <t>AERIAL SET</t>
  </si>
  <si>
    <t>DVD MACHINE - MAIN</t>
  </si>
  <si>
    <t>DVD MACHINE</t>
  </si>
  <si>
    <t>REFURBISHMENT OF PALISADE FENCE - KARLIENPARK</t>
  </si>
  <si>
    <t>PALISADE GATES - BOITEKONG</t>
  </si>
  <si>
    <t xml:space="preserve">CANOPY 1400 - UNIT LIBRARY AND INFORMATION </t>
  </si>
  <si>
    <t>CANOPY</t>
  </si>
  <si>
    <t>COIN BOXES - MAIN AND BRANCHES</t>
  </si>
  <si>
    <t>COIN BOX</t>
  </si>
  <si>
    <t>REFURBISHMENT OF WATER RETICULATION</t>
  </si>
  <si>
    <t>DIW010</t>
  </si>
  <si>
    <t xml:space="preserve">10,14 </t>
  </si>
  <si>
    <t>TWO WAY RADIOS - HAND HELD &amp; VEHICLE MOUNTED</t>
  </si>
  <si>
    <t>INSTALLATION OF 10KL TANKS AT INFORMATION SETTLEMENTS</t>
  </si>
  <si>
    <t>DIW020</t>
  </si>
  <si>
    <t>WATER TANKS</t>
  </si>
  <si>
    <t xml:space="preserve">22,23,24,29,30 </t>
  </si>
  <si>
    <t>CONSTRUCTION OF PRV STATION AT IKAGENG VILLAGE</t>
  </si>
  <si>
    <t>DIW030</t>
  </si>
  <si>
    <t>29</t>
  </si>
  <si>
    <t>CONSTRUCTION OF PRV STATION AT MAROELA AVENUE (PROTEAPARK)</t>
  </si>
  <si>
    <t>DIW040</t>
  </si>
  <si>
    <t>16</t>
  </si>
  <si>
    <t>REHABILITATION OF RESERVOIRS</t>
  </si>
  <si>
    <t>DIW050</t>
  </si>
  <si>
    <t>8,36</t>
  </si>
  <si>
    <t>HINO KB 302 TIPPER</t>
  </si>
  <si>
    <t>CAT 930 LOADER</t>
  </si>
  <si>
    <t>CRANE TRUCK</t>
  </si>
  <si>
    <t>TLB</t>
  </si>
  <si>
    <t>WATER PROJECTS PHASE 2 - LEKGALONG</t>
  </si>
  <si>
    <t>WATER PIPE - (cnr - KLOPPER &amp; BOVEN STREET)</t>
  </si>
  <si>
    <t>IKAGENG - WATER RETICULATIONS PHASE 3</t>
  </si>
  <si>
    <t>MOKOLOKWE - WATER RETICULATIONS</t>
  </si>
  <si>
    <t>MONNAKATO - WATER SUPPLY AND YARD CONNECTIONS</t>
  </si>
  <si>
    <t>25</t>
  </si>
  <si>
    <t>NAAUWPOORT - WATER SUPPLY</t>
  </si>
  <si>
    <t>NKANENG BULK WATER SUPPLY</t>
  </si>
  <si>
    <t>33</t>
  </si>
  <si>
    <t>PAARKDEKRAAL EXT 1 - WATER SUPPLY AND YARD CONNECTIONS</t>
  </si>
  <si>
    <t>19 &amp; 20</t>
  </si>
  <si>
    <t>POPO MOLEFE - WATER SUPPLY</t>
  </si>
  <si>
    <t>22</t>
  </si>
  <si>
    <t>RANKELENYANE - YARD CONNECTIONS</t>
  </si>
  <si>
    <t>REPLACE DECAED WOODEN POLES - RURAL AREAS</t>
  </si>
  <si>
    <t>WOODEN POLES</t>
  </si>
  <si>
    <t>RUSTENBURG TOWN - INTERNAL NETWORK UPGRADING</t>
  </si>
  <si>
    <t>DIE007</t>
  </si>
  <si>
    <t>ELECTRICITY MAINS</t>
  </si>
  <si>
    <t>8,14</t>
  </si>
  <si>
    <t>BULK LINKAGES TO NEW DEVELOPMENTS</t>
  </si>
  <si>
    <t>DIE011</t>
  </si>
  <si>
    <t>LOAD CONTROL RELAYS</t>
  </si>
  <si>
    <t>UPGRADING OF POWER FACTOR CORRECTION EQUIPMENT</t>
  </si>
  <si>
    <t>DIE019</t>
  </si>
  <si>
    <t>MOTOR CITY 33kV RING MAIN UNIT</t>
  </si>
  <si>
    <t>DIE020</t>
  </si>
  <si>
    <t>WATERKLOOF ESKOM 88kV CONNECTION</t>
  </si>
  <si>
    <t>DIE021</t>
  </si>
  <si>
    <t>DIE022</t>
  </si>
  <si>
    <t>ABATTOIR SUBSTATION TO NOORD SUBSTATION - 400mm CABLE</t>
  </si>
  <si>
    <t>DIE026</t>
  </si>
  <si>
    <t>HV METERING EQUIPMENT</t>
  </si>
  <si>
    <t>DIE031</t>
  </si>
  <si>
    <t>RURAL EMERGENCY UPGRADING</t>
  </si>
  <si>
    <t>DIE032</t>
  </si>
  <si>
    <t>DIE034</t>
  </si>
  <si>
    <t>PREPAID AUTOMATIC VENDING MACHINE EQUIPMENT</t>
  </si>
  <si>
    <t>DIE035</t>
  </si>
  <si>
    <t>VENDING MACHINE EQUIPMENT</t>
  </si>
  <si>
    <t>SERALENG PHASE 4</t>
  </si>
  <si>
    <t>DIE055</t>
  </si>
  <si>
    <t>ELECTRIFICATION OF BOITEKONG EXT 8, PHASE 3</t>
  </si>
  <si>
    <t>DIE056</t>
  </si>
  <si>
    <t>ELECTRIFICATION OF RUSTENBURG EXT13, PHASE 4</t>
  </si>
  <si>
    <t>DIE057</t>
  </si>
  <si>
    <t>DIR002</t>
  </si>
  <si>
    <t>18</t>
  </si>
  <si>
    <t>BOITEKONG ROADS &amp; STORMWATER</t>
  </si>
  <si>
    <t>DIR003</t>
  </si>
  <si>
    <t>19</t>
  </si>
  <si>
    <t>DIR004</t>
  </si>
  <si>
    <t>20</t>
  </si>
  <si>
    <t>DIR005</t>
  </si>
  <si>
    <t>21</t>
  </si>
  <si>
    <t>DIR006</t>
  </si>
  <si>
    <t>MONNAKATO ROADS &amp; STORMWATER</t>
  </si>
  <si>
    <t>DIR008</t>
  </si>
  <si>
    <t>LETHABONG ROADS &amp; STORMWATER</t>
  </si>
  <si>
    <t>DIR009</t>
  </si>
  <si>
    <t>27</t>
  </si>
  <si>
    <t>MAUMONG/TLAPA ROADS &amp; STORMWATER</t>
  </si>
  <si>
    <t>DIR011</t>
  </si>
  <si>
    <t>INTEGRATED RAPID PUBLIC TRANSPORT NETWORK</t>
  </si>
  <si>
    <t>ROADS OTHER</t>
  </si>
  <si>
    <t>MECHANICAL BROOM</t>
  </si>
  <si>
    <t>PLANT AND EQUIPMENT</t>
  </si>
  <si>
    <t>TWO WAY RADIOS</t>
  </si>
  <si>
    <t>BRIDGE  - LUKA</t>
  </si>
  <si>
    <t>BRIDGE</t>
  </si>
  <si>
    <t>REPLACEMENT OF BOMAG ROLLER COMPACTOR - 5</t>
  </si>
  <si>
    <t>COMPACTOR</t>
  </si>
  <si>
    <t>BOKAMOSO OUTFALL SEWER</t>
  </si>
  <si>
    <t>DIS001</t>
  </si>
  <si>
    <t>34</t>
  </si>
  <si>
    <t>MONAKATO EXT 4 SEWERAGE RETICULATION &amp; OUTFALL SEWER</t>
  </si>
  <si>
    <t>UPGRADING OF OUTFALL SEWER LINES</t>
  </si>
  <si>
    <t>DIS002</t>
  </si>
  <si>
    <t>10,11,25,27,28,</t>
  </si>
  <si>
    <t>REPLACEMENT OF MANHOLES COVERS</t>
  </si>
  <si>
    <t>DIS003</t>
  </si>
  <si>
    <t>AIRCONDITIONS</t>
  </si>
  <si>
    <t>BATTERY VAN</t>
  </si>
  <si>
    <t xml:space="preserve">CONSTRUCTION OF TRANSFER STATION - PHATSIMA </t>
  </si>
  <si>
    <t>DIWST001</t>
  </si>
  <si>
    <t>TRANSFER STATION</t>
  </si>
  <si>
    <t>1</t>
  </si>
  <si>
    <t>CONSTRUCTION OF TRANSFER STATION - LETHABONG</t>
  </si>
  <si>
    <t>DIWST002</t>
  </si>
  <si>
    <t>27,28</t>
  </si>
  <si>
    <t>CAT 930 FRONT END LOADER</t>
  </si>
  <si>
    <t>LOADER</t>
  </si>
  <si>
    <t>HINO 25-297 LOAD LUGGER</t>
  </si>
  <si>
    <t>12 X TWO WAY RADIO</t>
  </si>
  <si>
    <t>INSTALLATION OF TRAFFIC SIGNALS - ROBOTS</t>
  </si>
  <si>
    <t>TRAFFIC SIGNALS</t>
  </si>
  <si>
    <t>INFORMATON BOARDS AND SIGNALS</t>
  </si>
  <si>
    <t>SKIP BINS</t>
  </si>
  <si>
    <t>BINS</t>
  </si>
  <si>
    <t>UPGRADING OF KREMETART</t>
  </si>
  <si>
    <t>KREMETART</t>
  </si>
  <si>
    <t>UPGRADING OF THE SOUND AND RECORDING SYSTEM IN THE COUNCIL CHAMBER</t>
  </si>
  <si>
    <t>VEHICLES - MAYOR'S OFFICE</t>
  </si>
  <si>
    <t>VEHICLES</t>
  </si>
  <si>
    <t xml:space="preserve">CALL CENTRE </t>
  </si>
  <si>
    <t>IMPROVEMENT OF OFFICE GROUND FLOOR</t>
  </si>
  <si>
    <t>PARTIONS</t>
  </si>
  <si>
    <t>TLB - COMMUNITY DEVELOPMENT</t>
  </si>
  <si>
    <t>VEHICLES - x10 TRAFFIC</t>
  </si>
  <si>
    <t>SMALL WATER TANKER</t>
  </si>
  <si>
    <t xml:space="preserve">CABSTERS - x10 </t>
  </si>
  <si>
    <t>SINGLE CAB</t>
  </si>
  <si>
    <t>VEHICLE</t>
  </si>
  <si>
    <t>COUNCIL GENERAL</t>
  </si>
  <si>
    <t>BRICKS MANUFACTURING - RUSTENBURG CBD</t>
  </si>
  <si>
    <t>PLANT &amp; MACHINERY</t>
  </si>
  <si>
    <t>MAYORAL VEHICLE</t>
  </si>
  <si>
    <t>OTHER MOTOR VEHICLES</t>
  </si>
  <si>
    <t>MOTOR VEHICLE 4X4</t>
  </si>
  <si>
    <t>TECHNOLOGICAL EQUIPMENT</t>
  </si>
  <si>
    <t>DEVELOPMENT OF CHILDREN GARDEN: PHATSIMA, FREEDOM PARK,MONNAKATO,BOITEKONG,LETHABONG,KROONDAL,MATHOPESTAD</t>
  </si>
  <si>
    <t>GARDEN</t>
  </si>
  <si>
    <t>1,20,24,25,27,28,33,36</t>
  </si>
  <si>
    <t>CONSTRUCTION OF DISABILITY ARTS &amp; CRAFTS CENTRE - RUSTENBURG</t>
  </si>
  <si>
    <t>CONSTRUCTION &amp; DEVELOPMENT OF KHUTSONG OLD AGE CENTRE</t>
  </si>
  <si>
    <t>CONSTRUCTION &amp; DEVELOPMENT OF KHUTSONG OLD AGE CENTREOF AUNTI AGNES CHILDREN CENTRE</t>
  </si>
  <si>
    <t>CONSTRUCTION &amp; RESOURCING OF MULTI PURPOSE &amp; DEVELOPMENT</t>
  </si>
  <si>
    <t>CONSTRUCTION OF BOIKANYEGO WELFARE ORGANIZATIONAL</t>
  </si>
  <si>
    <t>NEW OFFICE FURNITURE - EXECUTIVE MAYOR</t>
  </si>
  <si>
    <t>CARPET - SPEAKERS</t>
  </si>
  <si>
    <t>VEHICLE DOUBLE CAB - SPEAKER</t>
  </si>
  <si>
    <t>FENCING OF MUNICIPAL AIRPORT</t>
  </si>
  <si>
    <t>OFFICE FURNITURE &amp; EQUIPMENT</t>
  </si>
  <si>
    <t>FURNITURE</t>
  </si>
  <si>
    <t>OFFICE OF THE DIRECTOR RRT</t>
  </si>
  <si>
    <t>RUSTENBURG RAPID TRANSPORT</t>
  </si>
  <si>
    <t>RAPID TRANSPORT</t>
  </si>
  <si>
    <t>PROJECT MANAGEMENT UNIT</t>
  </si>
  <si>
    <t>INFORMATION TECHNOLOGY</t>
  </si>
  <si>
    <t>INSTALLATION OF VIRTUAL SERVERS</t>
  </si>
  <si>
    <t>SERVER</t>
  </si>
  <si>
    <t>REPLACEMENT OF OUTDATED COMPUTERS</t>
  </si>
  <si>
    <t>SOFTWARE</t>
  </si>
  <si>
    <t>ENTERPRISE RESOURCE TOOL</t>
  </si>
  <si>
    <t>INSTALLATION OF EXCHANGE SERVER</t>
  </si>
  <si>
    <t>INTEGRATED DEVELOPMENT PLAN</t>
  </si>
  <si>
    <t>OFFICE OF CHIEF OPERATIONS OFFICER</t>
  </si>
  <si>
    <t xml:space="preserve">FURNITURE    </t>
  </si>
  <si>
    <t>30 INCH COMPUTER MONITORS X 2</t>
  </si>
  <si>
    <t xml:space="preserve">OVERHEAD PROJECTOR </t>
  </si>
  <si>
    <t>PROJECTOR SCREEN</t>
  </si>
  <si>
    <t>PROJECTOR TROLLEY</t>
  </si>
  <si>
    <t>BONDING MACHINE</t>
  </si>
  <si>
    <t>LAMINATING MACHINE</t>
  </si>
  <si>
    <t>LAPTOPS X 4</t>
  </si>
  <si>
    <t>DESKTOP COMPUTER X 4</t>
  </si>
  <si>
    <t>BAR FRIDGE X 2</t>
  </si>
  <si>
    <t>MICROWAVE OVEN</t>
  </si>
  <si>
    <t>MICROWAVE</t>
  </si>
  <si>
    <t>INDUSTRIAL VACUUM CLEANER</t>
  </si>
  <si>
    <t>NEIGHBOURHOOD DEVELOPMENT</t>
  </si>
  <si>
    <t>OTHER COMMUNITY FACILITIES</t>
  </si>
  <si>
    <t>NEIGHBOURHOOD</t>
  </si>
  <si>
    <t>AIRCONDITIONER</t>
  </si>
  <si>
    <t>ADMINISTRATIVE SUPPORT</t>
  </si>
  <si>
    <t>ADDITIONAL CONTROL UNIT FOR 3RD SWITCHBOARD OPERATOR</t>
  </si>
  <si>
    <t>CONTROL UNIT</t>
  </si>
  <si>
    <t>FILLING CABINETS FOR DOCUMENTS AT RECORDS SECTION</t>
  </si>
  <si>
    <t>VIDEO RECORDING SYSTEM FOR COUNCIL CHAMBER AT CIVIC CENTRE &amp; SCREEN FOR PUBLIC</t>
  </si>
  <si>
    <t>VIDEO RECORDING</t>
  </si>
  <si>
    <t>INSTALLATION OF RADIO LINKS AT REGIONAL COMMUNITY CENTRES</t>
  </si>
  <si>
    <t>UPGRADING AND MAINTENANCE OF SWITCHBOARD &amp; COMPLAINT CENTRE</t>
  </si>
  <si>
    <t>FURNITURE FOR OFFICE OF MMC AND PA AT DCSS</t>
  </si>
  <si>
    <t>UPGRADING OF RECEPTION AT ENTRANCE OF MUNICIPAL BUILDING</t>
  </si>
  <si>
    <t>6 X COMPUTERS FOR COMPLAINT CENTRE AT COUNCIL BUILDING</t>
  </si>
  <si>
    <t>5 X COMPUTER FOR OFFICIALS IN ADMIN SUPPORT</t>
  </si>
  <si>
    <t>SCANNER FOR RECORDS SECTION</t>
  </si>
  <si>
    <t>SCANNER</t>
  </si>
  <si>
    <t>CARPETS FOR OFFICE OF MANAGER ADMIN SUPPORT SERVICES</t>
  </si>
  <si>
    <t>PURCHASE AND REPLACEMENT OF DLF 285 NW MAZDA SEDAN</t>
  </si>
  <si>
    <t>PROXIMA FOR ADMINISTRATIVE SUPPORT SERVICES</t>
  </si>
  <si>
    <t>PROXIMA</t>
  </si>
  <si>
    <t>LEGAL AND VALUATIONS</t>
  </si>
  <si>
    <t>REVOLVING OFFICE CHAIR</t>
  </si>
  <si>
    <t>SHREDDER</t>
  </si>
  <si>
    <t xml:space="preserve">HUMAN RESOURCE </t>
  </si>
  <si>
    <t>PURCHASE OF BULK FILERS FOR PERSONNEL &amp; SALARY OFFICE FILES</t>
  </si>
  <si>
    <t>BULK FILERS</t>
  </si>
  <si>
    <t xml:space="preserve">LAPTOP   </t>
  </si>
  <si>
    <t>LAPTOP</t>
  </si>
  <si>
    <t>3 X DESKTOP COMPUTERS</t>
  </si>
  <si>
    <t>FLIPCHART STAND X 5</t>
  </si>
  <si>
    <t>FLIPCHART STAND</t>
  </si>
  <si>
    <t>2 X DESKTOP</t>
  </si>
  <si>
    <t>4 X DRAWER FILING CABINET</t>
  </si>
  <si>
    <t>DRAWER</t>
  </si>
  <si>
    <t>4 X DRAWER TOP RETREIVAL CABINET</t>
  </si>
  <si>
    <t>2 X HIGHBACK OFFICE CHAIRS, 4 X DRAWER STEEL &amp; DESK WITH CORNER LINK</t>
  </si>
  <si>
    <t>CHAIRS &amp; DESK</t>
  </si>
  <si>
    <t>2 X COMPUTER(SALARY OFFICE)</t>
  </si>
  <si>
    <t>3 X AIRCONDITIONERS (1 X STRONGROOM &amp; 2 X OFFICES)</t>
  </si>
  <si>
    <t>AIRCONS</t>
  </si>
  <si>
    <t>BUDGET &amp; TREASURY OFFICE</t>
  </si>
  <si>
    <t>OFFICE OF THE DIRECTOR - DPHS</t>
  </si>
  <si>
    <t>PROJECTOR CEILING MOUNTED WITH SCREEN</t>
  </si>
  <si>
    <t xml:space="preserve">MOTOR VEHICLE  </t>
  </si>
  <si>
    <t>LAPTOP OFFICE OF THE DIRECTOR</t>
  </si>
  <si>
    <t>OFFICE CHAIR</t>
  </si>
  <si>
    <t>DEVELOPMENT PLANNING</t>
  </si>
  <si>
    <t>LAMINATOR</t>
  </si>
  <si>
    <t>FILING CABINET</t>
  </si>
  <si>
    <t>FILING CABINETS</t>
  </si>
  <si>
    <t>BINDER</t>
  </si>
  <si>
    <t>PRINTER</t>
  </si>
  <si>
    <t>INTEGRATED ENVIRONMENTAL MANAGEMENT</t>
  </si>
  <si>
    <t>REPLACEMENT OF OLD UNIT MANAGER'S LAPTOP</t>
  </si>
  <si>
    <t>AIR QUALITY MONITORING FOR REPAIRS AND MAINTENANCE</t>
  </si>
  <si>
    <t>AIR QUALITY MONITORING</t>
  </si>
  <si>
    <t>BUILDING CONTROL</t>
  </si>
  <si>
    <t>MALTA HIGH BACK RANGE CHAIR X 4</t>
  </si>
  <si>
    <t>CHAIR</t>
  </si>
  <si>
    <t>PURCHASE OF WOOD TABLE WITH STEEL LEGS</t>
  </si>
  <si>
    <t>TABLE</t>
  </si>
  <si>
    <t>4 X DRAWER FILING STEEL CABINET</t>
  </si>
  <si>
    <t>2 X MALTA RANGE VISITORS CHAIRS</t>
  </si>
  <si>
    <t>2 WAY WORKSTATION 1600 X 3 DRAWER PEDESTAL</t>
  </si>
  <si>
    <t>WORKSTATION</t>
  </si>
  <si>
    <t>SPECIAL TABLE VENEER AND 2 DRAWER PEDESTAL</t>
  </si>
  <si>
    <t>2 X DESK SHELL 1600 WITH 3 DRAWER FITTED PEDESTAL C/L COMUPTER DESK</t>
  </si>
  <si>
    <t>DESK</t>
  </si>
  <si>
    <t>ALLUMINIUM BLINDS FOR 4 OFFICES</t>
  </si>
  <si>
    <t>ROLLER SHUTTER SYSTEM CABINET</t>
  </si>
  <si>
    <t xml:space="preserve">CABINET    </t>
  </si>
  <si>
    <t>HIGH 4 X 4 HIGH BACK CHAIR</t>
  </si>
  <si>
    <t>DRAUGHTMANS CHAIR X 7 TILT MECHANISM</t>
  </si>
  <si>
    <t>LETTERTRAY WITH 7 DIVISION</t>
  </si>
  <si>
    <t>LETTERTRAY</t>
  </si>
  <si>
    <t>TWO TIER OPEN BOOKCASE</t>
  </si>
  <si>
    <t>BOOKCASE</t>
  </si>
  <si>
    <t>PINNING BOARD 4M X 2M (BLUE)</t>
  </si>
  <si>
    <t>BOARD</t>
  </si>
  <si>
    <t>PIGEON HOLE COUNTER 3200 X 1000</t>
  </si>
  <si>
    <t>COUNTER</t>
  </si>
  <si>
    <t>PEGION HOLE 15CM X 15CM &amp; TWO LAST TWO ROW 30CX20C VENEER 19HX900WX700D</t>
  </si>
  <si>
    <t>VENEER</t>
  </si>
  <si>
    <t>ESTATES</t>
  </si>
  <si>
    <t>LAND ACQUISITION FOR HOUSING DEVELOPMENT</t>
  </si>
  <si>
    <t>LAND &amp; BUILDINGS</t>
  </si>
  <si>
    <t>LAND</t>
  </si>
  <si>
    <t>PURCHASE OF DESKTOP COMPUTER</t>
  </si>
  <si>
    <t>PURCHASE OF CAMERA</t>
  </si>
  <si>
    <t>PURCHASE OF AIRCONDITIONERS</t>
  </si>
  <si>
    <t>HOUSING</t>
  </si>
  <si>
    <t>PURCHASE OF MOTOR VEHICLE</t>
  </si>
  <si>
    <t>BUYING &amp; INSTALLATION OF NEW STOVES</t>
  </si>
  <si>
    <t>TESTING AND LICENSING</t>
  </si>
  <si>
    <t>SHREDDER HEAVY DUTY MACHINE</t>
  </si>
  <si>
    <t>ELECTRONIC TV INFORMATION BOARD</t>
  </si>
  <si>
    <t>DRIVE THRU FACILITIES TO DAY RENEWAL OF VEHICLE LICENSES</t>
  </si>
  <si>
    <t>DRIVE THRU</t>
  </si>
  <si>
    <t>BRAKE ROLLER TESTER WITH AXLE MASS METER AND CABINET X 2 LEGILATION REQUIREMENT</t>
  </si>
  <si>
    <t>BRAKE ROLLER</t>
  </si>
  <si>
    <t>TRAFFIC SERVICES</t>
  </si>
  <si>
    <t>BUS FOR WARRANTS</t>
  </si>
  <si>
    <t>BUS</t>
  </si>
  <si>
    <t>COMPUTERS X 4</t>
  </si>
  <si>
    <t>REPLACEMENT OF OFFICE FURNITURE - SUPRERINTENDENT X 5</t>
  </si>
  <si>
    <t>REPLACEMENT OF OFFICE FURNITURE UNIT MANAGER &amp; CHIEF TRAFFIC OFFICER</t>
  </si>
  <si>
    <t>REPLACE AIRCONDITIONERS - UNIT MANAGER, CHIEF TRAFFIC OFFICER, TRAINING &amp; LOGISTICS</t>
  </si>
  <si>
    <t>ERECTION OF CARPORTS FOR COUNCIL &amp; LEASE VEHICLES</t>
  </si>
  <si>
    <t>CARPORTS</t>
  </si>
  <si>
    <t>REPLACE AIRCONDITIONERS FOR SENIOR SUPT X 3 &amp; SUPT X 4</t>
  </si>
  <si>
    <t>BIOMETRIC READERS - FINGERPRINTING</t>
  </si>
  <si>
    <t>FINGER PRINT MACHINE</t>
  </si>
  <si>
    <t>REPLACE CHAIRS X 10 - ADMINISTRATION SECTION: TRAFFIC FINES</t>
  </si>
  <si>
    <t>REPLACE COMPUTER X 2 - SUPT</t>
  </si>
  <si>
    <t>REPLACE AIRCONDITIONERS FOR 4 OFFICES</t>
  </si>
  <si>
    <t>REPLACE 2 COMPUTERS FOR CLERICAL ASSISTANTS</t>
  </si>
  <si>
    <t>MINI LIGHT STROBE BAR</t>
  </si>
  <si>
    <t>MINI LIGHT</t>
  </si>
  <si>
    <t>HIGH BACK CHAIR</t>
  </si>
  <si>
    <t>REPLACEMENT OF CHAIRS - TRAFFIC SECTION</t>
  </si>
  <si>
    <t>HEAVY DUTY TWO WHEELER</t>
  </si>
  <si>
    <t>REPLACEMENT OF OFFICE FURNITURE FOR SENIOR SUPT X 3</t>
  </si>
  <si>
    <t>EMERGENCY &amp; DISASTER MANAGEMENT</t>
  </si>
  <si>
    <t>BINOCULARS</t>
  </si>
  <si>
    <t>BINOCULARS`</t>
  </si>
  <si>
    <t>FIRE FIGHTING HOSES AND BRANCHES</t>
  </si>
  <si>
    <t>HOSES AND BRANCHES</t>
  </si>
  <si>
    <t>REFURBISHMENT - NISSAN FIRE TRUCK: CLT 414 NW</t>
  </si>
  <si>
    <t>REFURBISHMENT - FORD TRUCK BHM 789 NW</t>
  </si>
  <si>
    <t>CONSTRUCTION OF MATERIAL STORE - FIRE DEPARTMENT</t>
  </si>
  <si>
    <t>PORTABLE B COMPRESSOR MACHINE - MARIKANA</t>
  </si>
  <si>
    <t>COMPRESSOR</t>
  </si>
  <si>
    <t>FIRE SERVICE UTILITY VEHICLE - MARIKANA</t>
  </si>
  <si>
    <t>FIRE SERVICE UTILITY VEHICLE - PHATSIMA</t>
  </si>
  <si>
    <t>EMERGENCY &amp; DISASTER MANAGEMENT PRECINCT ACCESS CONTROL</t>
  </si>
  <si>
    <t>SECURITY CONTROL</t>
  </si>
  <si>
    <t>EXTENSION OF CCTV MONITORING UNIT</t>
  </si>
  <si>
    <t>MONITORING UNIT</t>
  </si>
  <si>
    <t>TWO WAY COMMUNICATIONS RADIOS</t>
  </si>
  <si>
    <t>COMMUNICATION RADIOS</t>
  </si>
  <si>
    <t>TENTS</t>
  </si>
  <si>
    <t>WATER TANKER VEHICLE - PHATSIMA</t>
  </si>
  <si>
    <t>WATER RESCUE BOAT</t>
  </si>
  <si>
    <t>BOAT</t>
  </si>
  <si>
    <t>MOBILE TELESCOPIC MAST LIGHTS</t>
  </si>
  <si>
    <t>MAST LIGHTS</t>
  </si>
  <si>
    <t>RESCUE PUMPER - PHATSIMA</t>
  </si>
  <si>
    <t>PUMPER</t>
  </si>
  <si>
    <t>RESCUE PUMPER - MARIKANA</t>
  </si>
  <si>
    <t>31,32</t>
  </si>
  <si>
    <t>PORTABLE B COMPRESSOR MACHINE - PHATSIMA</t>
  </si>
  <si>
    <t>FIRE FIGHTING HOSES AND BRANCHES - MARIKANA</t>
  </si>
  <si>
    <t>REFURBISHMENT OF FIRE VEHICLE NISSAN FIRE TRUCK CLT 417 NW</t>
  </si>
  <si>
    <t>WATER TANKER VEHICLE - MARIKANA</t>
  </si>
  <si>
    <t>FIRE FIGHTING HOSES AND BRANCHES - PHATSIMA</t>
  </si>
  <si>
    <t>LOCAL ECONOMIC DEVELOPMENT</t>
  </si>
  <si>
    <t xml:space="preserve">LAPTOPS X 2 </t>
  </si>
  <si>
    <t>ROLLER SHUTTER DOOR SYSTEM CUPBOARD</t>
  </si>
  <si>
    <t>CUPBOARD</t>
  </si>
  <si>
    <t>COMMERCIAL PAPER SHREDDER</t>
  </si>
  <si>
    <t>OVAL CONFERENCE TABLE FOR BOARDROOM</t>
  </si>
  <si>
    <t>FLOOR SYSTEM CUPBOARD</t>
  </si>
  <si>
    <t>WALL MOUNTED SCREEN</t>
  </si>
  <si>
    <t>SCREEN</t>
  </si>
  <si>
    <t>CHAIRS FOR ROUNDED TABLES</t>
  </si>
  <si>
    <t>BOARDROOM CHAIRS</t>
  </si>
  <si>
    <t>HIGH BACK CHAIRS X 2</t>
  </si>
  <si>
    <t>REFRIGERATOR</t>
  </si>
  <si>
    <t>MINI SAFE</t>
  </si>
  <si>
    <t>CAR WASH - TLHABANE</t>
  </si>
  <si>
    <t>CAR WASH</t>
  </si>
  <si>
    <t>FLEA MARKET - TSISTSING-TBZ-SUNCITY-PRETORIA JUNCTION</t>
  </si>
  <si>
    <t>FLEA MARKET</t>
  </si>
  <si>
    <t>FLOOR TILES - VISITORS AND INFORMATION CENTRE</t>
  </si>
  <si>
    <t>TILES</t>
  </si>
  <si>
    <t>OFFICE CARPET</t>
  </si>
  <si>
    <t>ROUND TABLE X 2</t>
  </si>
  <si>
    <t>VISITORS CHAIR</t>
  </si>
  <si>
    <t>AMUSEMENT PARK - GEELHOUTPARK EXT 6</t>
  </si>
  <si>
    <t>PARK</t>
  </si>
  <si>
    <t>FLEA MARKET - CBD</t>
  </si>
  <si>
    <t>HAWKERS STALLS</t>
  </si>
  <si>
    <t>TRELLING DOORS</t>
  </si>
  <si>
    <t>DOORS</t>
  </si>
  <si>
    <t>OFFICE OF THE DIRECTOR - COMMUNITY DEVELOPMENT</t>
  </si>
  <si>
    <t>PURCHASE OF 15 SEATER QUANTUM</t>
  </si>
  <si>
    <t>SPORTS FACILITIES</t>
  </si>
  <si>
    <t>FENCING OF RUSTENBURG EAST SPORTS COMPLEX</t>
  </si>
  <si>
    <t>CONSTRUCTION OF COMBI COURTS AT KARLIEN PARK SPORTS GROUNDS</t>
  </si>
  <si>
    <t>COMBI COURTS</t>
  </si>
  <si>
    <t>GREENYING OF SPORTS FIELD AT KARLIEN PARK FACILITY</t>
  </si>
  <si>
    <t>GREENYING</t>
  </si>
  <si>
    <t>PURCHASE OF A TRIALER</t>
  </si>
  <si>
    <t>TRAILER</t>
  </si>
  <si>
    <t>UPGRADE OF OLD SOCCER GROUNDS AT OOM PAUL SCHOOL</t>
  </si>
  <si>
    <t>GROUNDS</t>
  </si>
  <si>
    <t>CONSTRUCTION OF SOCCER FIELD AT OLYMPIA PARK STADIUM</t>
  </si>
  <si>
    <t>CONSTRUCTION OF CHANGE ROOMS AT KARLIEN PARK SPORTS FACILITY</t>
  </si>
  <si>
    <t>CHANGE ROOMS</t>
  </si>
  <si>
    <t>CONSTRUCTION OF CHANGE ROOMS AT ZINNIAVILLE SPORTS FACILITY</t>
  </si>
  <si>
    <t>COMMUNITY HALLS</t>
  </si>
  <si>
    <t>UPHOLSTER CHAIRS IN CIVIC CENTRE, MAIN AND BAR</t>
  </si>
  <si>
    <t>UPHOLSTER CHAIRS</t>
  </si>
  <si>
    <t>INSTALLATION OF PALISADE FENCE AT MAKOLOKWE HALL</t>
  </si>
  <si>
    <t>PURCHASE OF BAKKIE WITH CANOPY FOR COMMUNITY HALLS</t>
  </si>
  <si>
    <t>PURCHASE AND INSTALL INFORMATION SIGN BOARDS AT CIVIC CENTRE AND COMMUNITY HALLS</t>
  </si>
  <si>
    <t>SIGN BOARDS</t>
  </si>
  <si>
    <t>INSTALLATION OF PALISADE FENCE AT BEN MARAIS HALL</t>
  </si>
  <si>
    <t>PURCHASE OF APPLIANCES FOR CIVIC CENTRE AND COMMUNITY HALLS</t>
  </si>
  <si>
    <t>APPLIANCES</t>
  </si>
  <si>
    <t>REFURBISHMENT OF CIVIC CENTRE HALLS</t>
  </si>
  <si>
    <t>REFURBISHMENT OF HALLS</t>
  </si>
  <si>
    <t>UPGRADING OF B TAUSE HALL</t>
  </si>
  <si>
    <t>UPGRADING OF ZINNIAVILLE HALL</t>
  </si>
  <si>
    <t>PURCHASE OF OFFICE COMPUTERS AND EQUIPMENT</t>
  </si>
  <si>
    <t>COMPUTER EQUIPEMENT</t>
  </si>
  <si>
    <t>UPGRADING OF HARRY WULFSE HALL AT MARAIS SWIMMING POOL</t>
  </si>
  <si>
    <t>INSTALLATION OF PALISADE FENCE AT CIVIC CENTRE</t>
  </si>
  <si>
    <t>PURCHASE FURNITURE FOR CIVIC CENTRE AND COMMUNITY HALL</t>
  </si>
  <si>
    <t>INSTALLATION OF AIRCONDITIONERS IN COMMUNITY HALLS</t>
  </si>
  <si>
    <t>PURCHASE NEW BAKKIE FOR COMMUNITY HALLS</t>
  </si>
  <si>
    <t>CONSTRUCTION OF ABLUTION BLOCK AT KARLIENPARK</t>
  </si>
  <si>
    <t>ABLUTION BLOCK</t>
  </si>
  <si>
    <t>SWIMMING POOLS</t>
  </si>
  <si>
    <t>UPGRADING OFFICE BLOCK AND CHANGE ROOMS AT MARAIS STREET SWIMMING POOL</t>
  </si>
  <si>
    <t>CHANGE ROOMS AND OFFICE BLOCK</t>
  </si>
  <si>
    <t>PURCHASE NEW CIRCULATION MOTOR PUMP</t>
  </si>
  <si>
    <t>GREENYING OF MONNAKATO SWIMMING POOL</t>
  </si>
  <si>
    <t>PURCHASE OF BLOWER MACHINE</t>
  </si>
  <si>
    <t>BLOWER MACHINE</t>
  </si>
  <si>
    <t>PURCHASE OF 2 X DIESEL WATER PUMPS</t>
  </si>
  <si>
    <t>WATER PUMPS</t>
  </si>
  <si>
    <t>CONSTRUCTION OF SWIMMING POOL AT MIDDLE STREET SWIMMING POOL</t>
  </si>
  <si>
    <t>SWIMMING POOL</t>
  </si>
  <si>
    <t>PURCHASE OF HUSQUAVARNA LAWN MOWER</t>
  </si>
  <si>
    <t>LAWN MOWER</t>
  </si>
  <si>
    <t>PARKS AND OPEN SPACE</t>
  </si>
  <si>
    <t>PURCHASE MINI BUS FOR TRANSPORTING EMPLOYEES</t>
  </si>
  <si>
    <t>MINI BUS</t>
  </si>
  <si>
    <t>PURCHASE OF SINGLE CAB BAKKIE</t>
  </si>
  <si>
    <t>BAKKIE</t>
  </si>
  <si>
    <t>REPLACE WALK BEHIND MOWERS FOR PARKS</t>
  </si>
  <si>
    <t>MOWERS</t>
  </si>
  <si>
    <t>CEMETRIES</t>
  </si>
  <si>
    <t>DRILLING OF BOREHOLE AT RIETVLEI CEMETERY</t>
  </si>
  <si>
    <t>BOREHOLE</t>
  </si>
  <si>
    <t>CEMENT CURBS</t>
  </si>
  <si>
    <t>PURCHASE, TRACTOR AND SLASHER</t>
  </si>
  <si>
    <t>TRACTOR AND SLASHER</t>
  </si>
  <si>
    <t>CLINIC SERVICES</t>
  </si>
  <si>
    <t>REPLACEMENT OF MOBILE CLINIC NISSAN 1 TON BAKKIE - DMF 698 NW</t>
  </si>
  <si>
    <t>REPLACEMENT OF WASHING MACHINE FOR BOITEKONG AND KARLIENPARK</t>
  </si>
  <si>
    <t>WASHING MACHINE</t>
  </si>
  <si>
    <t>REPLACEMENT OF AIRCONDTIONERS AT BOITEKONG AND KARLIEPARK CLINIC</t>
  </si>
  <si>
    <t>REPLACEMENT OF MICROWAVE AT ANNA LEGOALE,SUNRISE PARK &amp; KARLIENPARK CLINIC</t>
  </si>
  <si>
    <t>REPLACEMENT OF WASHING DRYER AT BOITEKONG AND KARLIENPARK CLINIC</t>
  </si>
  <si>
    <t>WASHING DRYER</t>
  </si>
  <si>
    <t>REPLACEMENT OF COMPUTER AT KARLIENPARK CLINIC</t>
  </si>
  <si>
    <t>REPLACEMENT OF BLINDS AT SUNRISE PARK CLINIC</t>
  </si>
  <si>
    <t>REPLACEMENT OF OFFICE FURNITURE</t>
  </si>
  <si>
    <t>12,22</t>
  </si>
  <si>
    <t>PATIENTS TOILETS AT KARLIENPARK CLINIC</t>
  </si>
  <si>
    <t>TOILETS</t>
  </si>
  <si>
    <t>LAMINATING MACHINE FOR CLINICS</t>
  </si>
  <si>
    <t>CONSTRUCTION OF TB ROOM,COUNSELLING ROOM,STORE ROOM,MANAGER'S OFFICE &amp; ANTIRETROVIRAL TREATMENT ROOM</t>
  </si>
  <si>
    <t>REPLACEMENT OF MOBILE CLINIC EVECO MERCEDES BENZ - FLJ 001 NW</t>
  </si>
  <si>
    <t>20,21</t>
  </si>
  <si>
    <t>LIBRARY AND INFORMATION SERVICES</t>
  </si>
  <si>
    <t>LAMINATING MACHINE - MAIN LIBRARY</t>
  </si>
  <si>
    <t>AUTO SCRIBBER - MAIN LIBRARY</t>
  </si>
  <si>
    <t>SCRIBBER</t>
  </si>
  <si>
    <t>OFFICE CHAIRS - MAIN LIBRARY</t>
  </si>
  <si>
    <t>CHILDRENS FURNITURE - MAIN LIBRARY</t>
  </si>
  <si>
    <t>PURCHASE OF 16 SEATER KOMBI - LIBRARY UNIT</t>
  </si>
  <si>
    <t>KOMBI</t>
  </si>
  <si>
    <t>STUDY AND REFERENCE BOOKS - EAST END LIBRARY</t>
  </si>
  <si>
    <t>STUDY &amp; REFERENCE</t>
  </si>
  <si>
    <t>STUDY AND REFERENCE BOOKS - MATHOPESTAD INFO HUB</t>
  </si>
  <si>
    <t>STUDY AND REFERENCE BOOKS - MARIKANA LIBRARY</t>
  </si>
  <si>
    <t>STUDY AND REFERENCE BOOKS - BERSEBA INFO HUB</t>
  </si>
  <si>
    <t>STUDY AND REFERENCE BOOKS - LETHABONG INFO HUB</t>
  </si>
  <si>
    <t>STUDY AND REFERENCE BOOKS - MAMEROTSE INFO HUB</t>
  </si>
  <si>
    <t>STUDY AND REFERENCE BOOKS - MONNAKATO LIBRARY</t>
  </si>
  <si>
    <t>STUDY AND REFERENCE BOOKS - BOITEKONG LIBRARY</t>
  </si>
  <si>
    <t>STUDY AND REFERENCE BOOKS - MAIN LIBRARY</t>
  </si>
  <si>
    <t>STUDY AND REFERENCE BOOKS - KARLIENPARK LIBRARY</t>
  </si>
  <si>
    <t>STUDY AND REFERENCE BOOKS - TLHABANE LIBRARY</t>
  </si>
  <si>
    <t>STUDY AND REFERENCE BOOKS - CHARORA INFO HUB</t>
  </si>
  <si>
    <t>STUDY AND REFERENCE BOOKS - PHATSIMA LIBRARY</t>
  </si>
  <si>
    <t>PAVING - EAST END LIBRARY</t>
  </si>
  <si>
    <t>CARPET - EAST END LIBRARY</t>
  </si>
  <si>
    <t>WHITE BOARD - EAST END LIBRARY</t>
  </si>
  <si>
    <t>SECURITY GATE - MARIKANA LIBRARY</t>
  </si>
  <si>
    <t>GATE</t>
  </si>
  <si>
    <t>LAMINATING MACHINES - MARIKANA LIBRARY</t>
  </si>
  <si>
    <t>SHELVES - CHARORA INFO HUB</t>
  </si>
  <si>
    <t>SHELVES</t>
  </si>
  <si>
    <t>LAMINATING MACHINE - CHARORA INFO HUB</t>
  </si>
  <si>
    <t>BLINDS - MAMEROTSE INFO HUB</t>
  </si>
  <si>
    <t>STUDY CHAIRS - BOITEKONG LIBRARY</t>
  </si>
  <si>
    <t>STRIPPING MACHINE - BOITEKONG LIBRARY</t>
  </si>
  <si>
    <t>STRIPPING MACHINE</t>
  </si>
  <si>
    <t>VACUUM CLEANER - KARLIENPARK</t>
  </si>
  <si>
    <t>LOCKABLE COMPUTER CABINETS - TLHABANE LIBRARY</t>
  </si>
  <si>
    <t>CABINET</t>
  </si>
  <si>
    <t>BLINDS - MONNAKATO LIBRARY</t>
  </si>
  <si>
    <t>FOLDABLE CHAIRS - MOBILE LIBRARY</t>
  </si>
  <si>
    <t>FOLDABLE CHAIRS</t>
  </si>
  <si>
    <t>BOOK CADDIE - MAIN LIBRARY</t>
  </si>
  <si>
    <t>BOOK CADDIE</t>
  </si>
  <si>
    <t>TABLE - MOBILE LIBRARY</t>
  </si>
  <si>
    <t>GAZEBOS</t>
  </si>
  <si>
    <t>CHAIRS FOR NEWSPAPER AREA - MAIN LIBRARY</t>
  </si>
  <si>
    <t>BOOK DISPLAY UNIT - EAST END LIBRARY</t>
  </si>
  <si>
    <t>BOOK DISPLAY UNIT</t>
  </si>
  <si>
    <t>RADIO / CD PLAYER - EAST END LIBRARY</t>
  </si>
  <si>
    <t>RADIO / CD PLAYER</t>
  </si>
  <si>
    <t>LOCKABLE GLASS CABINET - EAST END LIBRARY</t>
  </si>
  <si>
    <t>GLASS CABINET</t>
  </si>
  <si>
    <t>COUNTERS - MARIKANA LIBRARY</t>
  </si>
  <si>
    <t>COMPUTER CABINETS - BOITEKONG LIBRARY</t>
  </si>
  <si>
    <t>CABINETS</t>
  </si>
  <si>
    <t>BOOK DISPLAY UNIT - BOITEKONG LIBRARY</t>
  </si>
  <si>
    <t>DISPLAY UNIT</t>
  </si>
  <si>
    <t>STUDY CARRELS - BOITEKONG LIBRARY</t>
  </si>
  <si>
    <t>CARRELS</t>
  </si>
  <si>
    <t>STUDY TABLES - BOITEKONG LIBRARY</t>
  </si>
  <si>
    <t>LOCKABLE GLASS CABINET - BOITEKONG LIBRARY</t>
  </si>
  <si>
    <t>CD SHELF - KARLIENPARK LIBRARY</t>
  </si>
  <si>
    <t>CD SHELF</t>
  </si>
  <si>
    <t>BOOK DISPLAY UNIT - TLHABANE</t>
  </si>
  <si>
    <t>COMPUTERS - ALL LIBRARIES</t>
  </si>
  <si>
    <t>MICROWAVE OVEN - EAST END LIBRARY</t>
  </si>
  <si>
    <t>SHELVES - EAST END LIBRARY</t>
  </si>
  <si>
    <t>LAMINATING MACHINE - MATHOPESTAD INFO HUB</t>
  </si>
  <si>
    <t>JOLLY CHAIRS - MARIKNA LIBRARY</t>
  </si>
  <si>
    <t>JOLLY TABLES - MARIKANA LIBRARY</t>
  </si>
  <si>
    <t>PARCEL LOCKERS - MARIKANA LIBRARY</t>
  </si>
  <si>
    <t>PARCEL LOCKERS - MONNAKATO LIBRARY</t>
  </si>
  <si>
    <t>POSTER STAND - MAIN LIBRARY</t>
  </si>
  <si>
    <t>STAND</t>
  </si>
  <si>
    <t>OFFICE CHAIRS - MARIKANA LIBRARY</t>
  </si>
  <si>
    <t>SHELVES - BERSEBA ONFO HUB</t>
  </si>
  <si>
    <t>DOOR MAT - CHARORA INFO HUB</t>
  </si>
  <si>
    <t>MAT</t>
  </si>
  <si>
    <t>BOOK TROLLEY - CHARORA INFO HUB</t>
  </si>
  <si>
    <t>TROLLEY</t>
  </si>
  <si>
    <t>SHELVES - LETHABONG LIBRARY</t>
  </si>
  <si>
    <t>SHELTER - MAMEROTSE INFO HUB</t>
  </si>
  <si>
    <t>WATER COOLERS - MAMEROTSE INFO HUB</t>
  </si>
  <si>
    <t>WATER COOLERS - BOITEKONG LIBRA\RY</t>
  </si>
  <si>
    <t>STRIPPING MACHINE - KARLIENPARK LIBRARY</t>
  </si>
  <si>
    <t>STUDY CHAIRS - TLHABANE LIBRARY</t>
  </si>
  <si>
    <t>STUDY TABLES - TLHABANE LIBRARY</t>
  </si>
  <si>
    <t>LAMINATING MACHINE - TLHABANE LIBRARY</t>
  </si>
  <si>
    <t>WATER COOLERS - TLHABANE LIBRARY</t>
  </si>
  <si>
    <t>LAMINATING MACHINE - MONNAKATO LIBRARY</t>
  </si>
  <si>
    <t>WATER SERVICES</t>
  </si>
  <si>
    <t>INSTALLATION OF PREPAID / SMART METRES</t>
  </si>
  <si>
    <t>LETHABONG EXT. - WATER RETICULATION</t>
  </si>
  <si>
    <t xml:space="preserve">BOITEKONG EXT 16 </t>
  </si>
  <si>
    <t xml:space="preserve">GEELHOUTPARK EXT 10 </t>
  </si>
  <si>
    <t>CBD - REFURBISHMENT OF WATER RETICULATION SYSTEM</t>
  </si>
  <si>
    <t>14,18</t>
  </si>
  <si>
    <t>CCTV CAMERA SYSTEM - PIPELINE INSPECTION</t>
  </si>
  <si>
    <t>CCTV CAMERA</t>
  </si>
  <si>
    <t>CONSTRUCTION OF ACCESS ROAD TO RESERVOIRS</t>
  </si>
  <si>
    <t>HIGH DENSITY CABINETS X 2</t>
  </si>
  <si>
    <t>INFORMAL SETTLEMENTS - INSTALLATION OF 10KL TANKS</t>
  </si>
  <si>
    <t>OFFICE FURNITURE - CHAIRS,DESKS,CABINETS &amp; HIGH DENSITY CABINETS</t>
  </si>
  <si>
    <t>REPEATER FOR TWO WAY RADIOS</t>
  </si>
  <si>
    <t>RESERVOIR - MODIFICATION OF OUTLET AND INLET</t>
  </si>
  <si>
    <t>TLHABANE WEST - REFURBISH RESERVOIR</t>
  </si>
  <si>
    <t>TLHABANE WEST UPPER - CONSTRUCTION OF BOOSTER PUMPSTATION AND PRESSURE TANK</t>
  </si>
  <si>
    <t xml:space="preserve">TWO WAY RADIOS - HAND HELD    </t>
  </si>
  <si>
    <t>UPGRADING OF PUMPSTATIONS</t>
  </si>
  <si>
    <t>UPGRADING OF VALVE CHAMBERS</t>
  </si>
  <si>
    <t>LEAK DETECTION EQUIPMENT</t>
  </si>
  <si>
    <t>LEAK DETECTION EQUIP</t>
  </si>
  <si>
    <t>CBD - UPGRADING OF WATER METRES AND AGED CONNECTIONS</t>
  </si>
  <si>
    <t>GEELHOUTPARK EXT 10 - WATER SUPPLY</t>
  </si>
  <si>
    <t>BOSCHDAL WATER SUPPLY</t>
  </si>
  <si>
    <t>BOSPOORT - UPGRADING OF PIPELINE</t>
  </si>
  <si>
    <t>BOSPOORT WTW - UPGRADING OF 12M/L DAY</t>
  </si>
  <si>
    <t>MONNAKATO - REPLACEMENT OF AC PIPES</t>
  </si>
  <si>
    <t>RAND WATER - SOUTH RESERVOIR LINK LINE</t>
  </si>
  <si>
    <t>BOONS - WATER SUPPLY</t>
  </si>
  <si>
    <t>BOOSTER OFFICES FOR WATER AND SANITATION</t>
  </si>
  <si>
    <t>BOSCHFONTEIN - WATER SUPPLY</t>
  </si>
  <si>
    <t>BOKAMOSO WATER RETICULATION</t>
  </si>
  <si>
    <t>CHACHALAZA WATER SUPPLY</t>
  </si>
  <si>
    <t>FREEDOM PARK - RESERVOIR AND YARD CONNECTIONS</t>
  </si>
  <si>
    <t>KOPMAN - INSTALLATION OF WATER SYSTEM</t>
  </si>
  <si>
    <t>MATHOPESTAD - WATER SUPPLY</t>
  </si>
  <si>
    <t>MERITING - WATER SUPPLY AND YARD CONNECTIONS</t>
  </si>
  <si>
    <t>MOSHONKOVILLE - WATER SUPPLY</t>
  </si>
  <si>
    <t>RANKELENYANE AND LEKOJANENG - COMPLETION OF WATER SUPPLY</t>
  </si>
  <si>
    <t>ROBEGA - CONSTRUCTION OF STORAGE RESERVOIR</t>
  </si>
  <si>
    <t>SYFERBULT - WATER SUPPLY</t>
  </si>
  <si>
    <t>CHANENG - CONSTRUCTION OF WATER SUPPLY SYSTEM</t>
  </si>
  <si>
    <t>ROBEGA - CONSTRUCTION OF WATER SUPPLY SYSTEM PHASE 3</t>
  </si>
  <si>
    <t>LETLHAKWANENG - CONSTRUCTION OF YARD CONNECTIONS</t>
  </si>
  <si>
    <t>PAARDEKRAAL  - WATER SUPPLY AND CONNECTION</t>
  </si>
  <si>
    <t>POPO MOLEFE - CONSTRUCTION OF WATER SUPPLY SYSTEM</t>
  </si>
  <si>
    <t>LEKGALONG - RESERVOIR REGIONAL</t>
  </si>
  <si>
    <t>26,29</t>
  </si>
  <si>
    <t>MAKOLOKWE - BULK WATER SUPPLY AND YARD CONNECTIONS PHASE 2</t>
  </si>
  <si>
    <t>IKAGENG - INSTALLATION OF WATER SUPPLY AND YARD CONNECTIONS</t>
  </si>
  <si>
    <t>MARIKANA AND SURROUNDING AREAS - CONSTUCTION OF WATER SUPPLY</t>
  </si>
  <si>
    <t>PHOTSANENG - COMPLETION OF WATER SUPPLY AND YARD CONNECTIONS</t>
  </si>
  <si>
    <t>INSTALLATION OF RUSTENBURG EXT 26 YARD CONNECTIONS &amp; RETICULATION</t>
  </si>
  <si>
    <t>BETHANIE,MODIKOE &amp; BERSEBA - COMPLETION OF WATER SUPPLY</t>
  </si>
  <si>
    <t>CBD  - REFURBISHMENT OF WATER RETICULATION SYSTEM</t>
  </si>
  <si>
    <t>CBD AND SURROUNDING AREAS - REPLACEMENT OF AC PIPES</t>
  </si>
  <si>
    <t>14,15,16,17</t>
  </si>
  <si>
    <t>FREEDOM PARK - ANALYSIS, TESTING AND MODIFICATION OF WATER NETWORK</t>
  </si>
  <si>
    <t>IKAGENG - UPGRADING OF BULK LINE</t>
  </si>
  <si>
    <t>LEKGALONG - UPGRADING OF WATER SUPPLY AND YARD CONNECTIONS</t>
  </si>
  <si>
    <t>LETHABONG - UPGRADING OF AC PIPES</t>
  </si>
  <si>
    <t>INSTALLATION OF WATER SUPPLY AND YARD CONNECTIONS</t>
  </si>
  <si>
    <t>OLD WORKS - REPLACEMENT OF STEEL PIPE: BULK LINE</t>
  </si>
  <si>
    <t>REPLACEMENT OF METRES</t>
  </si>
  <si>
    <t>RUSTENBURG EXT 26 - INSTALLATION OF WATER YARD CONNECTIONS AND RETICULATION PHASE 2</t>
  </si>
  <si>
    <t>SERALENG AND SONDELA - ANALYSIS, TESTING AND MODIFICATION OF WATER NETWORK</t>
  </si>
  <si>
    <t>TIERKLOOF - UPGRADING OF PIPELINE</t>
  </si>
  <si>
    <t>15,17</t>
  </si>
  <si>
    <t>TLHABANE - REPLACEMENT OF AC PIPES</t>
  </si>
  <si>
    <t>UPGRADING OF TELEMETRY SYSTEM</t>
  </si>
  <si>
    <t>NKANENG - BULK WATER SUPPLY AND NETWORK FOR FORMALISED TOWNSHIP</t>
  </si>
  <si>
    <t>ZAKHELE - CONSTRUCTION OF BULK WATER SUPPLY AND NETWORK FOR FORMALISED TOWNSHIP</t>
  </si>
  <si>
    <t>BREETSVLEI - WATER SUPPLY</t>
  </si>
  <si>
    <t>MAANHAARRAND - WATER SUPPLY</t>
  </si>
  <si>
    <t>MOLOTO CITY - WATER SUPPLY</t>
  </si>
  <si>
    <t>NAAUWPOORT - WATER SUPPLY (FORMALISED TOWNSHIP)</t>
  </si>
  <si>
    <t>BAKWENA - BULK WATER SCHEME</t>
  </si>
  <si>
    <t>36,33,34,14,15,16</t>
  </si>
  <si>
    <t>BAKWENA, MATHOPESTAD &amp; MOLOTE CITY - CONSTRUCTION OF BULK LINE</t>
  </si>
  <si>
    <t>PILANESBERG - BULK WATER SCHEME</t>
  </si>
  <si>
    <t>2,24,25,17</t>
  </si>
  <si>
    <t>ELECTRICITY ENGINEERING SERVICES</t>
  </si>
  <si>
    <t>RUSTENBURG INTERNAL UPGRADING</t>
  </si>
  <si>
    <t>13,14,15</t>
  </si>
  <si>
    <t>BOITEKONG EXT 16 - ELECTRICITY CONNECTION</t>
  </si>
  <si>
    <t>GEELHOUTPARK EXT 8 - ELECTRICITY CONNECTION</t>
  </si>
  <si>
    <t>CASHAN EXT 28 - ELECTRICITY CONNECTION</t>
  </si>
  <si>
    <t>400MM CABLE FROM NOORD SUBSTATION TO MIDDELSTREET</t>
  </si>
  <si>
    <t>RURAL - REPLACE DECAYED WOODEN POLES</t>
  </si>
  <si>
    <t>H/T CABLE IMPALA LAB TO ROPEC SUBSTATION</t>
  </si>
  <si>
    <t>RURAL - EMERGENCY UPGRADING</t>
  </si>
  <si>
    <t>RUSTENBURG EXT 12 - DISTRIBUTION BOXES</t>
  </si>
  <si>
    <t>RUSTENBURG EXT 9 - DISTRIBUTION BOXES</t>
  </si>
  <si>
    <t>BOITEKONG - HOUSE CONNECTIONS</t>
  </si>
  <si>
    <t>19,20,21,22</t>
  </si>
  <si>
    <t>PROTECTION RELAYS</t>
  </si>
  <si>
    <t>NEW DEVELOPMENTS - BULK LINKAGES</t>
  </si>
  <si>
    <t>LAPTOP COMPUTERS X 4</t>
  </si>
  <si>
    <t>CONTROL RELAYS</t>
  </si>
  <si>
    <t>PALISADE FENCING - SUBSTATIONS</t>
  </si>
  <si>
    <t>LED SIGNAL HEADS</t>
  </si>
  <si>
    <t>REPLACEMENT OF RADIOS - ELECTRICAL</t>
  </si>
  <si>
    <t>RADIOS</t>
  </si>
  <si>
    <t>ROBOT PLC CONTROLLERS EQUIPMENT</t>
  </si>
  <si>
    <t>ROBOT CONTROL EQUIPMENT</t>
  </si>
  <si>
    <t>ELECTRICITY CONNECTIONS - RUSTENBURG AREAS</t>
  </si>
  <si>
    <t>MOTOR CITY 33/11kV SUBSTATION BUILDING AND EQUIPMENT</t>
  </si>
  <si>
    <t>HAND TOOLS</t>
  </si>
  <si>
    <t>HV TESTING EQUIPMENT</t>
  </si>
  <si>
    <t>HV TESTER</t>
  </si>
  <si>
    <t>PRE-PAID AUTOMATIC VENDING MACHINE EQUIPMENT</t>
  </si>
  <si>
    <t>RELOCATE 10 MVA 33/11 KV TRANSFORMERS</t>
  </si>
  <si>
    <t>REPLACEMENT OF MICROWAVE OVEN</t>
  </si>
  <si>
    <t>CHRISTIE DE WILT SUBSTATION</t>
  </si>
  <si>
    <t>UNICORN SUBSTATION - 11KV SWITCHGEAR AND EQUIPMENT</t>
  </si>
  <si>
    <t>TAMBOTI SUBSTATION - 11KV SWITCHGEAR AND EQUIPMENT</t>
  </si>
  <si>
    <t>SAFARITIUNE SUBSTATION - 11KV SWITCHGEAR AND EQUIPMENT</t>
  </si>
  <si>
    <t>REFURBISHMENT OF J&amp;P SWITCHGEAR PANELS</t>
  </si>
  <si>
    <t>HI FI CORPORATION 33/11 KV SUBSTATION BUILDING AND EQUIPMENT</t>
  </si>
  <si>
    <t>WATERKLOOF SUBSTATION EQUIPMENT</t>
  </si>
  <si>
    <t>IKEMELENG - BULK LINE</t>
  </si>
  <si>
    <t>IKEMELENG - HOUSE CONNECTIONS</t>
  </si>
  <si>
    <t>WATERKLOOF SUBSTATION ESKOM 88KV EQUIPMENT</t>
  </si>
  <si>
    <t>20MVA 33/11KV TRANSFORMERS</t>
  </si>
  <si>
    <t>ROADS AND STORMWATER</t>
  </si>
  <si>
    <t>REHABILITATION OF DORPSPRUIT</t>
  </si>
  <si>
    <t>LETHABONG EXT. - ROADS AND STORMWATER</t>
  </si>
  <si>
    <t>BOITEKONG EXT 8 - ROADS AND STORMWATER</t>
  </si>
  <si>
    <t>BOITEKONG EXT 16 - ROADS AND STORMWATER</t>
  </si>
  <si>
    <t>GEELHOUTPARK EXT 10 - BELLEVUE</t>
  </si>
  <si>
    <t>GEELHOUTPARK EXT 8 - ROADS AND STORMWATER</t>
  </si>
  <si>
    <t>ROADS AND STORMWATER - WARDS 2,4,5,6,7,23,26</t>
  </si>
  <si>
    <t>2,4,5,6,7,23,26</t>
  </si>
  <si>
    <t>TLHABANE - CONSTRUCTION OF SIDEWALKS</t>
  </si>
  <si>
    <t>WARD 8 - CONSTRUCTION OF SIDEWALKS</t>
  </si>
  <si>
    <t>WARD 13 - CONSTRUCTION OF SIDEWALKS</t>
  </si>
  <si>
    <t>MATHOPESTAD - ROADS AND STORMWATER</t>
  </si>
  <si>
    <t>SYFERBULT - ROADS AND STORMWATER</t>
  </si>
  <si>
    <t>MOLOTE CITY - ROADS AND STORMWATER</t>
  </si>
  <si>
    <t>MOGONO / LUKA - ROADS AND STORMWATER</t>
  </si>
  <si>
    <t>BULK ROAD - WATERKLOOF EAST EXT 13</t>
  </si>
  <si>
    <t>BULK ROAD - WATERKLOOF EAST EXT 14</t>
  </si>
  <si>
    <t>BULK ROAD - WATERKLOOF EAST EXT 39</t>
  </si>
  <si>
    <t>BULK ROAD - WATERKLOOF EAST EXT 8</t>
  </si>
  <si>
    <t>17,35</t>
  </si>
  <si>
    <t>MERITING - ROADS AND STORMWATER</t>
  </si>
  <si>
    <t>BOITEKONG - ROADS AND STORMWATER - WARD 19</t>
  </si>
  <si>
    <t>BOITEKONG - ROADS AND STORMWATER - WARD 20</t>
  </si>
  <si>
    <t>BOITEKONG - ROADS AND STORMWATER - WARD 21</t>
  </si>
  <si>
    <t>BOITEKONG - ROADS AND STORMWATER - WARD 22</t>
  </si>
  <si>
    <t>MONNAKATO - ROADS AND STORMWATER</t>
  </si>
  <si>
    <t>LETHABONG - ROADS AND STORMWATER - WARD 27</t>
  </si>
  <si>
    <t>LETHABONG - ROADS AND STORMWATER - WARD 28</t>
  </si>
  <si>
    <t>RUSTENBURG EXT 26 - STORMWATER MANAGEMENT</t>
  </si>
  <si>
    <t>ROADS - WARD 31</t>
  </si>
  <si>
    <t>BETHANIE,MODIKOE &amp; BERSEBA - ROADS AND STORMWATER</t>
  </si>
  <si>
    <t>IKAGENG - ROADS AND STORMWATER</t>
  </si>
  <si>
    <t>MAKOLOKWE - ROADS AND STORMWATER</t>
  </si>
  <si>
    <t>SERALENG / SONDELA - ROADS AND STORMWATER</t>
  </si>
  <si>
    <t>LEFARAGATLHA / BOBUANTJA - ROADS AND STORMWATER</t>
  </si>
  <si>
    <t>BOKAMOSO - ROADS AND STORMWATER</t>
  </si>
  <si>
    <t>KOPMAN - ROADS</t>
  </si>
  <si>
    <t>FREEDOMPARK - ROADS AND STORMWATER</t>
  </si>
  <si>
    <t>ROBEGA - ROADS AND STORMWATER</t>
  </si>
  <si>
    <t>KANANA / SERUTUBE - ROADS AND STORMWATER</t>
  </si>
  <si>
    <t>MAFENYA/RASIMONE/CHANENG - ROADS AND STORMWATER</t>
  </si>
  <si>
    <t>TSITSING/TLASENG - ROADS AND STORMWATER</t>
  </si>
  <si>
    <t>MOTSILE/TANTANANA - ROADS AND STORMWATER</t>
  </si>
  <si>
    <t>PHATSIMA - ROADS AND STORMWATER PHASE 2</t>
  </si>
  <si>
    <t>MARIKANA - ROADS AND STORMWATER</t>
  </si>
  <si>
    <t>MARAKANA/MOSENTHAL - ROADS AND STORMWATER</t>
  </si>
  <si>
    <t>MAUMONG/TLAPA - ROADS AND STORMWATER</t>
  </si>
  <si>
    <t>LETHABONG EXT. - SEWER RETICULATION</t>
  </si>
  <si>
    <t>BOITEKONG EXT 8</t>
  </si>
  <si>
    <t>BOITEKONG EXT 16</t>
  </si>
  <si>
    <t xml:space="preserve">GEELHOUTPARK EXT 8  </t>
  </si>
  <si>
    <t>MOBILE OFFICES AND ABLUTION FACILITIES</t>
  </si>
  <si>
    <t>GEELHOUTPARK EXT 10 - SEWER RETICULATION SYSTEM AND OUTFALL SEWER</t>
  </si>
  <si>
    <t>GEELHOUTPARK EXT 8 - SEWER RETICULATION SYSTEM AND OUTFALL SEWER</t>
  </si>
  <si>
    <t>BOITEKONG - UPGRADING OF WWTW</t>
  </si>
  <si>
    <t>19,23</t>
  </si>
  <si>
    <t>MONNAKATO - UPGRADING OF WWTW</t>
  </si>
  <si>
    <t>DELTA AREA - INSTALLATION OF OUTFALL SEWER LINES</t>
  </si>
  <si>
    <t>RUSTENBURG WWTW - UPGRADING</t>
  </si>
  <si>
    <t>BOITEKONG EXT 16 - SEWER RETICULATION SYSTEM</t>
  </si>
  <si>
    <t>BOSCHFONTEIN - SANITATION</t>
  </si>
  <si>
    <t>BOKAMOSO - OUTFALL SEWER</t>
  </si>
  <si>
    <t>CHACHALAZA - SEWER SYSTEM</t>
  </si>
  <si>
    <t>IKAGENG - COMPLETION OF VIP TOILETS PHASE 3</t>
  </si>
  <si>
    <t>LETHABONG - INTERNAL SEWER RETICULATION AND TOILET STRUCTURES</t>
  </si>
  <si>
    <t>MARIKANA - VIP TOILETS</t>
  </si>
  <si>
    <t>MAUMONG - VIP TOILETS PHASE 2</t>
  </si>
  <si>
    <t>MONNAKATO EXT 4 - INSTALLATION OF OUTFALL SEWER LINE AND RETICULATION</t>
  </si>
  <si>
    <t>PHATSIMA - CONSTRUCTION OF SEWER SYSTEM AND WWTW</t>
  </si>
  <si>
    <t>RUSTENBURG EXT 26 - INSTALLATION OF SEWER RETICULATION PHASE 3</t>
  </si>
  <si>
    <t>RUSTENBURG WWTW AND BOITEKONG WWTW - LINK LINE</t>
  </si>
  <si>
    <t>14,15,16,17,18,19</t>
  </si>
  <si>
    <t>SYFERBULT - SEWER SYSTEM (FORMALISED TOWNSHIP)</t>
  </si>
  <si>
    <t>WARD 18 - VIP TOILETS</t>
  </si>
  <si>
    <t>WARD 2 - INSTALLATION OF VIP TOILETS</t>
  </si>
  <si>
    <t>WARD 26 - VIP TOILETS</t>
  </si>
  <si>
    <t>WARD 33 - VIP TOILETS</t>
  </si>
  <si>
    <t>WARD 34 - VIP TOILETS</t>
  </si>
  <si>
    <t>WARD 36 - VIP TOILETS</t>
  </si>
  <si>
    <t>WARD 5 - INSTALLATION OF VIP TOILETS</t>
  </si>
  <si>
    <t>WARD 7 - INSTALLATION OF VIP TOILETS PHASE 2</t>
  </si>
  <si>
    <t>WARD 22 - VIP TOILETS</t>
  </si>
  <si>
    <t>KOPMAN - CONSTRUCTION OF VIP TOILETS AND WWTW</t>
  </si>
  <si>
    <t>ROOIKRAAL - CONSTRUCTION OF VIP TOILETS AND WWTW</t>
  </si>
  <si>
    <t>WARD 29 - VIP TOILETS</t>
  </si>
  <si>
    <t>BOITEKONG - UPGRADING OF OUTFALL SEWER LINES</t>
  </si>
  <si>
    <t>19,22</t>
  </si>
  <si>
    <t>BOKAMOSO - CONVERSION OF VIP TOILETS,TESTING AND COMMISSIONING OF SEWER NETWORK</t>
  </si>
  <si>
    <t>CBD AREA - UPGRADING OF OUTFALL SEWER LINES</t>
  </si>
  <si>
    <t>9,10,11,14,15,16</t>
  </si>
  <si>
    <t>FREEDOMPARK - ANALYSIS, TESTING AND MODIFICATION OF SEWER NETWORK</t>
  </si>
  <si>
    <t>IKEMELENG - CONVERSION OF VIP TOILETS,SEWER NETWORK AND OUTFALL SEWER LINES</t>
  </si>
  <si>
    <t>IKEMELENG - VIP TOILETS</t>
  </si>
  <si>
    <t>MARIKANA - SEWER AND PUMPSTATION</t>
  </si>
  <si>
    <t>MONNAKATO - UPGRADING OF OUTFALL SEWER LINES</t>
  </si>
  <si>
    <t>REFURBISHMENT OF SEWER TREATED WATER RETICULATION SYSTEM</t>
  </si>
  <si>
    <t>16,17,18,19,20,21</t>
  </si>
  <si>
    <t>UPGRADING OF SEWER SYSTEM PROGRAMME</t>
  </si>
  <si>
    <t>WARD 23 - VIP TOILETS</t>
  </si>
  <si>
    <t>WARD 25 - VIP TOILETS</t>
  </si>
  <si>
    <t>WARD 31 - VIP TOILETS</t>
  </si>
  <si>
    <t>ROBEGA/MAFENYA - CONSTRUCTION OF SEWER SYSTEM AND WWTW</t>
  </si>
  <si>
    <t>CONSTRUCTION OF SEWER SYSTEM AND WWTW (BMB)</t>
  </si>
  <si>
    <t>MARIKANA AND SURROUNDING AREAS - CONSTUCTION OF SEWER RETICULATION AND WWTW</t>
  </si>
  <si>
    <t>MATHOPESTAD - CONSTRUCTION OF SEWER SYSTEM AND WWTW</t>
  </si>
  <si>
    <t>MECHANICAL WORKSHOP</t>
  </si>
  <si>
    <t xml:space="preserve">WATER TANKER </t>
  </si>
  <si>
    <t>2 X SEDAN - INFRASTRUCTURE &amp; HOUSING</t>
  </si>
  <si>
    <t>1400 BAKKIE FOR PREPAID SECTION - ELECTRICAL</t>
  </si>
  <si>
    <t>2 X TIPPER TRUCKS - ROADS</t>
  </si>
  <si>
    <t>REPLACEMENT OF 3 CABSTARS - ROADS</t>
  </si>
  <si>
    <t>2 X CABSTARS - SEWER</t>
  </si>
  <si>
    <t>NEW WATER TANKER - WATER</t>
  </si>
  <si>
    <t>ELECTRICAL - 2 X 1TON LDV</t>
  </si>
  <si>
    <t>ELECTRICAL - 2 X 4TON TRUCKS</t>
  </si>
  <si>
    <t>ELECTRICAL - 3 X LDV</t>
  </si>
  <si>
    <t>ELECTRICAL - CHERRIE PICKER</t>
  </si>
  <si>
    <t>CHERRIE PICKER</t>
  </si>
  <si>
    <t>ELECTRICAL - CRANE TRUCK</t>
  </si>
  <si>
    <t>ELECTRICAL PREPAID SECTION - 2 X 1400 BAKKIE</t>
  </si>
  <si>
    <t>ELECTRICITY TEST AND INSTRUMENTATION - 2 X 2L LDV</t>
  </si>
  <si>
    <t>FLEET MANAGEMENT - 1400 BAKKIE</t>
  </si>
  <si>
    <t>FLEET MANAGEMENT - 16 SEATER MINIBUS (POOL VEHICLE)</t>
  </si>
  <si>
    <t>MINIBUS</t>
  </si>
  <si>
    <t>OFFICE OF THE COO - 1400 BAKKIE</t>
  </si>
  <si>
    <t>OFFICE OF THE DIRECTOR INFRASTRUCTURE - 1400 BAKKIE</t>
  </si>
  <si>
    <t>ROADS - 5 X 10TON TRUCKS</t>
  </si>
  <si>
    <t>ROADS - 3 X 4TON TRUCKS</t>
  </si>
  <si>
    <t>ROADS - 3 X BOMAGS</t>
  </si>
  <si>
    <t>BOMAG</t>
  </si>
  <si>
    <t>ROADS - 3 X TIPPER TRUCKS</t>
  </si>
  <si>
    <t>ROADS - BULL DOZER</t>
  </si>
  <si>
    <t>BULL DOZER</t>
  </si>
  <si>
    <t>ROADS - EXCAVATOR</t>
  </si>
  <si>
    <t>EXCAVATOR</t>
  </si>
  <si>
    <t>ROADS - FRONT END LOADER</t>
  </si>
  <si>
    <t>ROADS - GRADER</t>
  </si>
  <si>
    <t>GRADER</t>
  </si>
  <si>
    <t>ROADS - MECHANICAL BROOM</t>
  </si>
  <si>
    <t>ROADS - PETROL PUMP</t>
  </si>
  <si>
    <t>PETROL PUMP</t>
  </si>
  <si>
    <t>ROADS - TAR CONCRETE CUTTING MACHINE</t>
  </si>
  <si>
    <t>PLANT AND MACHINERY</t>
  </si>
  <si>
    <t>CONCRETE CUTTING MACHINE</t>
  </si>
  <si>
    <t>ROADS - TIIPER TRUCK</t>
  </si>
  <si>
    <t>ROADS - TIPPER TRUCK</t>
  </si>
  <si>
    <t>ROADS - TRACTOR</t>
  </si>
  <si>
    <t>ROADS - WATER TANKER</t>
  </si>
  <si>
    <t>SEWER - MODIFICATION OF JET CLEANER</t>
  </si>
  <si>
    <t>VEHICLE WORKSHOP - 2 X 1TON LDV</t>
  </si>
  <si>
    <t>VEHICLE WORKSHOP - HYDRAULIC JACKS AND TOOLS</t>
  </si>
  <si>
    <t>TOOLS AND JACKS</t>
  </si>
  <si>
    <t>WASTE - 2 X 4TON TRUCK</t>
  </si>
  <si>
    <t>WASTE - 2 X ROLL ON ROLL OFF TRUCKS</t>
  </si>
  <si>
    <t>WASTE - 2 X TIPPER TRUCKS</t>
  </si>
  <si>
    <t>WASTE - 3 X 2L LDV</t>
  </si>
  <si>
    <t>WASTE - GRAB LORRY</t>
  </si>
  <si>
    <t>WASTE - MECHANICAL STREET SWEEPER</t>
  </si>
  <si>
    <t>WASTE - REFUSE COMPACTOR</t>
  </si>
  <si>
    <t>WASTE - SEDAN</t>
  </si>
  <si>
    <t>WASTE - WASTE EDUCATION BUS</t>
  </si>
  <si>
    <t>WASTE MANGEMENT - 2 X WASTE COMPACTORS</t>
  </si>
  <si>
    <t>WATER - 2 X TLB</t>
  </si>
  <si>
    <t>WATER - 2 X 2L LDV</t>
  </si>
  <si>
    <t>WATER - CRANE TRUCK</t>
  </si>
  <si>
    <t>WATER - HONEY SUCKER TRUCK</t>
  </si>
  <si>
    <t>WATER AND SANITATION - 5 X 4TON D/CAB TRUCKS</t>
  </si>
  <si>
    <t>WATER AND SANITATION - WATER TANKER</t>
  </si>
  <si>
    <t>SEWER - JET CLEANER</t>
  </si>
  <si>
    <t>JET CLEANER</t>
  </si>
  <si>
    <t>WASTE - MINIBUS (EDUCATION AND AWARENESS)</t>
  </si>
  <si>
    <t>MUNICIPAL BUILDING</t>
  </si>
  <si>
    <t>DESIGN AND CONSTRUCTION OF ROADS DEPARTMENT</t>
  </si>
  <si>
    <t>OTHER BUILDINGS</t>
  </si>
  <si>
    <t>CONSTRUCTION OF ROADS DEPT</t>
  </si>
  <si>
    <t>WASTE MANAGEMENT</t>
  </si>
  <si>
    <t>MECHANICAL STREET SWEEPER - WASTE</t>
  </si>
  <si>
    <t>STREET SWEEPER</t>
  </si>
  <si>
    <t>STREET LITTER BINS</t>
  </si>
  <si>
    <t>50 X TABLES - WASTE</t>
  </si>
  <si>
    <t>3 X TIPPER TRUCKS - WASTE</t>
  </si>
  <si>
    <t>PA SYSTEM - WASTE</t>
  </si>
  <si>
    <t>PA SYSTEM</t>
  </si>
  <si>
    <t>REPLACE 3 X LDV - WASTE</t>
  </si>
  <si>
    <t>COMPUTERS - WASTE</t>
  </si>
  <si>
    <t>100 X CHAIRS - WASTE</t>
  </si>
  <si>
    <t>REPLACE 3 X CABSTAR TRUCKS - WASTE</t>
  </si>
  <si>
    <t>SKIP BINS AND ROLL ON ROLL OFF CONTAINERS</t>
  </si>
  <si>
    <t>2 X ROLL ON ROLL OFF TRUCKS - WASTE</t>
  </si>
  <si>
    <t>REPLACE 12 X TWO WAY RADIOS - WASTE</t>
  </si>
  <si>
    <t>REPLACE CUB GRAB LORRY</t>
  </si>
  <si>
    <t>GRAB LORRY</t>
  </si>
  <si>
    <t>WASTE COMPACTOR TRUCK</t>
  </si>
  <si>
    <t>VEHICLE WASH BAY - WASTE</t>
  </si>
  <si>
    <t>WASH BAY</t>
  </si>
  <si>
    <t>WASTE EDUCATION BUS</t>
  </si>
  <si>
    <t>3 X LDV - WASTE</t>
  </si>
  <si>
    <t>CONSTRUCTION OF BUY BACK CENTRE</t>
  </si>
  <si>
    <t>BUY BACK CENTRE</t>
  </si>
  <si>
    <t>WATERVAL - CONSTRUCTION OF LANDFILL SITE (COUNTER FUNDING)</t>
  </si>
  <si>
    <t>JABULA - MINI TRANSFER STATION</t>
  </si>
  <si>
    <t>MINI TRANSFER STATION</t>
  </si>
  <si>
    <t>STRUMOSA - MINI TRANSFER STATION</t>
  </si>
  <si>
    <t>WEIGH BRIDGE</t>
  </si>
  <si>
    <t xml:space="preserve">PHOKENG - CONSTRUCTION OF TRANSFER STATION </t>
  </si>
  <si>
    <t>TARNSFER STATION</t>
  </si>
  <si>
    <t>MARIKANA - CONSTRUCTION OF TRANSFER STATION</t>
  </si>
  <si>
    <t>WATERVAL - CONSTRUCTION OF LANDFILL SITE</t>
  </si>
  <si>
    <t>RECYCLING CENTRE</t>
  </si>
  <si>
    <t>EXTENSION OF WASTE DEPOT PARKING BAYS</t>
  </si>
  <si>
    <t>MOBILE TOILETS  - WASTE</t>
  </si>
  <si>
    <t>MOBILE TOILETS</t>
  </si>
  <si>
    <t>RECYCLING STATIONS</t>
  </si>
  <si>
    <t>RECYCLING STATION</t>
  </si>
  <si>
    <t xml:space="preserve">FNB </t>
  </si>
  <si>
    <t>Standard Bank</t>
  </si>
  <si>
    <t>22818613/008</t>
  </si>
  <si>
    <t>038446669/126</t>
  </si>
  <si>
    <t>22818613/002</t>
  </si>
  <si>
    <t>22818613/003</t>
  </si>
  <si>
    <t>Nedbank</t>
  </si>
  <si>
    <t>03/7881512792/184</t>
  </si>
  <si>
    <t>03/7881512792/187</t>
  </si>
  <si>
    <t>03/7881512792/185</t>
  </si>
  <si>
    <t>Absa</t>
  </si>
  <si>
    <t>12 Months</t>
  </si>
  <si>
    <t>Call Account</t>
  </si>
  <si>
    <t>Loan</t>
  </si>
  <si>
    <t>Director Corporate Support Services</t>
  </si>
  <si>
    <t>Director Public Safety</t>
  </si>
  <si>
    <t>Direcotr Planning &amp; Human Settlement</t>
  </si>
  <si>
    <t>Director Local Economic Development</t>
  </si>
  <si>
    <t>Director Rustenburg Rapid Transport</t>
  </si>
  <si>
    <t>Chief Operations Officer</t>
  </si>
  <si>
    <t>Interest earned - external investments,Interest earned - outstanding debtors,Dividends received, Fines,Licenses &amp; permits,Agency services,Transfers recognised-Operational,Other Revenue,Gains on disposal of PPE</t>
  </si>
  <si>
    <t>To enhance and optimize all current and potential revenue resources by cultivating a culture of payment for services</t>
  </si>
  <si>
    <t>To promote partnerships, public and stakeholder participation by empowering and involving Magosi, communities and ward committees on matters of local government</t>
  </si>
  <si>
    <t xml:space="preserve"> To promote a diverse Economic development and job creation for local residents by the development of entrepreneural skills in the management of SMME's, tourism and capital projects undertaken within the municipal area</t>
  </si>
  <si>
    <t>To support BBBEE as part of economic development by properly implementing the policies</t>
  </si>
  <si>
    <t xml:space="preserve">  </t>
  </si>
  <si>
    <t>-</t>
  </si>
  <si>
    <t>based on income level</t>
  </si>
  <si>
    <t>max 85% on application</t>
  </si>
  <si>
    <t>for indigent households 12kl or 6kl based on income level</t>
  </si>
  <si>
    <t>0 - 12</t>
  </si>
  <si>
    <t>13 - 25</t>
  </si>
  <si>
    <t>26 -40</t>
  </si>
  <si>
    <t>41 -60</t>
  </si>
  <si>
    <t>indigent households 50kwh</t>
  </si>
  <si>
    <t>km</t>
  </si>
  <si>
    <t>Meters</t>
  </si>
  <si>
    <t>Wards</t>
  </si>
  <si>
    <t>% Repaired</t>
  </si>
  <si>
    <t>Cover Potholes</t>
  </si>
  <si>
    <t>Sewer Reticulation</t>
  </si>
  <si>
    <t>Eradication of sanitation backlog</t>
  </si>
  <si>
    <t>Connections</t>
  </si>
  <si>
    <t>Water Reticulation</t>
  </si>
  <si>
    <t>Eradication of Water backlog</t>
  </si>
  <si>
    <t>Maximize water connections</t>
  </si>
  <si>
    <t>Electricity Backlog</t>
  </si>
  <si>
    <t>Electrification of Households</t>
  </si>
  <si>
    <t>New Street Lights</t>
  </si>
  <si>
    <t>Maintain Electricity Infrastructure</t>
  </si>
  <si>
    <t>Electricity Repairs and Maintenance</t>
  </si>
  <si>
    <t>Roads &amp; Stormwater</t>
  </si>
  <si>
    <t xml:space="preserve">Roads </t>
  </si>
  <si>
    <t>Resealing of Roads</t>
  </si>
  <si>
    <t>Electricity Sales</t>
  </si>
  <si>
    <t>Water Sales</t>
  </si>
  <si>
    <t xml:space="preserve">Eskom - </t>
  </si>
  <si>
    <t>Rand Water</t>
  </si>
  <si>
    <t>BULK SERVICES - BOITEKONG EXT 16,GEELHOUTPARK EXT 8 &amp; 10</t>
  </si>
  <si>
    <t>16,8,10</t>
  </si>
  <si>
    <t>RURAL DEVELOPMENT - WATER CONNECTIONS</t>
  </si>
  <si>
    <t>BULK WATER SERVICES</t>
  </si>
  <si>
    <t>AMUSEMENT PARK - TLHABANE</t>
  </si>
  <si>
    <t>Gain on disposal</t>
  </si>
  <si>
    <t>W Tshetlhane</t>
  </si>
  <si>
    <t>L Ndou</t>
  </si>
  <si>
    <t>3.5 - 015 - INFORMATION TECHNOLOGY</t>
  </si>
  <si>
    <t>141 - LAW ENFORCEMENT</t>
  </si>
  <si>
    <t>5.6 - 141 - LAW ENFORCEMENT</t>
  </si>
  <si>
    <t>4 months</t>
  </si>
  <si>
    <t>Short term deposit</t>
  </si>
  <si>
    <t xml:space="preserve">Fixed Interest </t>
  </si>
  <si>
    <t>3 months</t>
  </si>
  <si>
    <t>9 months</t>
  </si>
  <si>
    <t>2 months</t>
  </si>
  <si>
    <t>5 months</t>
  </si>
  <si>
    <t>22818613/011</t>
  </si>
  <si>
    <t>6 months</t>
  </si>
  <si>
    <t>03/7881512792/181</t>
  </si>
  <si>
    <t>03/7881512792/177</t>
  </si>
  <si>
    <t>03/7881512792/189</t>
  </si>
  <si>
    <t>03/7881512792/000198</t>
  </si>
  <si>
    <t>03/7881512792/000201</t>
  </si>
  <si>
    <t>03/7881512792/000200</t>
  </si>
  <si>
    <t>03/7881512792/000204</t>
  </si>
  <si>
    <t>03/7881512792/000205</t>
  </si>
  <si>
    <t>1 month</t>
  </si>
  <si>
    <t>Monthly</t>
  </si>
  <si>
    <t>12 months</t>
  </si>
  <si>
    <t>Sanlam</t>
  </si>
  <si>
    <t>Annually</t>
  </si>
  <si>
    <t>Kagiso Asset Management : KRULOM</t>
  </si>
  <si>
    <t>Absa Call Account: 4078503088</t>
  </si>
  <si>
    <t>Momentum Call Account: PP 024505526</t>
  </si>
  <si>
    <t>Absa Current Account: 1220000458</t>
  </si>
  <si>
    <t>Current Account</t>
  </si>
  <si>
    <t>OFFICE FURNITURE- SPEAKER</t>
  </si>
  <si>
    <t>New/Replace</t>
  </si>
  <si>
    <t>MICROWAVE &amp; KETTLE- SPEAKER</t>
  </si>
  <si>
    <t>MICROWAVE &amp; KETTLE</t>
  </si>
  <si>
    <t>OFFICE FURNITURE- MAYOR</t>
  </si>
  <si>
    <t>LAPTOP- MAYOR</t>
  </si>
  <si>
    <t>REGIONAL COMMUNITY CENTRE</t>
  </si>
  <si>
    <t>PARKING SHELTER</t>
  </si>
  <si>
    <t>PAVEMENT</t>
  </si>
  <si>
    <t>INTERNAL AUDITING</t>
  </si>
  <si>
    <t>LAPTOPS/COMPUTERS</t>
  </si>
  <si>
    <t>CALL CENTRE</t>
  </si>
  <si>
    <t>UPGRADE OF NETWORKS &amp; REPLACEMENT OF SWITCHES</t>
  </si>
  <si>
    <t>NETWORKS &amp; SWITCHES</t>
  </si>
  <si>
    <t>RELOCATION &amp; INSTALLATION OF EQUIPMENT</t>
  </si>
  <si>
    <t>EQUIPMENT</t>
  </si>
  <si>
    <t>X10 COMPUTERS</t>
  </si>
  <si>
    <t>IBICO BINDER</t>
  </si>
  <si>
    <t xml:space="preserve">OFFICE FURNITURE </t>
  </si>
  <si>
    <t>SINGLE BUCKET TROLLEY</t>
  </si>
  <si>
    <t>OFFICE DESK</t>
  </si>
  <si>
    <t>21 BAY TRIPPLE BULK FILER</t>
  </si>
  <si>
    <t>HOVER</t>
  </si>
  <si>
    <t>OFFICE CHAIRS AND FILING CABINETS</t>
  </si>
  <si>
    <t>MEASURING EQUIPMENT</t>
  </si>
  <si>
    <t>DIGITAL SCALE</t>
  </si>
  <si>
    <t>DRILLING MACHINE</t>
  </si>
  <si>
    <t>HAND STACKER:1 TON</t>
  </si>
  <si>
    <t>HAND STACKER</t>
  </si>
  <si>
    <t>JACK TROLLEY</t>
  </si>
  <si>
    <t>BARCODE SCANNERS</t>
  </si>
  <si>
    <t>REFRIGIRATOR</t>
  </si>
  <si>
    <t>AIRPORT</t>
  </si>
  <si>
    <t>TRAFFIC COUNTING PROGRAMME</t>
  </si>
  <si>
    <t>PEDESTRIAN WALKWAYS</t>
  </si>
  <si>
    <t>INSTALLATION OF TRAFFIC SIGNALS</t>
  </si>
  <si>
    <t>BEYERS NAUDE &amp; BOVEN STREET INTERSECTION</t>
  </si>
  <si>
    <t>BEYERS NAUDE &amp; THABO MBEKI INTERSECTION</t>
  </si>
  <si>
    <t>UPGRADING OF CUCKOO AVENUE TO CLASS 3 ROAD</t>
  </si>
  <si>
    <t>CUCKOO AVENUE TO CLASS 3 ROAD</t>
  </si>
  <si>
    <t>2 LINKS FROM BOITEKONG TO D108</t>
  </si>
  <si>
    <t>BOITEKONG TO D108</t>
  </si>
  <si>
    <t>BOITEKONG LINK ROAD D108</t>
  </si>
  <si>
    <t>UPGRADING OF ROADS CONNECTING WITH NEW SANRAL R24</t>
  </si>
  <si>
    <t>ROADS CONNECTING WITH R24</t>
  </si>
  <si>
    <t>TYRE SHREDDER</t>
  </si>
  <si>
    <t>UPGRADING OF SOFTWARE ON AMBIENT AIR MONITIORING NETWORK</t>
  </si>
  <si>
    <t>REPLACE CO ANALYZER WITH P.M 2.5 ANALYZER</t>
  </si>
  <si>
    <t>P.M 2.5 ANALYZER</t>
  </si>
  <si>
    <t>X5 DESKTOPS &amp; X1 LAPTOP</t>
  </si>
  <si>
    <t>9, 10</t>
  </si>
  <si>
    <t>X6 COMPUTERS</t>
  </si>
  <si>
    <t>BOITEKONG X16 SOCIAL HOUSING DEVELOPMENT</t>
  </si>
  <si>
    <t>OFFICE OF THE DIRECTOR- DPS</t>
  </si>
  <si>
    <t xml:space="preserve">OFFICE EQUIPMENT </t>
  </si>
  <si>
    <t>SHREDDING MACHINE- MMC'S OFFICE</t>
  </si>
  <si>
    <t>EMERGENCY GENERATOR</t>
  </si>
  <si>
    <t>GEYSER</t>
  </si>
  <si>
    <t>SHREDDING MACHINE</t>
  </si>
  <si>
    <t>ELECTRONIC MICROPHONE</t>
  </si>
  <si>
    <t>MICROPHONE</t>
  </si>
  <si>
    <t>FILING ROOM EXTENSION</t>
  </si>
  <si>
    <t>FILING ROOM</t>
  </si>
  <si>
    <t>MOTOR CYCLE TESTING APPARUTUS</t>
  </si>
  <si>
    <t>APPARUTUS</t>
  </si>
  <si>
    <t>CUBICLES</t>
  </si>
  <si>
    <t>HEADLAMP BEAM TESTER</t>
  </si>
  <si>
    <t>X2 PLAY DETECTOR</t>
  </si>
  <si>
    <t>PLAY DETECTOR</t>
  </si>
  <si>
    <t>QUEUE SNAKES</t>
  </si>
  <si>
    <t>BANK NOTES COUNTING MACHINE</t>
  </si>
  <si>
    <t>COUNTING MACHINE</t>
  </si>
  <si>
    <t>X4 TWO WAY RADIOS</t>
  </si>
  <si>
    <t>X2 PRINTERS</t>
  </si>
  <si>
    <t>PRINTERS</t>
  </si>
  <si>
    <t>REPLACEMENT OF SPEED MACHINES</t>
  </si>
  <si>
    <t>SPEED MACHINES</t>
  </si>
  <si>
    <t>X4 TWO WAY RADIOS- WARRANTS BUS</t>
  </si>
  <si>
    <t>X2 LAPTOPS- WARRANTS BUS</t>
  </si>
  <si>
    <t>SCANNER- WARRANTS BUS</t>
  </si>
  <si>
    <t>X2 PRINTERS- WARRANTS BUS</t>
  </si>
  <si>
    <t>SHREDDERS</t>
  </si>
  <si>
    <t>X4 MICROWAVES</t>
  </si>
  <si>
    <t>MICROWAVES</t>
  </si>
  <si>
    <t>VIDEO CAMERA</t>
  </si>
  <si>
    <t>PROJECTOR &amp; TRIPOD PROJECTOR SCREEN</t>
  </si>
  <si>
    <t>REPLACEMENT OF COMPUTERS</t>
  </si>
  <si>
    <t>LAW ENFORCEMENT</t>
  </si>
  <si>
    <t>INSTALLATION OF ACCESS CONTROL SYSTEM</t>
  </si>
  <si>
    <t>ACCESS CONTROL SYSTEM</t>
  </si>
  <si>
    <t>FIREARMS</t>
  </si>
  <si>
    <t>STEEL STORAGE SYSTEM</t>
  </si>
  <si>
    <t>STEEL STORAGE</t>
  </si>
  <si>
    <t>TWO WHEELER</t>
  </si>
  <si>
    <t>1,2,3</t>
  </si>
  <si>
    <t>PORTABLE WATER PUMP- MARIKANA</t>
  </si>
  <si>
    <t>WATER PUMP</t>
  </si>
  <si>
    <t>MIMIO TEACH AND VIEW</t>
  </si>
  <si>
    <t>MIMIO TEACH &amp; VIEW</t>
  </si>
  <si>
    <t>HOT TRAINING PROPS</t>
  </si>
  <si>
    <t>TRAINING PROPS</t>
  </si>
  <si>
    <t>MULTI PURPOSE ENCLOSURE SYSTEM</t>
  </si>
  <si>
    <t>ENCLOSURE SYSTEM</t>
  </si>
  <si>
    <t>PORTABLE MASTER STREAMS</t>
  </si>
  <si>
    <t>MASTER STREAMS</t>
  </si>
  <si>
    <t>PRESSURE AND FLOW METERS</t>
  </si>
  <si>
    <t>FLOW METERS</t>
  </si>
  <si>
    <t>SMOKE DETECTION TEST KIT</t>
  </si>
  <si>
    <t>SMOKE DETECTION KIT</t>
  </si>
  <si>
    <t>X2 COMBINATION OFFICE PRINTER</t>
  </si>
  <si>
    <t>MICROWAVE MARIKANA FIREHOUSE</t>
  </si>
  <si>
    <t>PORTABLE WATER PUMP- PHATSIMA</t>
  </si>
  <si>
    <t>RESCUE EQUIPMENT SETS- PHATSIMA</t>
  </si>
  <si>
    <t>EQUIPMENT SETS</t>
  </si>
  <si>
    <t>RESCUE EQUIPMENT SETS- MARIKANA</t>
  </si>
  <si>
    <t>29,30,31,32</t>
  </si>
  <si>
    <t>RESCUE HYDRAULIC GENERATOR- PHATSIMA</t>
  </si>
  <si>
    <t>RESCUE HYDRAULIC GENERATOR- MARIKANA</t>
  </si>
  <si>
    <t>MICROWAVE- PHATSIMA</t>
  </si>
  <si>
    <t>WATER COOLER- PHATSIMA</t>
  </si>
  <si>
    <t>RESCUE INFLATABLE BAGS AND REGULATORS- PHATSIMA</t>
  </si>
  <si>
    <t>INFLATABLE BAGS</t>
  </si>
  <si>
    <t>RESCUE INFLATABLE BAGS AND REGULATORS- MARIKANA</t>
  </si>
  <si>
    <t>X4 20 000L OVERHEAD TANKS- PHATSIMA</t>
  </si>
  <si>
    <t>TANKS</t>
  </si>
  <si>
    <t>X4 20 000L OVERHEAD TANKS- MARIKANA</t>
  </si>
  <si>
    <t>CONSTRUCTION OF CARPORTS- PHATSIMA</t>
  </si>
  <si>
    <t>CONSTRUCTION OF CARPORTS- MARIKANA</t>
  </si>
  <si>
    <t>X2 LAPTOPS &amp; X3 COMPUTERS- PHATSIMA</t>
  </si>
  <si>
    <t>X2 LAPTOPS &amp; X3 COMPUTERS- MARIKANA</t>
  </si>
  <si>
    <t>RESCUE ROPES- PHATSIMA</t>
  </si>
  <si>
    <t>RESCUE ROPES</t>
  </si>
  <si>
    <t>RESCUE ROPES- MARIKANA</t>
  </si>
  <si>
    <t>ERECTION OF PALISADE- MARIKANA</t>
  </si>
  <si>
    <t xml:space="preserve">PALISADE </t>
  </si>
  <si>
    <t>OFFICE FURNITURE- PHATSIMA</t>
  </si>
  <si>
    <t>OFFICE FURNITURE- MARIKANA</t>
  </si>
  <si>
    <t>DRILLING SIMULATION TOWER- PHATSIMA</t>
  </si>
  <si>
    <t>DRILLING SIMULATION TOWER</t>
  </si>
  <si>
    <t>DRILLING SIMULATION TOWER- MARIKANA</t>
  </si>
  <si>
    <t>WATER COOLER- MARIKANA</t>
  </si>
  <si>
    <t>MOUNTED SKID UNIT- PHATSIMA</t>
  </si>
  <si>
    <t>MOUNTED SKID UNIT</t>
  </si>
  <si>
    <t>MOUNTED SKID UNIT- MARIKANA</t>
  </si>
  <si>
    <t>PORTABLE POWER GENERATOR- PHATSIMA</t>
  </si>
  <si>
    <t>MOBILE LIGHTING PUMP- PHATSIMA</t>
  </si>
  <si>
    <t>MOBILE LIGHTING PUMP- MARIKANA</t>
  </si>
  <si>
    <t>PORTABLE POWER GENERATOR- MARIKANA</t>
  </si>
  <si>
    <t>PORTABLE PUMPS- MARIKANA</t>
  </si>
  <si>
    <t>PUMPS</t>
  </si>
  <si>
    <t>LADDERS- PHATSIMA</t>
  </si>
  <si>
    <t>LADDERS</t>
  </si>
  <si>
    <t>LADDERS- MARIKANA</t>
  </si>
  <si>
    <t>FIRE FIGHTING HOSE- PHATSIMA</t>
  </si>
  <si>
    <t xml:space="preserve">HOSE </t>
  </si>
  <si>
    <t>FIRE FIGHTING HOSE- MARIKANA</t>
  </si>
  <si>
    <t>HOSE</t>
  </si>
  <si>
    <t>RESCUE PUMPER- PHATSIMA</t>
  </si>
  <si>
    <t>RESCUE PUMPER</t>
  </si>
  <si>
    <t>RESCUE PUMPER- MARIKANA</t>
  </si>
  <si>
    <t>COMPLETION OF ROOF COVER</t>
  </si>
  <si>
    <t>ROOF</t>
  </si>
  <si>
    <t>PORTABLE BREATHING APPARATUS- PHATSIMA</t>
  </si>
  <si>
    <t>PORTABLE BREATHING APPARATUS- MARIKANA</t>
  </si>
  <si>
    <t>SOUNDPROOF GLASS DOOR</t>
  </si>
  <si>
    <t>GLASS DOOR</t>
  </si>
  <si>
    <t>GUARD HOUSE- FIRE STATION</t>
  </si>
  <si>
    <t>GUARD HOUSE</t>
  </si>
  <si>
    <t>CEILING MOUNTED PROJECTOR</t>
  </si>
  <si>
    <t>RUSTENBURG HAWKERS STALLS- MAX BORNMAN</t>
  </si>
  <si>
    <t>HAWKER STALLS</t>
  </si>
  <si>
    <t xml:space="preserve">LAPTOPS </t>
  </si>
  <si>
    <t>AGRICULTURAL SUPPORT CENTRE</t>
  </si>
  <si>
    <t>AGRICULTURAL CENTRE</t>
  </si>
  <si>
    <t>ANIMAL HOLDING FACILITIES</t>
  </si>
  <si>
    <t>ANIMAL FACILITIES</t>
  </si>
  <si>
    <t>REFURBISHMENT OF RUSTENBURG SHOWGROUND</t>
  </si>
  <si>
    <t>SHOWGROUND</t>
  </si>
  <si>
    <t>SHREDDDER</t>
  </si>
  <si>
    <t>INSTALLATION OF FENCE AT KARLIENPARK SPORTS GROUND</t>
  </si>
  <si>
    <t>PURCHASE PA SYSTEM</t>
  </si>
  <si>
    <t>OFFICE COMPUTERS AND EQUIPMENT</t>
  </si>
  <si>
    <t>CONSTRUCTION OF SPORTS FACILITY AT LEFARAKGATLHE</t>
  </si>
  <si>
    <t>PURCHASE OFFICE COMPUTERS AND EQUIPMENT</t>
  </si>
  <si>
    <t>REPLACE BRUSH CUTTERS FOR PARKS</t>
  </si>
  <si>
    <t>BRUSH CUTTERS</t>
  </si>
  <si>
    <t>PURCHASE LOCKERS</t>
  </si>
  <si>
    <t>INSTALLATION OF CLOCKING MACHINES</t>
  </si>
  <si>
    <t>CLOCKING MACHINES</t>
  </si>
  <si>
    <t>REPLACE CHAIN SAWS AND PRUNERS</t>
  </si>
  <si>
    <t>CHAIN SAWS AND PRUNERS</t>
  </si>
  <si>
    <t>PURCHASE TWO WAY RADIOS</t>
  </si>
  <si>
    <t>UPGRADING OF PAUL BODENSTEIN PARK</t>
  </si>
  <si>
    <t>CONSTRUCTION OF ABLUTION BLOCK AT BETHANIE CEMETERY</t>
  </si>
  <si>
    <t>16,32</t>
  </si>
  <si>
    <t>CONSTRUCTION OF CEMENT CURBS AT MARIKANA CEMETERY</t>
  </si>
  <si>
    <t>REPLACE FENCE AT DONKERHOEK CEMETERY</t>
  </si>
  <si>
    <t>TWO WAY HAND RADIOS</t>
  </si>
  <si>
    <t>CONSTRUCTION OF CEMENT CURBS AT RIETVLEI CEMETERY</t>
  </si>
  <si>
    <t>CONSTRUCTION OF ABLUTION BLOCK AT KARLIENPARK CEMETERY</t>
  </si>
  <si>
    <t>CONSTRUCTION OF ABLUTION BLOCK AT LETHABONG CEMETERY</t>
  </si>
  <si>
    <t>2,26</t>
  </si>
  <si>
    <t>GAZEBOS - MAIN LIBRARY</t>
  </si>
  <si>
    <t>GARDEN STEEL BENCHES- BOITEKONG LIBRARY</t>
  </si>
  <si>
    <t>BENCHES</t>
  </si>
  <si>
    <t>FRIDGE- BOITEKONG LIBRARY</t>
  </si>
  <si>
    <t>PAVING - MARIKANA LIBRARY</t>
  </si>
  <si>
    <t>BOOK SHELVES- MAIN LIBRARY</t>
  </si>
  <si>
    <t>BOOK SHELVES</t>
  </si>
  <si>
    <t>PARCEL LOCKERS- BOITEKONG LIBRARY</t>
  </si>
  <si>
    <t>STEP LADDERS- BRANCH LIBRARIES</t>
  </si>
  <si>
    <t>STEP LADDERS</t>
  </si>
  <si>
    <t>GLASS PARTITION- DISCUSSION ROOM- TLHABANE LIBRARY</t>
  </si>
  <si>
    <t>DISCUSSION ROOM</t>
  </si>
  <si>
    <t>FRIDGE- KARLIENPARK LIBRARY</t>
  </si>
  <si>
    <t>THEMED CHILDREN BROWSER BOX- CHARORA</t>
  </si>
  <si>
    <t>BROWSER BOX</t>
  </si>
  <si>
    <t>JOLLY CHAIRS - CHARORA INFO HUB</t>
  </si>
  <si>
    <t>JOLLY TABLES - CHARORA INFO HUB</t>
  </si>
  <si>
    <t>BOOK TROLLEY - MAMEROTSE INFO HUB</t>
  </si>
  <si>
    <t>BROWSER BOX- MAMEROTSE INFO HUB</t>
  </si>
  <si>
    <t>VISITORS CHAIRS/COUCHES- MAIN LIBRARY</t>
  </si>
  <si>
    <t>STUDY CHAIRS - MAIN LIBRARY</t>
  </si>
  <si>
    <t>LIBRARY COUNTERS AND PARCEL LOCKERS- MAIN LIBRARY</t>
  </si>
  <si>
    <t>LOCKERS AND COUNTERS</t>
  </si>
  <si>
    <t>SHREDDERS- BRANCH LIBRARIES AND INFO HUB</t>
  </si>
  <si>
    <t>BOOK TROLLEY - BARSEBA INFO HUB</t>
  </si>
  <si>
    <t>SECURITY DOOR- BARSEBA INFO HUB</t>
  </si>
  <si>
    <t>DOOR</t>
  </si>
  <si>
    <t>DVD CABINET- BOITEKONG LIBRARY</t>
  </si>
  <si>
    <t>AIRCONDITIONERS- MAMEROTSE INFO HUB</t>
  </si>
  <si>
    <t>COUNTER CHAIRS- CHARORA INFO HUB</t>
  </si>
  <si>
    <t>WALL SHELF- CHARORA INFO HUB</t>
  </si>
  <si>
    <t>SHELF</t>
  </si>
  <si>
    <t>ISSUE DESK- MARIKANA</t>
  </si>
  <si>
    <t>WATER COOLERS - CHARORA AND MAMEROTSE INFO HUB</t>
  </si>
  <si>
    <t>PARCEL LOCKERS- MONAKATO AND MATHOPESTAD</t>
  </si>
  <si>
    <t>25,36</t>
  </si>
  <si>
    <t>LAMINATING MACHINES- ALL</t>
  </si>
  <si>
    <t>EXTENSION OF CAR PARKING- TLHABANE LIBRARY</t>
  </si>
  <si>
    <t>CAR PARKING</t>
  </si>
  <si>
    <t>FOLDABLE CHAIRS - MAIN LIBRARY</t>
  </si>
  <si>
    <t>FOLDABLE PLASTIC TABLE- MAIN (MOBILE)</t>
  </si>
  <si>
    <t>CONSTRUCTION OF A SORTING ROOM- MAIN LIBRARY</t>
  </si>
  <si>
    <t>SORTING ROOM</t>
  </si>
  <si>
    <t>COIN BOXES- BRANCH LIBRARIES</t>
  </si>
  <si>
    <t>COIN BOXES</t>
  </si>
  <si>
    <t>MONEY SAFE- BRANCH LIBRARIES AND INFO HUBS</t>
  </si>
  <si>
    <t>MONEY SAFE</t>
  </si>
  <si>
    <t>FOLDABLE WOODEN TABLES- TLHABANE LIBRARY</t>
  </si>
  <si>
    <t>1,29,26</t>
  </si>
  <si>
    <t>10,11,12,13,14</t>
  </si>
  <si>
    <t>22,23,24,29,30,31,34,36,38</t>
  </si>
  <si>
    <t>14,15,16,17,19</t>
  </si>
  <si>
    <t>IKEMELENG - WATER YARD CONNECTION- PHASE 2</t>
  </si>
  <si>
    <t>REPLACEMENT OF WATER AC PIPES</t>
  </si>
  <si>
    <t>9,12,14,18,25,27,28</t>
  </si>
  <si>
    <t>PALISADE FENCING FOR RESERVOIRS</t>
  </si>
  <si>
    <t>SECURITY LIGHTS AT RESERVOIR SITES AND PUMPSTATIONS</t>
  </si>
  <si>
    <t>PHATSIMA BULK LINE</t>
  </si>
  <si>
    <t>GEELHOUTPARK EXT 10 - ELECTRICITY CONNECTION PHASE 2</t>
  </si>
  <si>
    <t>18,20</t>
  </si>
  <si>
    <t>PLATINUM BULLAVARD SUBSTATION PHASE 2</t>
  </si>
  <si>
    <t>SMALL HAND TOOLS- TEST SECTION</t>
  </si>
  <si>
    <t>WATERKLOOF SUBSTATION INTERCONNECTION TO ESKOM SWITCHING STATION PHASE 2</t>
  </si>
  <si>
    <t>X9 OFFICE CHAIRS</t>
  </si>
  <si>
    <t>REPEATER RADIOS</t>
  </si>
  <si>
    <t>12V-220V INVERTOR</t>
  </si>
  <si>
    <t>INVERTOR</t>
  </si>
  <si>
    <t>X4 AUTOMATIC VENDING MACHINES</t>
  </si>
  <si>
    <t>VENDING MACHINES</t>
  </si>
  <si>
    <t>PRE-PAID SMART METERING</t>
  </si>
  <si>
    <t>SMART METERING</t>
  </si>
  <si>
    <t>SMALL HAND TOOLS- DISTRIBUTION SECTION</t>
  </si>
  <si>
    <t>X5 HV TESTERS- DISTRIBUTION SECTION</t>
  </si>
  <si>
    <t>TESTERS</t>
  </si>
  <si>
    <t>INSULATORS- 33KV LINES</t>
  </si>
  <si>
    <t>RUSTENBURG NORTH/ZINNIAVILLE- INTERNAL UPGRADING</t>
  </si>
  <si>
    <t>13,18</t>
  </si>
  <si>
    <t>RURAL NETWORK UPGRADING</t>
  </si>
  <si>
    <t>16,32,35,36</t>
  </si>
  <si>
    <t>INDUSTRIES SUBSTATION- UPGRADING OF POWER FACTOR CORRECTION EQUIPMENT</t>
  </si>
  <si>
    <t xml:space="preserve">MOTOR CITY SUBSTATION PHASE 2 </t>
  </si>
  <si>
    <t>REFURBISHMENT OF OLD SWITCHGEAR BREAKERS</t>
  </si>
  <si>
    <t>ALPHA SUBSTATION- 11KV SWITCHGEAR AND EQUIPMENT</t>
  </si>
  <si>
    <t>BRAVO SUBSTATION- 11KV SWITCHGEAR AND EQUIPMENT</t>
  </si>
  <si>
    <t>KOORSBOOM SUBSTATION- 11KV SWITCHGEAR AND EQUIPMENT</t>
  </si>
  <si>
    <t>CASHAN EXT 7 SUBSTATION- 11KV SWITCHGEAR AND EQUIPMENT</t>
  </si>
  <si>
    <t>DONKERHOEK SUBSTATION- 11KV SWITCHGEAR AND EQUIPMENT</t>
  </si>
  <si>
    <t>BOITEKONG 88/11KV LINE</t>
  </si>
  <si>
    <t>19,20,21</t>
  </si>
  <si>
    <t>WATERKLOOF LOAD CONTROL</t>
  </si>
  <si>
    <t>WATERKLOOF 88/11KV TRANSFORMERS</t>
  </si>
  <si>
    <t>WATERKLOOF 88/33KV TRANSFORMERS</t>
  </si>
  <si>
    <t>WATERKLOOF 88/33KV SWITCHGEAR</t>
  </si>
  <si>
    <t>WATERKLOOF- CIVIL WORK</t>
  </si>
  <si>
    <t>KROONDAL SUBSTATION- UPGRADING OF POWER FACTOR CORRECTION EQUIPMENT</t>
  </si>
  <si>
    <t>REPLACEMENT OF OUTDATED SWITCHGEAR 33KV SUBSTATIONS</t>
  </si>
  <si>
    <t>X3 LAPTOPS- UNIT MANANGERS</t>
  </si>
  <si>
    <t>GEELHOUTPARK EXT 10- ROADS AND STORMWATER</t>
  </si>
  <si>
    <t>LETHABONG NEW EXT- ROADS AND STORMWATER</t>
  </si>
  <si>
    <t>TLHABANE- REPLACEMENT OF AC SEWER PIPES</t>
  </si>
  <si>
    <t>9,10,11,12</t>
  </si>
  <si>
    <t>CCTV CAMERA SYSTEM- PIPELINE INSPECTION</t>
  </si>
  <si>
    <t>INSTALLATION OF RISING MAIN FROM BOITEKONG TO RUSTENBURG SEWER TREATMENT  WORKS</t>
  </si>
  <si>
    <t>LETHABONG EXT 27 AND 28- INTERNAL SEWER RETICULATION AND TOILET STRUCTURES- PHASE 3</t>
  </si>
  <si>
    <t>INFORMAL SETTLEMENTS- PROVISION OF TEMPORARY PORTABLE TOILETS</t>
  </si>
  <si>
    <t>MUNICIPAL VEHICLES</t>
  </si>
  <si>
    <t>ROADS - STREAM PRESSURE CLEANER</t>
  </si>
  <si>
    <t>ROADS- X5 4TON D/CAB TRUCKS</t>
  </si>
  <si>
    <t>ROADS- DIESEL BOWSER</t>
  </si>
  <si>
    <t>ROADS- 4X2 LDV</t>
  </si>
  <si>
    <t>PARKS- REPLACE CHERRY PICKER BCP 550 NW</t>
  </si>
  <si>
    <t>SPORTS- 1TON BAKKIE</t>
  </si>
  <si>
    <t>ESTATES- VEHICLE</t>
  </si>
  <si>
    <t>TRAFFIC- REPLACEMENT OF VEHICLES</t>
  </si>
  <si>
    <t>FIRE SERVICES UTILITY VEHICLE  PHATSIMA</t>
  </si>
  <si>
    <t>FIRE SERVICES UTILITY VEHICLE  MARIKANA</t>
  </si>
  <si>
    <t>ADMIN SUPPORT- X2 LDV POWER STEERING</t>
  </si>
  <si>
    <t>BAKKIE- IT</t>
  </si>
  <si>
    <t>SPEAKER- MOTOR VEHICLE SEDAN</t>
  </si>
  <si>
    <t>MAYOR- 4X4 DOUBLE CAB</t>
  </si>
  <si>
    <t>DESIGN AND DEVELOPMENT OF UNDERCOVER PARKING FOR EMPLOYEES</t>
  </si>
  <si>
    <t>UNDERCOVER PARKING</t>
  </si>
  <si>
    <t>CIVIL FACILITIES- POLISHER- REPLACEMENT</t>
  </si>
  <si>
    <t>POLISHER</t>
  </si>
  <si>
    <t xml:space="preserve">Replace </t>
  </si>
  <si>
    <t xml:space="preserve">REPLACEMENT OF PUSH SWEEPER </t>
  </si>
  <si>
    <t>PUSH SWEEPER</t>
  </si>
  <si>
    <t>REPLACEMENT OF DRILLING MACHINES</t>
  </si>
  <si>
    <t>DRILLER</t>
  </si>
  <si>
    <t>X3 GRINDERS</t>
  </si>
  <si>
    <t>GRINDERS</t>
  </si>
  <si>
    <t>X2 AIRCONDITIONERS</t>
  </si>
  <si>
    <t>34,36</t>
  </si>
  <si>
    <t xml:space="preserve">LETHABONG/TSITSING - CONSTRUCTION OF TRANSFER STATION </t>
  </si>
  <si>
    <t>26,27,28,29,30</t>
  </si>
  <si>
    <t>WASTE AWARENESS CENTRE- X100 CHAIRS</t>
  </si>
  <si>
    <t>WASTE AWARENESS CENTRE- X50 TABLES</t>
  </si>
  <si>
    <t>WASTE DEPOT- REPLACEMENT OF  FURNITURE, EQUIPMENT AND TOOLS</t>
  </si>
  <si>
    <t>BIN LIFTING HYDRAULIC EQUIPMENT</t>
  </si>
  <si>
    <t>HYDRAULIC EQUIPMENT</t>
  </si>
  <si>
    <t>DEEP COLLECTION BINS</t>
  </si>
  <si>
    <t>COLLECTION BINS</t>
  </si>
  <si>
    <t>WASTE MANAGEMENT DEPOT- PHASE 2 (RECYCLING CENTRE)</t>
  </si>
  <si>
    <t>WASTE DEPOT- SURVEILLANCE CAMERA, TRELLIDOOR AND ALARM</t>
  </si>
  <si>
    <t>WASTE DEPOT</t>
  </si>
  <si>
    <t>LAPTOPS AND COMPUTERS</t>
  </si>
  <si>
    <t xml:space="preserve">OFFICE OF THE DIRECTOR INFRASTRUCTURE </t>
  </si>
  <si>
    <t>WET AND DRY VACUUM CLEANER</t>
  </si>
  <si>
    <t>VACUUM</t>
  </si>
  <si>
    <t>SURVEY EQUIPMENT- (GPS)</t>
  </si>
  <si>
    <t>SURVEY EQUIPMENT</t>
  </si>
  <si>
    <t>0,0051</t>
  </si>
  <si>
    <t>0,0189</t>
  </si>
  <si>
    <t>0,0174</t>
  </si>
  <si>
    <t>0,0044</t>
  </si>
  <si>
    <t>0,0048</t>
  </si>
  <si>
    <t>0,0011</t>
  </si>
  <si>
    <t>0,0012</t>
  </si>
  <si>
    <t>0,0013</t>
  </si>
  <si>
    <t>0,0014</t>
  </si>
  <si>
    <t>0,0150</t>
  </si>
  <si>
    <t>0,0164</t>
  </si>
  <si>
    <t>0,0173</t>
  </si>
  <si>
    <t>0,0199</t>
  </si>
  <si>
    <t>0,0203</t>
  </si>
  <si>
    <t>0,0213</t>
  </si>
  <si>
    <t>0,0184</t>
  </si>
  <si>
    <t>0,0193</t>
  </si>
  <si>
    <t>0,0197</t>
  </si>
  <si>
    <t>0,0207</t>
  </si>
  <si>
    <t>0,0176</t>
  </si>
  <si>
    <t>0,0188</t>
  </si>
  <si>
    <t>NDPG</t>
  </si>
  <si>
    <t>FIFA</t>
  </si>
  <si>
    <t>EPWP</t>
  </si>
  <si>
    <t>PTIS</t>
  </si>
  <si>
    <t>PMU</t>
  </si>
  <si>
    <t>Skills Levy</t>
  </si>
  <si>
    <t>LG-SETA</t>
  </si>
  <si>
    <t>NDMS(FIRE)</t>
  </si>
  <si>
    <t>Bospoort wst</t>
  </si>
  <si>
    <t>Kloof water</t>
  </si>
  <si>
    <t>Waste</t>
  </si>
  <si>
    <t>Lifts</t>
  </si>
  <si>
    <t>A1</t>
  </si>
  <si>
    <t>RUSTENBURG WATER SERVICE TRUST</t>
  </si>
  <si>
    <t>10.1 - RUSTENBURG WATER SERVICE TRUST</t>
  </si>
  <si>
    <t>Bospoort plant upgrade</t>
  </si>
  <si>
    <t>Bospoort pipe upgrade</t>
  </si>
  <si>
    <t>Boitekong Sewer plant upgrade</t>
  </si>
  <si>
    <t>Water network upgrade</t>
  </si>
  <si>
    <t>Sewer network upgrade</t>
  </si>
  <si>
    <t>Olifantsnek Bulk infrastructure</t>
  </si>
  <si>
    <t>B.B. Marekoa-Kodongo</t>
  </si>
  <si>
    <t>M Mokgosi</t>
  </si>
  <si>
    <t>mmokgosi@rustenburg.gov.za</t>
  </si>
  <si>
    <t>M Letebele</t>
  </si>
  <si>
    <t>mletebele@rustenburg.gov.za</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</si>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</sst>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3">
    <numFmt numFmtId="44" formatCode="_(&quot;R&quot;* #,##0.00_);_(&quot;R&quot;* \(#,##0.00\);_(&quot;R&quot;* &quot;-&quot;??_);_(@_)"/>
    <numFmt numFmtId="43" formatCode="_(* #,##0.00_);_(* \(#,##0.00\);_(* &quot;-&quot;??_);_(@_)"/>
    <numFmt numFmtId="164" formatCode="&quot;R&quot;\ #,##0;&quot;R&quot;\ \-#,##0"/>
    <numFmt numFmtId="165" formatCode="_ * #,##0_ ;_ * \-#,##0_ ;_ * &quot;-&quot;_ ;_ @_ "/>
    <numFmt numFmtId="166" formatCode="_ * #,##0.00_ ;_ * \-#,##0.00_ ;_ * &quot;-&quot;??_ ;_ @_ "/>
    <numFmt numFmtId="167" formatCode="_(&quot;$&quot;* #,##0.00_);_(&quot;$&quot;* \(#,##0.00\);_(&quot;$&quot;* &quot;-&quot;??_);_(@_)"/>
    <numFmt numFmtId="168" formatCode="_ * #,##0_ ;_ * \-#,##0_ ;_ * &quot;-&quot;??_ ;_ @_ "/>
    <numFmt numFmtId="169" formatCode="_ * #,##0.0_ ;_ * \-#,##0.0_ ;_ * &quot;-&quot;??_ ;_ @_ "/>
    <numFmt numFmtId="170" formatCode="#,###,;[Red]\(#,###,\)"/>
    <numFmt numFmtId="171" formatCode="0.0%"/>
    <numFmt numFmtId="172" formatCode="#,###,;\(#,###,\)"/>
    <numFmt numFmtId="173" formatCode="#,###,,;\(#,###,,\)"/>
    <numFmt numFmtId="174" formatCode="0.0%;[Red]\(0.0%\)"/>
    <numFmt numFmtId="175" formatCode="0.0"/>
    <numFmt numFmtId="176" formatCode="#,##0,;[Red]\(#,##0,\)"/>
    <numFmt numFmtId="177" formatCode="_(* #,##0,,_);_(* \(#,##0,,\);_(* &quot;–&quot;?_);_(@_)"/>
    <numFmt numFmtId="178" formatCode="_(* #,##0,_);_(* \(#,##0,\);_(* &quot;–&quot;?_);_(@_)"/>
    <numFmt numFmtId="179" formatCode="_(* #,##0_);_(* \(#,##0\);_(* &quot;–&quot;?_);_(@_)"/>
    <numFmt numFmtId="180" formatCode="_(* #,##0.0_);_(* \(#,##0.0\);_(* &quot;–&quot;?_);_(@_)"/>
    <numFmt numFmtId="181" formatCode="_(* #,##0.000000_);_(* \(#,##0.000000\);_(* &quot;–&quot;?_);_(@_)"/>
    <numFmt numFmtId="182" formatCode="_(* #,##0.00_);_(* \(#,##0.00\);_(* &quot;–&quot;?_);_(@_)"/>
    <numFmt numFmtId="183" formatCode="_(* #,##0.0%_);_(* \(#,##0.0%\);_(* &quot;–&quot;?_);_(@_)"/>
    <numFmt numFmtId="184" formatCode="[$-1C09]dd\ mmmm\ yyyy"/>
    <numFmt numFmtId="185" formatCode="0000"/>
    <numFmt numFmtId="186" formatCode="[$-409]d\-mmm\-yy;@"/>
    <numFmt numFmtId="187" formatCode="_-* #,##0.00_-;\-* #,##0.00_-;_-* &quot;-&quot;??_-;_-@_-"/>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_(* #,##0_);_(* \(#,##0\);_(* &quot;0&quot;_);_(@_)"/>
    <numFmt numFmtId="195" formatCode="\$#,##0\ ;\(\$#,##0\)"/>
    <numFmt numFmtId="196" formatCode="_ [$€]\ * #,##0.00_ ;_ [$€]\ * \-#,##0.00_ ;_ [$€]\ * &quot;-&quot;??_ ;_ @_ "/>
    <numFmt numFmtId="197" formatCode="_([$€-2]* #,##0.00_);_([$€-2]* \(#,##0.00\);_([$€-2]* &quot;-&quot;??_)"/>
    <numFmt numFmtId="198" formatCode="_([$€-2]\ * #,##0.00_);_([$€-2]\ * \(#,##0.00\);_([$€-2]\ * &quot;-&quot;??_)"/>
    <numFmt numFmtId="199" formatCode="_(&quot;R&quot;* #,##0_);_(&quot;R&quot;* \(#,##0\);_(* &quot;-&quot;??_)"/>
    <numFmt numFmtId="200" formatCode="_(* #,##0_);_(* \(#,##0\);_(&quot;-&quot;??_)"/>
    <numFmt numFmtId="201" formatCode="_(* #,###,_);_(* \(#,###,,\);_(&quot;-&quot;??_)"/>
    <numFmt numFmtId="202" formatCode="0.000%"/>
    <numFmt numFmtId="203" formatCode="0.0000%"/>
    <numFmt numFmtId="204" formatCode="_(* #,##0.00%_);_(* \(#,##0.00%\);_(* &quot;–&quot;?_);_(@_)"/>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b/>
      <sz val="10"/>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b/>
      <sz val="10"/>
      <color indexed="8"/>
      <name val="Arial Narrow"/>
      <family val="2"/>
    </font>
    <font>
      <sz val="10"/>
      <color indexed="8"/>
      <name val="Arial Narrow"/>
      <family val="2"/>
    </font>
    <font>
      <b/>
      <sz val="10"/>
      <name val="Utah"/>
    </font>
    <font>
      <sz val="10"/>
      <name val="Utah"/>
    </font>
    <font>
      <b/>
      <sz val="9"/>
      <name val="Arial"/>
      <family val="2"/>
    </font>
    <font>
      <sz val="9"/>
      <name val="Arial"/>
      <family val="2"/>
    </font>
    <font>
      <b/>
      <sz val="10"/>
      <name val="Utah"/>
      <family val="2"/>
    </font>
    <font>
      <sz val="10"/>
      <name val="Utah"/>
      <family val="2"/>
    </font>
    <font>
      <sz val="11"/>
      <color theme="1"/>
      <name val="Calibri"/>
      <family val="2"/>
      <scheme val="minor"/>
    </font>
    <font>
      <sz val="12"/>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u/>
      <sz val="10"/>
      <color theme="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rgb="FF000000"/>
      <name val="Arial"/>
      <family val="2"/>
    </font>
    <font>
      <sz val="10"/>
      <color theme="1"/>
      <name val="Arial"/>
      <family val="2"/>
    </font>
    <font>
      <sz val="11"/>
      <name val="Helv"/>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14"/>
      <name val="Helv"/>
    </font>
    <font>
      <sz val="11"/>
      <color indexed="52"/>
      <name val="Calibri"/>
      <family val="2"/>
    </font>
    <font>
      <sz val="11"/>
      <color indexed="60"/>
      <name val="Calibri"/>
      <family val="2"/>
    </font>
    <font>
      <sz val="9"/>
      <name val="Helv"/>
    </font>
    <font>
      <sz val="11"/>
      <name val="Garamond"/>
      <family val="1"/>
    </font>
    <font>
      <b/>
      <sz val="11"/>
      <color indexed="63"/>
      <name val="Calibri"/>
      <family val="2"/>
    </font>
    <font>
      <sz val="18"/>
      <color indexed="13"/>
      <name val="Helv"/>
    </font>
    <font>
      <b/>
      <sz val="18"/>
      <color indexed="56"/>
      <name val="Cambria"/>
      <family val="2"/>
    </font>
    <font>
      <b/>
      <sz val="11"/>
      <color indexed="8"/>
      <name val="Calibri"/>
      <family val="2"/>
    </font>
    <font>
      <sz val="11"/>
      <color indexed="10"/>
      <name val="Calibri"/>
      <family val="2"/>
    </font>
    <font>
      <sz val="11"/>
      <name val="Arial"/>
      <family val="2"/>
    </font>
    <font>
      <sz val="10"/>
      <name val="Verdana"/>
      <family val="2"/>
    </font>
    <font>
      <sz val="10"/>
      <color indexed="12"/>
      <name val="Arial"/>
      <family val="2"/>
    </font>
    <font>
      <b/>
      <sz val="12"/>
      <name val="Arial"/>
      <family val="2"/>
    </font>
    <font>
      <b/>
      <sz val="18"/>
      <name val="Arial"/>
      <family val="2"/>
    </font>
    <font>
      <u/>
      <sz val="11"/>
      <color indexed="12"/>
      <name val="Calibri"/>
      <family val="2"/>
    </font>
    <font>
      <sz val="10"/>
      <color indexed="14"/>
      <name val="Arial"/>
      <family val="2"/>
    </font>
    <font>
      <sz val="10"/>
      <name val="MS Sans Serif"/>
      <family val="2"/>
    </font>
    <font>
      <sz val="12"/>
      <color indexed="8"/>
      <name val="Calibri"/>
      <family val="2"/>
    </font>
    <font>
      <sz val="10"/>
      <name val="Times New Roman"/>
      <family val="1"/>
    </font>
    <font>
      <sz val="8"/>
      <color theme="1"/>
      <name val="Arial Narrow"/>
      <family val="2"/>
    </font>
  </fonts>
  <fills count="59">
    <fill>
      <patternFill patternType="none"/>
    </fill>
    <fill>
      <patternFill patternType="gray125"/>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42"/>
        <bgColor indexed="64"/>
      </patternFill>
    </fill>
    <fill>
      <patternFill patternType="solid">
        <fgColor indexed="13"/>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3"/>
      </patternFill>
    </fill>
    <fill>
      <patternFill patternType="solid">
        <fgColor indexed="43"/>
      </patternFill>
    </fill>
    <fill>
      <patternFill patternType="solid">
        <fgColor indexed="26"/>
      </patternFill>
    </fill>
    <fill>
      <patternFill patternType="solid">
        <fgColor indexed="12"/>
      </patternFill>
    </fill>
    <fill>
      <patternFill patternType="solid">
        <fgColor indexed="26"/>
        <bgColor indexed="64"/>
      </patternFill>
    </fill>
  </fills>
  <borders count="143">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dotted">
        <color auto="1"/>
      </top>
      <bottom/>
      <diagonal/>
    </border>
    <border>
      <left style="thin">
        <color auto="1"/>
      </left>
      <right/>
      <top style="dotted">
        <color auto="1"/>
      </top>
      <bottom/>
      <diagonal/>
    </border>
    <border>
      <left style="medium">
        <color auto="1"/>
      </left>
      <right style="thin">
        <color auto="1"/>
      </right>
      <top style="dotted">
        <color auto="1"/>
      </top>
      <bottom/>
      <diagonal/>
    </border>
    <border>
      <left style="thin">
        <color auto="1"/>
      </left>
      <right style="medium">
        <color auto="1"/>
      </right>
      <top style="dotted">
        <color auto="1"/>
      </top>
      <bottom/>
      <diagonal/>
    </border>
    <border>
      <left style="thin">
        <color auto="1"/>
      </left>
      <right style="thin">
        <color auto="1"/>
      </right>
      <top/>
      <bottom style="dotted">
        <color auto="1"/>
      </bottom>
      <diagonal/>
    </border>
    <border>
      <left style="thin">
        <color auto="1"/>
      </left>
      <right/>
      <top/>
      <bottom style="dotted">
        <color auto="1"/>
      </bottom>
      <diagonal/>
    </border>
    <border>
      <left style="medium">
        <color auto="1"/>
      </left>
      <right style="thin">
        <color auto="1"/>
      </right>
      <top/>
      <bottom style="dotted">
        <color auto="1"/>
      </bottom>
      <diagonal/>
    </border>
    <border>
      <left style="thin">
        <color auto="1"/>
      </left>
      <right style="medium">
        <color auto="1"/>
      </right>
      <top/>
      <bottom style="dotted">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dotted">
        <color auto="1"/>
      </left>
      <right style="thin">
        <color auto="1"/>
      </right>
      <top/>
      <bottom style="dotted">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hair">
        <color auto="1"/>
      </left>
      <right style="hair">
        <color auto="1"/>
      </right>
      <top/>
      <bottom style="thin">
        <color auto="1"/>
      </bottom>
      <diagonal/>
    </border>
    <border>
      <left style="hair">
        <color auto="1"/>
      </left>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bottom/>
      <diagonal/>
    </border>
    <border>
      <left style="hair">
        <color auto="1"/>
      </left>
      <right style="hair">
        <color auto="1"/>
      </right>
      <top style="thin">
        <color auto="1"/>
      </top>
      <bottom/>
      <diagonal/>
    </border>
    <border>
      <left style="thin">
        <color auto="1"/>
      </left>
      <right style="thin">
        <color auto="1"/>
      </right>
      <top style="hair">
        <color auto="1"/>
      </top>
      <bottom/>
      <diagonal/>
    </border>
    <border>
      <left style="thin">
        <color auto="1"/>
      </left>
      <right style="hair">
        <color auto="1"/>
      </right>
      <top style="thin">
        <color auto="1"/>
      </top>
      <bottom/>
      <diagonal/>
    </border>
    <border>
      <left style="hair">
        <color auto="1"/>
      </left>
      <right style="hair">
        <color auto="1"/>
      </right>
      <top style="hair">
        <color auto="1"/>
      </top>
      <bottom/>
      <diagonal/>
    </border>
    <border>
      <left style="thin">
        <color auto="1"/>
      </left>
      <right style="hair">
        <color auto="1"/>
      </right>
      <top/>
      <bottom/>
      <diagonal/>
    </border>
    <border>
      <left/>
      <right/>
      <top style="hair">
        <color auto="1"/>
      </top>
      <bottom/>
      <diagonal/>
    </border>
    <border>
      <left/>
      <right style="thin">
        <color auto="1"/>
      </right>
      <top style="hair">
        <color auto="1"/>
      </top>
      <bottom/>
      <diagonal/>
    </border>
    <border>
      <left style="thin">
        <color auto="1"/>
      </left>
      <right/>
      <top style="hair">
        <color auto="1"/>
      </top>
      <bottom/>
      <diagonal/>
    </border>
    <border>
      <left style="thin">
        <color auto="1"/>
      </left>
      <right style="hair">
        <color auto="1"/>
      </right>
      <top style="hair">
        <color auto="1"/>
      </top>
      <bottom/>
      <diagonal/>
    </border>
    <border>
      <left style="thin">
        <color auto="1"/>
      </left>
      <right/>
      <top style="hair">
        <color auto="1"/>
      </top>
      <bottom style="thin">
        <color auto="1"/>
      </bottom>
      <diagonal/>
    </border>
    <border>
      <left style="hair">
        <color auto="1"/>
      </left>
      <right style="hair">
        <color auto="1"/>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bottom style="thin">
        <color auto="1"/>
      </bottom>
      <diagonal/>
    </border>
    <border>
      <left/>
      <right/>
      <top style="thin">
        <color auto="1"/>
      </top>
      <bottom style="double">
        <color auto="1"/>
      </bottom>
      <diagonal/>
    </border>
    <border>
      <left style="hair">
        <color auto="1"/>
      </left>
      <right/>
      <top style="thin">
        <color auto="1"/>
      </top>
      <bottom/>
      <diagonal/>
    </border>
    <border>
      <left style="hair">
        <color auto="1"/>
      </left>
      <right/>
      <top/>
      <bottom/>
      <diagonal/>
    </border>
    <border>
      <left style="thin">
        <color auto="1"/>
      </left>
      <right/>
      <top/>
      <bottom style="hair">
        <color auto="1"/>
      </bottom>
      <diagonal/>
    </border>
    <border>
      <left style="hair">
        <color auto="1"/>
      </left>
      <right/>
      <top/>
      <bottom style="hair">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right/>
      <top/>
      <bottom style="hair">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right style="thin">
        <color auto="1"/>
      </right>
      <top/>
      <bottom style="medium">
        <color auto="1"/>
      </bottom>
      <diagonal/>
    </border>
    <border>
      <left style="hair">
        <color auto="1"/>
      </left>
      <right style="thin">
        <color auto="1"/>
      </right>
      <top style="hair">
        <color auto="1"/>
      </top>
      <bottom/>
      <diagonal/>
    </border>
    <border>
      <left style="hair">
        <color auto="1"/>
      </left>
      <right/>
      <top style="hair">
        <color auto="1"/>
      </top>
      <bottom/>
      <diagonal/>
    </border>
    <border>
      <left style="hair">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hair">
        <color auto="1"/>
      </right>
      <top style="thin">
        <color auto="1"/>
      </top>
      <bottom style="hair">
        <color auto="1"/>
      </bottom>
      <diagonal/>
    </border>
    <border>
      <left/>
      <right style="hair">
        <color auto="1"/>
      </right>
      <top/>
      <bottom style="thin">
        <color auto="1"/>
      </bottom>
      <diagonal/>
    </border>
    <border>
      <left/>
      <right/>
      <top style="dotted">
        <color auto="1"/>
      </top>
      <bottom/>
      <diagonal/>
    </border>
    <border>
      <left/>
      <right/>
      <top/>
      <bottom style="dotted">
        <color auto="1"/>
      </bottom>
      <diagonal/>
    </border>
    <border>
      <left/>
      <right style="medium">
        <color auto="1"/>
      </right>
      <top/>
      <bottom style="thin">
        <color auto="1"/>
      </bottom>
      <diagonal/>
    </border>
    <border>
      <left style="hair">
        <color auto="1"/>
      </left>
      <right style="thin">
        <color auto="1"/>
      </right>
      <top/>
      <bottom style="hair">
        <color auto="1"/>
      </bottom>
      <diagonal/>
    </border>
    <border>
      <left style="thin">
        <color auto="1"/>
      </left>
      <right style="thin">
        <color auto="1"/>
      </right>
      <top/>
      <bottom style="hair">
        <color auto="1"/>
      </bottom>
      <diagonal/>
    </border>
    <border>
      <left/>
      <right style="hair">
        <color auto="1"/>
      </right>
      <top/>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right style="hair">
        <color auto="1"/>
      </right>
      <top style="thin">
        <color auto="1"/>
      </top>
      <bottom/>
      <diagonal/>
    </border>
    <border>
      <left/>
      <right style="hair">
        <color auto="1"/>
      </right>
      <top style="hair">
        <color auto="1"/>
      </top>
      <bottom/>
      <diagonal/>
    </border>
    <border>
      <left/>
      <right style="hair">
        <color auto="1"/>
      </right>
      <top style="hair">
        <color auto="1"/>
      </top>
      <bottom style="hair">
        <color auto="1"/>
      </bottom>
      <diagonal/>
    </border>
    <border>
      <left/>
      <right style="thin">
        <color auto="1"/>
      </right>
      <top style="double">
        <color auto="1"/>
      </top>
      <bottom/>
      <diagonal/>
    </border>
    <border>
      <left/>
      <right style="hair">
        <color auto="1"/>
      </right>
      <top/>
      <bottom style="hair">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diagonal/>
    </border>
    <border>
      <left style="hair">
        <color auto="1"/>
      </left>
      <right style="hair">
        <color auto="1"/>
      </right>
      <top style="medium">
        <color auto="1"/>
      </top>
      <bottom/>
      <diagonal/>
    </border>
    <border>
      <left style="hair">
        <color auto="1"/>
      </left>
      <right style="thin">
        <color auto="1"/>
      </right>
      <top style="medium">
        <color auto="1"/>
      </top>
      <bottom/>
      <diagonal/>
    </border>
    <border>
      <left style="thin">
        <color auto="1"/>
      </left>
      <right style="hair">
        <color auto="1"/>
      </right>
      <top style="thin">
        <color auto="1"/>
      </top>
      <bottom style="double">
        <color auto="1"/>
      </bottom>
      <diagonal/>
    </border>
    <border>
      <left style="hair">
        <color auto="1"/>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style="thin">
        <color auto="1"/>
      </left>
      <right/>
      <top style="thick">
        <color auto="1"/>
      </top>
      <bottom/>
      <diagonal/>
    </border>
    <border>
      <left/>
      <right style="thin">
        <color auto="1"/>
      </right>
      <top style="thick">
        <color auto="1"/>
      </top>
      <bottom/>
      <diagonal/>
    </border>
    <border>
      <left style="hair">
        <color auto="1"/>
      </left>
      <right/>
      <top style="thin">
        <color auto="1"/>
      </top>
      <bottom style="hair">
        <color auto="1"/>
      </bottom>
      <diagonal/>
    </border>
    <border>
      <left style="thin">
        <color auto="1"/>
      </left>
      <right style="thin">
        <color auto="1"/>
      </right>
      <top style="thin">
        <color auto="1"/>
      </top>
      <bottom style="thick">
        <color auto="1"/>
      </bottom>
      <diagonal/>
    </border>
    <border>
      <left style="thin">
        <color auto="1"/>
      </left>
      <right/>
      <top style="thin">
        <color auto="1"/>
      </top>
      <bottom style="thick">
        <color auto="1"/>
      </bottom>
      <diagonal/>
    </border>
    <border>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s>
  <cellStyleXfs count="7362">
    <xf numFmtId="0" fontId="0" fillId="0" borderId="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9" fillId="0" borderId="0" applyNumberForma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6" fillId="0" borderId="0" applyNumberFormat="0" applyFont="0" applyFill="0" applyBorder="0" applyAlignment="0" applyProtection="0">
      <alignment vertical="top"/>
      <protection locked="0"/>
    </xf>
    <xf numFmtId="0" fontId="51" fillId="0" borderId="0"/>
    <xf numFmtId="0" fontId="4" fillId="0" borderId="0"/>
    <xf numFmtId="184" fontId="50" fillId="0" borderId="0"/>
    <xf numFmtId="0" fontId="27" fillId="0" borderId="0"/>
    <xf numFmtId="9" fontId="4" fillId="0" borderId="0" applyFont="0" applyFill="0" applyBorder="0" applyAlignment="0" applyProtection="0"/>
    <xf numFmtId="9" fontId="31"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84" fontId="3" fillId="0" borderId="0"/>
    <xf numFmtId="9"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0" fontId="61" fillId="0" borderId="0"/>
    <xf numFmtId="0" fontId="4" fillId="0" borderId="0"/>
    <xf numFmtId="43" fontId="4" fillId="0" borderId="0" applyFont="0" applyFill="0" applyBorder="0" applyAlignment="0" applyProtection="0"/>
    <xf numFmtId="0" fontId="62" fillId="34"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62" fillId="3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62" fillId="3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62" fillId="3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62" fillId="3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62" fillId="39"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62" fillId="4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62" fillId="41"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62" fillId="42"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62" fillId="3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62" fillId="4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62" fillId="4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63" fillId="44"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51" borderId="0" applyNumberFormat="0" applyBorder="0" applyAlignment="0" applyProtection="0"/>
    <xf numFmtId="0" fontId="64" fillId="35" borderId="0" applyNumberFormat="0" applyBorder="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6" fillId="53" borderId="132" applyNumberFormat="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67" fillId="0" borderId="0" applyFont="0" applyFill="0" applyBorder="0" applyAlignment="0" applyProtection="0"/>
    <xf numFmtId="18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67"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4" fontId="68" fillId="0" borderId="0" applyFont="0" applyFill="0" applyBorder="0" applyAlignment="0" applyProtection="0"/>
    <xf numFmtId="167" fontId="62" fillId="0" borderId="0" applyFont="0" applyFill="0" applyBorder="0" applyAlignment="0" applyProtection="0"/>
    <xf numFmtId="44" fontId="62" fillId="0" borderId="0" applyFont="0" applyFill="0" applyBorder="0" applyAlignment="0" applyProtection="0"/>
    <xf numFmtId="167" fontId="62" fillId="0" borderId="0" applyFont="0" applyFill="0" applyBorder="0" applyAlignment="0" applyProtection="0"/>
    <xf numFmtId="44" fontId="62"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44" fontId="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44" fontId="4" fillId="0" borderId="0" applyFont="0" applyFill="0" applyBorder="0" applyAlignment="0" applyProtection="0"/>
    <xf numFmtId="44" fontId="62" fillId="0" borderId="0" applyFont="0" applyFill="0" applyBorder="0" applyAlignment="0" applyProtection="0"/>
    <xf numFmtId="44" fontId="2" fillId="0" borderId="0" applyFont="0" applyFill="0" applyBorder="0" applyAlignment="0" applyProtection="0"/>
    <xf numFmtId="44" fontId="68" fillId="0" borderId="0" applyFont="0" applyFill="0" applyBorder="0" applyAlignment="0" applyProtection="0"/>
    <xf numFmtId="0" fontId="69" fillId="0" borderId="0"/>
    <xf numFmtId="0" fontId="69" fillId="0" borderId="133"/>
    <xf numFmtId="0" fontId="69" fillId="0" borderId="133"/>
    <xf numFmtId="0" fontId="69" fillId="0" borderId="133"/>
    <xf numFmtId="0" fontId="69" fillId="0" borderId="133"/>
    <xf numFmtId="0" fontId="69" fillId="0" borderId="133"/>
    <xf numFmtId="0" fontId="70" fillId="0" borderId="0" applyNumberFormat="0" applyFill="0" applyBorder="0" applyAlignment="0" applyProtection="0"/>
    <xf numFmtId="0" fontId="71" fillId="36" borderId="0" applyNumberFormat="0" applyBorder="0" applyAlignment="0" applyProtection="0"/>
    <xf numFmtId="0" fontId="72" fillId="0" borderId="134" applyNumberFormat="0" applyFill="0" applyAlignment="0" applyProtection="0"/>
    <xf numFmtId="0" fontId="73" fillId="0" borderId="135" applyNumberFormat="0" applyFill="0" applyAlignment="0" applyProtection="0"/>
    <xf numFmtId="0" fontId="74" fillId="0" borderId="136" applyNumberFormat="0" applyFill="0" applyAlignment="0" applyProtection="0"/>
    <xf numFmtId="0" fontId="74" fillId="0" borderId="0" applyNumberFormat="0" applyFill="0" applyBorder="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6" fillId="54" borderId="133"/>
    <xf numFmtId="0" fontId="76" fillId="54" borderId="133"/>
    <xf numFmtId="0" fontId="76" fillId="54" borderId="133"/>
    <xf numFmtId="0" fontId="76" fillId="54" borderId="133"/>
    <xf numFmtId="0" fontId="76" fillId="54" borderId="133"/>
    <xf numFmtId="0" fontId="77" fillId="0" borderId="137" applyNumberFormat="0" applyFill="0" applyAlignment="0" applyProtection="0"/>
    <xf numFmtId="0" fontId="78" fillId="55" borderId="0" applyNumberFormat="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4" fillId="0" borderId="0"/>
    <xf numFmtId="0" fontId="68" fillId="0" borderId="0"/>
    <xf numFmtId="0" fontId="68" fillId="0" borderId="0"/>
    <xf numFmtId="0" fontId="68" fillId="0" borderId="0"/>
    <xf numFmtId="0" fontId="68" fillId="0" borderId="0"/>
    <xf numFmtId="0" fontId="68" fillId="0" borderId="0"/>
    <xf numFmtId="0" fontId="4" fillId="0" borderId="0"/>
    <xf numFmtId="0" fontId="68"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80" fillId="0" borderId="0"/>
    <xf numFmtId="0" fontId="80" fillId="0" borderId="0"/>
    <xf numFmtId="0" fontId="4" fillId="0" borderId="0"/>
    <xf numFmtId="0" fontId="2" fillId="0" borderId="0"/>
    <xf numFmtId="0" fontId="62" fillId="0" borderId="0"/>
    <xf numFmtId="0" fontId="2" fillId="0" borderId="0"/>
    <xf numFmtId="0" fontId="2"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2" fillId="0" borderId="0"/>
    <xf numFmtId="0" fontId="4" fillId="0" borderId="0"/>
    <xf numFmtId="0" fontId="4" fillId="0" borderId="0"/>
    <xf numFmtId="0" fontId="62" fillId="0" borderId="0"/>
    <xf numFmtId="0" fontId="2" fillId="0" borderId="0"/>
    <xf numFmtId="0" fontId="2" fillId="0" borderId="0"/>
    <xf numFmtId="0" fontId="2" fillId="0" borderId="0"/>
    <xf numFmtId="0" fontId="2" fillId="0" borderId="0"/>
    <xf numFmtId="0" fontId="80" fillId="0" borderId="0"/>
    <xf numFmtId="0" fontId="80" fillId="0" borderId="0"/>
    <xf numFmtId="0" fontId="80" fillId="0" borderId="0"/>
    <xf numFmtId="0" fontId="80"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67"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2" fillId="0" borderId="0"/>
    <xf numFmtId="0" fontId="2" fillId="0" borderId="0"/>
    <xf numFmtId="0" fontId="80" fillId="0" borderId="0"/>
    <xf numFmtId="0" fontId="6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80"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68" fillId="0" borderId="0"/>
    <xf numFmtId="0" fontId="4" fillId="0" borderId="0"/>
    <xf numFmtId="0" fontId="4"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2" fillId="21" borderId="130" applyNumberFormat="0" applyFon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9" fontId="62" fillId="0" borderId="0" applyFont="0" applyFill="0" applyBorder="0" applyAlignment="0" applyProtection="0"/>
    <xf numFmtId="9" fontId="4" fillId="0" borderId="0" applyFont="0" applyFill="0" applyBorder="0" applyAlignment="0" applyProtection="0"/>
    <xf numFmtId="0" fontId="69" fillId="0" borderId="0"/>
    <xf numFmtId="0" fontId="69" fillId="0" borderId="133"/>
    <xf numFmtId="0" fontId="69" fillId="0" borderId="133"/>
    <xf numFmtId="0" fontId="69" fillId="0" borderId="133"/>
    <xf numFmtId="0" fontId="69" fillId="0" borderId="133"/>
    <xf numFmtId="0" fontId="69" fillId="0" borderId="133"/>
    <xf numFmtId="0" fontId="82" fillId="57" borderId="0"/>
    <xf numFmtId="0" fontId="83" fillId="0" borderId="0" applyNumberFormat="0" applyFill="0" applyBorder="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76" fillId="0" borderId="141"/>
    <xf numFmtId="0" fontId="76" fillId="0" borderId="133"/>
    <xf numFmtId="0" fontId="76" fillId="0" borderId="133"/>
    <xf numFmtId="0" fontId="76" fillId="0" borderId="133"/>
    <xf numFmtId="0" fontId="76" fillId="0" borderId="133"/>
    <xf numFmtId="0" fontId="76" fillId="0" borderId="133"/>
    <xf numFmtId="0" fontId="85" fillId="0" borderId="0" applyNumberForma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0" fontId="81" fillId="52" borderId="139"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4" fillId="0" borderId="140"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4"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2"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46"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188" fontId="32" fillId="0" borderId="0" applyFill="0" applyBorder="0" applyAlignment="0"/>
    <xf numFmtId="189" fontId="32" fillId="0" borderId="0" applyFill="0" applyBorder="0" applyAlignment="0"/>
    <xf numFmtId="190" fontId="32" fillId="0" borderId="0" applyFill="0" applyBorder="0" applyAlignment="0"/>
    <xf numFmtId="191" fontId="32" fillId="0" borderId="0" applyFill="0" applyBorder="0" applyAlignment="0"/>
    <xf numFmtId="192" fontId="32" fillId="0" borderId="0" applyFill="0" applyBorder="0" applyAlignment="0"/>
    <xf numFmtId="188" fontId="32" fillId="0" borderId="0" applyFill="0" applyBorder="0" applyAlignment="0"/>
    <xf numFmtId="193" fontId="32" fillId="0" borderId="0" applyFill="0" applyBorder="0" applyAlignment="0"/>
    <xf numFmtId="189" fontId="32" fillId="0" borderId="0" applyFill="0" applyBorder="0" applyAlignment="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5" fillId="52" borderId="131"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0" fontId="66" fillId="53" borderId="132" applyNumberFormat="0" applyAlignment="0" applyProtection="0"/>
    <xf numFmtId="165" fontId="4" fillId="0" borderId="0" applyFont="0" applyFill="0" applyBorder="0" applyAlignment="0" applyProtection="0"/>
    <xf numFmtId="188" fontId="4"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87"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43" fontId="62"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87"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187"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87"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7"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94"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8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3" fontId="4" fillId="0" borderId="0" applyFont="0" applyFill="0" applyBorder="0" applyAlignment="0" applyProtection="0"/>
    <xf numFmtId="189" fontId="4"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95"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4" fontId="4" fillId="0" borderId="0" applyFont="0" applyFill="0" applyBorder="0" applyAlignment="0" applyProtection="0"/>
    <xf numFmtId="14" fontId="32" fillId="0" borderId="0" applyFill="0" applyBorder="0" applyAlignment="0"/>
    <xf numFmtId="188" fontId="88" fillId="0" borderId="0" applyFill="0" applyBorder="0" applyAlignment="0"/>
    <xf numFmtId="189" fontId="88" fillId="0" borderId="0" applyFill="0" applyBorder="0" applyAlignment="0"/>
    <xf numFmtId="188" fontId="88" fillId="0" borderId="0" applyFill="0" applyBorder="0" applyAlignment="0"/>
    <xf numFmtId="193" fontId="88" fillId="0" borderId="0" applyFill="0" applyBorder="0" applyAlignment="0"/>
    <xf numFmtId="189" fontId="88" fillId="0" borderId="0" applyFill="0" applyBorder="0" applyAlignment="0"/>
    <xf numFmtId="196" fontId="4" fillId="0" borderId="0" applyFont="0" applyFill="0" applyBorder="0" applyAlignment="0" applyProtection="0"/>
    <xf numFmtId="197" fontId="4" fillId="0" borderId="0" applyFont="0" applyFill="0" applyBorder="0" applyAlignment="0" applyProtection="0"/>
    <xf numFmtId="198" fontId="4" fillId="0" borderId="0" applyFon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0" fontId="70" fillId="0" borderId="0" applyNumberFormat="0" applyFill="0" applyBorder="0" applyAlignment="0" applyProtection="0"/>
    <xf numFmtId="2" fontId="4" fillId="0" borderId="0" applyFont="0" applyFill="0" applyBorder="0" applyAlignment="0" applyProtection="0"/>
    <xf numFmtId="199" fontId="86" fillId="0" borderId="0" applyFont="0" applyFill="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0" fontId="71" fillId="36" borderId="0" applyNumberFormat="0" applyBorder="0" applyAlignment="0" applyProtection="0"/>
    <xf numFmtId="38" fontId="5" fillId="3" borderId="0" applyNumberFormat="0" applyBorder="0" applyAlignment="0" applyProtection="0"/>
    <xf numFmtId="0" fontId="89" fillId="0" borderId="142" applyNumberFormat="0" applyAlignment="0" applyProtection="0">
      <alignment horizontal="left" vertical="center"/>
    </xf>
    <xf numFmtId="0" fontId="89" fillId="0" borderId="35">
      <alignment horizontal="left" vertical="center"/>
    </xf>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90" fillId="0" borderId="0" applyFont="0" applyFill="0" applyBorder="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2" fillId="0" borderId="134"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89" fillId="0" borderId="0" applyFont="0" applyFill="0" applyBorder="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3" fillId="0" borderId="135"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136"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0" fontId="5" fillId="58" borderId="2" applyNumberFormat="0" applyBorder="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0" fontId="75" fillId="39" borderId="131" applyNumberFormat="0" applyAlignment="0" applyProtection="0"/>
    <xf numFmtId="188" fontId="92" fillId="0" borderId="0" applyFill="0" applyBorder="0" applyAlignment="0"/>
    <xf numFmtId="189" fontId="92" fillId="0" borderId="0" applyFill="0" applyBorder="0" applyAlignment="0"/>
    <xf numFmtId="188" fontId="92" fillId="0" borderId="0" applyFill="0" applyBorder="0" applyAlignment="0"/>
    <xf numFmtId="193" fontId="92" fillId="0" borderId="0" applyFill="0" applyBorder="0" applyAlignment="0"/>
    <xf numFmtId="189" fontId="92" fillId="0" borderId="0" applyFill="0" applyBorder="0" applyAlignment="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7" fillId="0" borderId="137" applyNumberFormat="0" applyFill="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200" fontId="86" fillId="0" borderId="0" applyFont="0" applyFill="0" applyBorder="0" applyAlignment="0" applyProtection="0"/>
    <xf numFmtId="201" fontId="86" fillId="0" borderId="0" applyFont="0" applyFill="0" applyBorder="0" applyAlignment="0" applyProtection="0"/>
    <xf numFmtId="0" fontId="4" fillId="0" borderId="0"/>
    <xf numFmtId="0" fontId="80" fillId="0" borderId="0"/>
    <xf numFmtId="0" fontId="80" fillId="0" borderId="0"/>
    <xf numFmtId="0" fontId="80" fillId="0" borderId="0"/>
    <xf numFmtId="0" fontId="80" fillId="0" borderId="0"/>
    <xf numFmtId="0" fontId="87"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80" fillId="0" borderId="0"/>
    <xf numFmtId="0" fontId="4"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8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93" fillId="0" borderId="0"/>
    <xf numFmtId="0" fontId="4" fillId="0" borderId="0"/>
    <xf numFmtId="0" fontId="4" fillId="0" borderId="0"/>
    <xf numFmtId="0" fontId="4" fillId="0" borderId="0"/>
    <xf numFmtId="0" fontId="4" fillId="0" borderId="0"/>
    <xf numFmtId="0" fontId="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94" fillId="0" borderId="0"/>
    <xf numFmtId="0" fontId="94" fillId="0" borderId="0"/>
    <xf numFmtId="0" fontId="94" fillId="0" borderId="0"/>
    <xf numFmtId="0" fontId="94" fillId="0" borderId="0"/>
    <xf numFmtId="0" fontId="4" fillId="0" borderId="0"/>
    <xf numFmtId="0" fontId="62" fillId="0" borderId="0"/>
    <xf numFmtId="0" fontId="62"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94" fillId="0" borderId="0"/>
    <xf numFmtId="0" fontId="4" fillId="0" borderId="0"/>
    <xf numFmtId="0" fontId="4" fillId="0" borderId="0"/>
    <xf numFmtId="0" fontId="32" fillId="0" borderId="0"/>
    <xf numFmtId="0" fontId="32" fillId="0" borderId="0"/>
    <xf numFmtId="0" fontId="32" fillId="0" borderId="0"/>
    <xf numFmtId="0" fontId="3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3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9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80" fillId="0" borderId="0"/>
    <xf numFmtId="0" fontId="80" fillId="0" borderId="0"/>
    <xf numFmtId="0" fontId="80" fillId="0" borderId="0"/>
    <xf numFmtId="0" fontId="80" fillId="0" borderId="0"/>
    <xf numFmtId="0" fontId="80" fillId="0" borderId="0"/>
    <xf numFmtId="0" fontId="4"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80" fillId="0" borderId="0"/>
    <xf numFmtId="0" fontId="80" fillId="0" borderId="0"/>
    <xf numFmtId="0" fontId="80" fillId="0" borderId="0"/>
    <xf numFmtId="0" fontId="80" fillId="0" borderId="0"/>
    <xf numFmtId="0" fontId="80" fillId="0" borderId="0"/>
    <xf numFmtId="0" fontId="4" fillId="0" borderId="0"/>
    <xf numFmtId="0" fontId="4" fillId="0" borderId="0"/>
    <xf numFmtId="0" fontId="80"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0" fillId="0" borderId="0"/>
    <xf numFmtId="0" fontId="80"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32" fillId="0" borderId="0"/>
    <xf numFmtId="0" fontId="32" fillId="0" borderId="0"/>
    <xf numFmtId="0" fontId="32" fillId="0" borderId="0"/>
    <xf numFmtId="0" fontId="32" fillId="0" borderId="0"/>
    <xf numFmtId="0" fontId="3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184"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62" fillId="0" borderId="0"/>
    <xf numFmtId="184" fontId="62" fillId="0" borderId="0"/>
    <xf numFmtId="0" fontId="5" fillId="0" borderId="0"/>
    <xf numFmtId="0" fontId="32" fillId="0" borderId="0"/>
    <xf numFmtId="0" fontId="32" fillId="0" borderId="0"/>
    <xf numFmtId="0" fontId="32" fillId="0" borderId="0"/>
    <xf numFmtId="0" fontId="32" fillId="0" borderId="0"/>
    <xf numFmtId="0" fontId="32" fillId="0" borderId="0"/>
    <xf numFmtId="0" fontId="5"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184" fontId="62" fillId="0" borderId="0"/>
    <xf numFmtId="0" fontId="62" fillId="0" borderId="0"/>
    <xf numFmtId="0" fontId="62"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4" fillId="0" borderId="0"/>
    <xf numFmtId="0" fontId="4" fillId="0" borderId="0"/>
    <xf numFmtId="0" fontId="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4" fillId="0" borderId="0"/>
    <xf numFmtId="0" fontId="32" fillId="0" borderId="0"/>
    <xf numFmtId="0" fontId="32" fillId="0" borderId="0"/>
    <xf numFmtId="0" fontId="9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0" fillId="0" borderId="0"/>
    <xf numFmtId="0" fontId="62" fillId="0" borderId="0"/>
    <xf numFmtId="0" fontId="32" fillId="0" borderId="0"/>
    <xf numFmtId="0" fontId="32"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4" fillId="0" borderId="0"/>
    <xf numFmtId="0" fontId="4" fillId="0" borderId="0"/>
    <xf numFmtId="0" fontId="4" fillId="0" borderId="0"/>
    <xf numFmtId="0" fontId="4" fillId="0" borderId="0"/>
    <xf numFmtId="0" fontId="94" fillId="0" borderId="0"/>
    <xf numFmtId="0" fontId="94"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3" fillId="44"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63" fillId="50" borderId="0" applyNumberFormat="0" applyBorder="0" applyAlignment="0" applyProtection="0"/>
    <xf numFmtId="0" fontId="63" fillId="45" borderId="0" applyNumberFormat="0" applyBorder="0" applyAlignment="0" applyProtection="0"/>
    <xf numFmtId="0" fontId="63" fillId="46" borderId="0" applyNumberFormat="0" applyBorder="0" applyAlignment="0" applyProtection="0"/>
    <xf numFmtId="0" fontId="63" fillId="51" borderId="0" applyNumberFormat="0" applyBorder="0" applyAlignment="0" applyProtection="0"/>
    <xf numFmtId="0" fontId="64" fillId="35" borderId="0" applyNumberFormat="0" applyBorder="0" applyAlignment="0" applyProtection="0"/>
    <xf numFmtId="0" fontId="65" fillId="52" borderId="131" applyNumberFormat="0" applyAlignment="0" applyProtection="0"/>
    <xf numFmtId="0" fontId="66" fillId="53" borderId="132" applyNumberFormat="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166" fontId="62" fillId="0" borderId="0" applyFont="0" applyFill="0" applyBorder="0" applyAlignment="0" applyProtection="0"/>
    <xf numFmtId="166" fontId="62"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43" fontId="62" fillId="0" borderId="0" applyFont="0" applyFill="0" applyBorder="0" applyAlignment="0" applyProtection="0"/>
    <xf numFmtId="0" fontId="70" fillId="0" borderId="0" applyNumberFormat="0" applyFill="0" applyBorder="0" applyAlignment="0" applyProtection="0"/>
    <xf numFmtId="0" fontId="71" fillId="36" borderId="0" applyNumberFormat="0" applyBorder="0" applyAlignment="0" applyProtection="0"/>
    <xf numFmtId="0" fontId="72" fillId="0" borderId="134" applyNumberFormat="0" applyFill="0" applyAlignment="0" applyProtection="0"/>
    <xf numFmtId="0" fontId="73" fillId="0" borderId="135" applyNumberFormat="0" applyFill="0" applyAlignment="0" applyProtection="0"/>
    <xf numFmtId="0" fontId="74" fillId="0" borderId="136" applyNumberFormat="0" applyFill="0" applyAlignment="0" applyProtection="0"/>
    <xf numFmtId="0" fontId="74" fillId="0" borderId="0" applyNumberFormat="0" applyFill="0" applyBorder="0" applyAlignment="0" applyProtection="0"/>
    <xf numFmtId="0" fontId="75" fillId="39" borderId="131" applyNumberFormat="0" applyAlignment="0" applyProtection="0"/>
    <xf numFmtId="0" fontId="77" fillId="0" borderId="137" applyNumberFormat="0" applyFill="0" applyAlignment="0" applyProtection="0"/>
    <xf numFmtId="0" fontId="78" fillId="55" borderId="0" applyNumberFormat="0" applyBorder="0" applyAlignment="0" applyProtection="0"/>
    <xf numFmtId="0" fontId="80" fillId="0" borderId="0"/>
    <xf numFmtId="0" fontId="80" fillId="0" borderId="0"/>
    <xf numFmtId="0" fontId="4" fillId="0" borderId="0"/>
    <xf numFmtId="0" fontId="4" fillId="0" borderId="0"/>
    <xf numFmtId="0" fontId="80" fillId="0" borderId="0"/>
    <xf numFmtId="0" fontId="80" fillId="0" borderId="0"/>
    <xf numFmtId="0" fontId="94" fillId="0" borderId="0"/>
    <xf numFmtId="0" fontId="32" fillId="0" borderId="0"/>
    <xf numFmtId="0" fontId="32" fillId="0" borderId="0"/>
    <xf numFmtId="0" fontId="80" fillId="0" borderId="0"/>
    <xf numFmtId="0" fontId="80" fillId="0" borderId="0"/>
    <xf numFmtId="0" fontId="62" fillId="0" borderId="0"/>
    <xf numFmtId="0" fontId="94" fillId="0" borderId="0"/>
    <xf numFmtId="0" fontId="4" fillId="0" borderId="0"/>
    <xf numFmtId="0" fontId="4" fillId="0" borderId="0"/>
    <xf numFmtId="0" fontId="62" fillId="0" borderId="0"/>
    <xf numFmtId="0" fontId="62" fillId="0" borderId="0"/>
    <xf numFmtId="0" fontId="62" fillId="0" borderId="0"/>
    <xf numFmtId="0" fontId="62" fillId="0" borderId="0"/>
    <xf numFmtId="0" fontId="62" fillId="0" borderId="0"/>
    <xf numFmtId="0" fontId="80" fillId="0" borderId="0"/>
    <xf numFmtId="0" fontId="4" fillId="0" borderId="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0" borderId="0" applyNumberFormat="0" applyFont="0" applyFill="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9" fontId="4" fillId="0" borderId="0" applyFont="0" applyFill="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 fillId="0" borderId="0"/>
    <xf numFmtId="0" fontId="1" fillId="0" borderId="0"/>
    <xf numFmtId="0" fontId="1" fillId="0" borderId="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9" fontId="62" fillId="0" borderId="0" applyFont="0" applyFill="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80" fillId="0" borderId="0"/>
    <xf numFmtId="0" fontId="1" fillId="29" borderId="0" applyNumberFormat="0" applyBorder="0" applyAlignment="0" applyProtection="0"/>
    <xf numFmtId="0" fontId="1" fillId="29" borderId="0" applyNumberFormat="0" applyBorder="0" applyAlignment="0" applyProtection="0"/>
    <xf numFmtId="0" fontId="1" fillId="2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3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1" fillId="3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1" fillId="21" borderId="130"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2" fillId="43"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0" borderId="0" applyNumberFormat="0" applyBorder="0" applyAlignment="0" applyProtection="0"/>
    <xf numFmtId="0" fontId="62" fillId="39"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4" fillId="0" borderId="0"/>
    <xf numFmtId="166" fontId="4" fillId="0" borderId="0" applyFont="0" applyFill="0" applyBorder="0" applyAlignment="0" applyProtection="0"/>
    <xf numFmtId="166" fontId="4" fillId="0" borderId="0" applyFont="0" applyFill="0" applyBorder="0" applyAlignment="0" applyProtection="0"/>
    <xf numFmtId="0" fontId="51" fillId="0" borderId="0"/>
    <xf numFmtId="0" fontId="1" fillId="33" borderId="0" applyNumberFormat="0" applyBorder="0" applyAlignment="0" applyProtection="0"/>
    <xf numFmtId="184" fontId="1" fillId="0" borderId="0"/>
    <xf numFmtId="0" fontId="1" fillId="25"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184" fontId="1" fillId="0" borderId="0"/>
    <xf numFmtId="0" fontId="1" fillId="23" borderId="0" applyNumberFormat="0" applyBorder="0" applyAlignment="0" applyProtection="0"/>
    <xf numFmtId="0" fontId="1" fillId="23" borderId="0" applyNumberFormat="0" applyBorder="0" applyAlignment="0" applyProtection="0"/>
    <xf numFmtId="166" fontId="4" fillId="0" borderId="0" applyFont="0" applyFill="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9" fontId="62" fillId="0" borderId="0" applyFont="0" applyFill="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1" borderId="130"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0" fontId="68" fillId="0" borderId="0"/>
    <xf numFmtId="43" fontId="62" fillId="0" borderId="0" applyFont="0" applyFill="0" applyBorder="0" applyAlignment="0" applyProtection="0"/>
    <xf numFmtId="44" fontId="1" fillId="0" borderId="0" applyFont="0" applyFill="0" applyBorder="0" applyAlignment="0" applyProtection="0"/>
    <xf numFmtId="0" fontId="68" fillId="0" borderId="0"/>
    <xf numFmtId="0" fontId="80"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7" fillId="0" borderId="0"/>
    <xf numFmtId="0" fontId="1" fillId="0" borderId="0"/>
    <xf numFmtId="0" fontId="1" fillId="0" borderId="0"/>
    <xf numFmtId="0" fontId="80" fillId="0" borderId="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80" fillId="0" borderId="0"/>
    <xf numFmtId="0" fontId="1" fillId="0" borderId="0"/>
    <xf numFmtId="0" fontId="1" fillId="0" borderId="0"/>
    <xf numFmtId="0" fontId="1" fillId="0" borderId="0"/>
    <xf numFmtId="0" fontId="80" fillId="0" borderId="0"/>
    <xf numFmtId="0" fontId="80" fillId="0" borderId="0"/>
    <xf numFmtId="0" fontId="1" fillId="22" borderId="0" applyNumberFormat="0" applyBorder="0" applyAlignment="0" applyProtection="0"/>
    <xf numFmtId="0" fontId="80" fillId="0" borderId="0"/>
    <xf numFmtId="0" fontId="80" fillId="0" borderId="0"/>
    <xf numFmtId="0" fontId="1" fillId="21" borderId="130" applyNumberFormat="0" applyFont="0" applyAlignment="0" applyProtection="0"/>
    <xf numFmtId="0" fontId="1" fillId="33" borderId="0" applyNumberFormat="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1" fillId="0" borderId="0"/>
    <xf numFmtId="0" fontId="1" fillId="0" borderId="0"/>
    <xf numFmtId="0" fontId="1" fillId="31" borderId="0" applyNumberFormat="0" applyBorder="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1" fillId="30" borderId="0" applyNumberFormat="0" applyBorder="0" applyAlignment="0" applyProtection="0"/>
    <xf numFmtId="9" fontId="62" fillId="0" borderId="0" applyFont="0" applyFill="0" applyBorder="0" applyAlignment="0" applyProtection="0"/>
    <xf numFmtId="0" fontId="1" fillId="30" borderId="0" applyNumberFormat="0" applyBorder="0" applyAlignment="0" applyProtection="0"/>
    <xf numFmtId="0" fontId="62" fillId="40" borderId="0" applyNumberFormat="0" applyBorder="0" applyAlignment="0" applyProtection="0"/>
    <xf numFmtId="0" fontId="62" fillId="37" borderId="0" applyNumberFormat="0" applyBorder="0" applyAlignment="0" applyProtection="0"/>
    <xf numFmtId="0" fontId="1" fillId="2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2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 fillId="2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6" borderId="0" applyNumberFormat="0" applyBorder="0" applyAlignment="0" applyProtection="0"/>
    <xf numFmtId="0" fontId="4" fillId="0" borderId="0"/>
    <xf numFmtId="0" fontId="4" fillId="56" borderId="138" applyNumberFormat="0" applyFont="0" applyAlignment="0" applyProtection="0"/>
    <xf numFmtId="0" fontId="4" fillId="56" borderId="138" applyNumberFormat="0" applyFont="0" applyAlignment="0" applyProtection="0"/>
    <xf numFmtId="184" fontId="1" fillId="0" borderId="0"/>
    <xf numFmtId="166" fontId="4" fillId="0" borderId="0" applyFont="0" applyFill="0" applyBorder="0" applyAlignment="0" applyProtection="0"/>
    <xf numFmtId="0" fontId="1" fillId="24"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0" fontId="1" fillId="0" borderId="0"/>
    <xf numFmtId="0" fontId="4" fillId="56" borderId="138"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81" fillId="52" borderId="139" applyNumberFormat="0" applyAlignment="0" applyProtection="0"/>
    <xf numFmtId="0" fontId="83" fillId="0" borderId="0" applyNumberFormat="0" applyFill="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30" borderId="0" applyNumberFormat="0" applyBorder="0" applyAlignment="0" applyProtection="0"/>
    <xf numFmtId="0" fontId="81" fillId="52" borderId="139" applyNumberFormat="0" applyAlignment="0" applyProtection="0"/>
    <xf numFmtId="0" fontId="62" fillId="56" borderId="138" applyNumberFormat="0" applyFont="0" applyAlignment="0" applyProtection="0"/>
    <xf numFmtId="0" fontId="1" fillId="28" borderId="0" applyNumberFormat="0" applyBorder="0" applyAlignment="0" applyProtection="0"/>
    <xf numFmtId="0" fontId="1" fillId="26" borderId="0" applyNumberFormat="0" applyBorder="0" applyAlignment="0" applyProtection="0"/>
    <xf numFmtId="184" fontId="1" fillId="0" borderId="0"/>
    <xf numFmtId="9" fontId="62" fillId="0" borderId="0" applyFont="0" applyFill="0" applyBorder="0" applyAlignment="0" applyProtection="0"/>
    <xf numFmtId="9" fontId="62" fillId="0" borderId="0" applyFont="0" applyFill="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7" fillId="0" borderId="0"/>
    <xf numFmtId="0" fontId="4" fillId="0" borderId="0"/>
    <xf numFmtId="43" fontId="67" fillId="0" borderId="0" applyFont="0" applyFill="0" applyBorder="0" applyAlignment="0" applyProtection="0"/>
    <xf numFmtId="0" fontId="1" fillId="29" borderId="0" applyNumberFormat="0" applyBorder="0" applyAlignment="0" applyProtection="0"/>
    <xf numFmtId="0" fontId="62" fillId="40" borderId="0" applyNumberFormat="0" applyBorder="0" applyAlignment="0" applyProtection="0"/>
    <xf numFmtId="0" fontId="1" fillId="21" borderId="130" applyNumberFormat="0" applyFont="0" applyAlignment="0" applyProtection="0"/>
    <xf numFmtId="0" fontId="1" fillId="21" borderId="130" applyNumberFormat="0" applyFont="0" applyAlignment="0" applyProtection="0"/>
    <xf numFmtId="0" fontId="80" fillId="0" borderId="0"/>
    <xf numFmtId="0" fontId="1" fillId="21" borderId="130" applyNumberFormat="0" applyFont="0" applyAlignment="0" applyProtection="0"/>
    <xf numFmtId="0" fontId="1" fillId="0" borderId="0"/>
    <xf numFmtId="0" fontId="1" fillId="29" borderId="0" applyNumberFormat="0" applyBorder="0" applyAlignment="0" applyProtection="0"/>
    <xf numFmtId="0" fontId="1" fillId="31" borderId="0" applyNumberFormat="0" applyBorder="0" applyAlignment="0" applyProtection="0"/>
    <xf numFmtId="0" fontId="62"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4" fontId="1" fillId="0" borderId="0"/>
    <xf numFmtId="184" fontId="1" fillId="0" borderId="0"/>
    <xf numFmtId="0" fontId="5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6" fontId="4" fillId="0" borderId="0" applyFont="0" applyFill="0" applyBorder="0" applyAlignment="0" applyProtection="0"/>
    <xf numFmtId="0" fontId="51" fillId="0" borderId="0"/>
    <xf numFmtId="0" fontId="1" fillId="33" borderId="0" applyNumberFormat="0" applyBorder="0" applyAlignment="0" applyProtection="0"/>
    <xf numFmtId="0" fontId="1" fillId="25" borderId="0" applyNumberFormat="0" applyBorder="0" applyAlignment="0" applyProtection="0"/>
    <xf numFmtId="0" fontId="1" fillId="32" borderId="0" applyNumberFormat="0" applyBorder="0" applyAlignment="0" applyProtection="0"/>
    <xf numFmtId="184" fontId="1" fillId="0" borderId="0"/>
    <xf numFmtId="0" fontId="1" fillId="23" borderId="0" applyNumberFormat="0" applyBorder="0" applyAlignment="0" applyProtection="0"/>
    <xf numFmtId="0" fontId="1" fillId="2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9" fontId="62" fillId="0" borderId="0" applyFont="0" applyFill="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2" fillId="0" borderId="0" applyFont="0" applyFill="0" applyBorder="0" applyAlignment="0" applyProtection="0"/>
    <xf numFmtId="0" fontId="68" fillId="0" borderId="0"/>
    <xf numFmtId="44" fontId="1" fillId="0" borderId="0" applyFont="0" applyFill="0" applyBorder="0" applyAlignment="0" applyProtection="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80" fillId="0" borderId="0"/>
    <xf numFmtId="0" fontId="1" fillId="0" borderId="0"/>
    <xf numFmtId="0" fontId="67" fillId="0" borderId="0"/>
    <xf numFmtId="0" fontId="1" fillId="0" borderId="0"/>
    <xf numFmtId="0" fontId="1" fillId="0" borderId="0"/>
    <xf numFmtId="0" fontId="80" fillId="0" borderId="0"/>
    <xf numFmtId="0" fontId="1" fillId="0" borderId="0"/>
    <xf numFmtId="0" fontId="1" fillId="0" borderId="0"/>
    <xf numFmtId="0" fontId="1" fillId="0" borderId="0"/>
    <xf numFmtId="0" fontId="1" fillId="0" borderId="0"/>
    <xf numFmtId="0" fontId="80" fillId="0" borderId="0"/>
    <xf numFmtId="0" fontId="1" fillId="0" borderId="0"/>
    <xf numFmtId="0" fontId="80" fillId="0" borderId="0"/>
    <xf numFmtId="0" fontId="80" fillId="0" borderId="0"/>
    <xf numFmtId="0" fontId="1" fillId="33" borderId="0" applyNumberFormat="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31" borderId="0" applyNumberFormat="0" applyBorder="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9" borderId="0" applyNumberFormat="0" applyBorder="0" applyAlignment="0" applyProtection="0"/>
    <xf numFmtId="0" fontId="1" fillId="2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4" fillId="56" borderId="138" applyNumberFormat="0" applyFont="0" applyAlignment="0" applyProtection="0"/>
    <xf numFmtId="0" fontId="83" fillId="0" borderId="0" applyNumberFormat="0" applyFill="0" applyBorder="0" applyAlignment="0" applyProtection="0"/>
    <xf numFmtId="9" fontId="62" fillId="0" borderId="0" applyFont="0" applyFill="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80" fillId="0" borderId="0"/>
    <xf numFmtId="0" fontId="80" fillId="0" borderId="0"/>
    <xf numFmtId="0" fontId="80" fillId="0" borderId="0"/>
    <xf numFmtId="0" fontId="80" fillId="0" borderId="0"/>
    <xf numFmtId="0" fontId="67" fillId="0" borderId="0"/>
    <xf numFmtId="43" fontId="67"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184" fontId="1" fillId="0" borderId="0"/>
    <xf numFmtId="0" fontId="5" fillId="0" borderId="0"/>
    <xf numFmtId="0" fontId="5" fillId="0" borderId="0"/>
    <xf numFmtId="0" fontId="1" fillId="33" borderId="0" applyNumberFormat="0" applyBorder="0" applyAlignment="0" applyProtection="0"/>
    <xf numFmtId="0" fontId="1" fillId="33" borderId="0" applyNumberFormat="0" applyBorder="0" applyAlignment="0" applyProtection="0"/>
    <xf numFmtId="0" fontId="5" fillId="0" borderId="0"/>
    <xf numFmtId="184" fontId="1" fillId="0" borderId="0"/>
    <xf numFmtId="184" fontId="1" fillId="0" borderId="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80" fillId="0" borderId="0"/>
    <xf numFmtId="0" fontId="1" fillId="21" borderId="130" applyNumberFormat="0" applyFont="0" applyAlignment="0" applyProtection="0"/>
    <xf numFmtId="0" fontId="1" fillId="21" borderId="130" applyNumberFormat="0" applyFont="0" applyAlignment="0" applyProtection="0"/>
    <xf numFmtId="0" fontId="1" fillId="29" borderId="0" applyNumberFormat="0" applyBorder="0" applyAlignment="0" applyProtection="0"/>
    <xf numFmtId="43" fontId="67" fillId="0" borderId="0" applyFont="0" applyFill="0" applyBorder="0" applyAlignment="0" applyProtection="0"/>
    <xf numFmtId="0" fontId="67" fillId="0" borderId="0"/>
    <xf numFmtId="0" fontId="80" fillId="0" borderId="0"/>
    <xf numFmtId="0" fontId="80" fillId="0" borderId="0"/>
    <xf numFmtId="0" fontId="80" fillId="0" borderId="0"/>
    <xf numFmtId="0" fontId="80" fillId="0" borderId="0"/>
    <xf numFmtId="0" fontId="80" fillId="0" borderId="0"/>
    <xf numFmtId="0" fontId="80" fillId="0" borderId="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9" fontId="62" fillId="0" borderId="0" applyFont="0" applyFill="0" applyBorder="0" applyAlignment="0" applyProtection="0"/>
    <xf numFmtId="0" fontId="83" fillId="0" borderId="0" applyNumberFormat="0" applyFill="0" applyBorder="0" applyAlignment="0" applyProtection="0"/>
    <xf numFmtId="0" fontId="81" fillId="52" borderId="139" applyNumberFormat="0" applyAlignment="0" applyProtection="0"/>
    <xf numFmtId="0" fontId="4" fillId="56" borderId="138" applyNumberFormat="0" applyFont="0" applyAlignment="0" applyProtection="0"/>
    <xf numFmtId="0" fontId="62" fillId="36"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2" fillId="39" borderId="0" applyNumberFormat="0" applyBorder="0" applyAlignment="0" applyProtection="0"/>
    <xf numFmtId="0" fontId="1" fillId="22"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 fillId="22"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62" fillId="37" borderId="0" applyNumberFormat="0" applyBorder="0" applyAlignment="0" applyProtection="0"/>
    <xf numFmtId="0" fontId="62" fillId="40" borderId="0" applyNumberFormat="0" applyBorder="0" applyAlignment="0" applyProtection="0"/>
    <xf numFmtId="0" fontId="1" fillId="30" borderId="0" applyNumberFormat="0" applyBorder="0" applyAlignment="0" applyProtection="0"/>
    <xf numFmtId="9" fontId="62" fillId="0" borderId="0" applyFont="0" applyFill="0" applyBorder="0" applyAlignment="0" applyProtection="0"/>
    <xf numFmtId="0" fontId="1" fillId="30" borderId="0" applyNumberFormat="0" applyBorder="0" applyAlignment="0" applyProtection="0"/>
    <xf numFmtId="9" fontId="62" fillId="0" borderId="0" applyFont="0" applyFill="0" applyBorder="0" applyAlignment="0" applyProtection="0"/>
    <xf numFmtId="9" fontId="62" fillId="0" borderId="0" applyFont="0" applyFill="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62" fillId="56" borderId="138" applyNumberFormat="0" applyFont="0" applyAlignment="0" applyProtection="0"/>
    <xf numFmtId="0" fontId="1" fillId="31" borderId="0" applyNumberFormat="0" applyBorder="0" applyAlignment="0" applyProtection="0"/>
    <xf numFmtId="0" fontId="1" fillId="0" borderId="0"/>
    <xf numFmtId="0" fontId="62" fillId="56" borderId="138"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21" borderId="130" applyNumberFormat="0" applyFont="0" applyAlignment="0" applyProtection="0"/>
    <xf numFmtId="0" fontId="1" fillId="33" borderId="0" applyNumberFormat="0" applyBorder="0" applyAlignment="0" applyProtection="0"/>
    <xf numFmtId="0" fontId="1" fillId="21" borderId="130" applyNumberFormat="0" applyFont="0" applyAlignment="0" applyProtection="0"/>
    <xf numFmtId="0" fontId="80" fillId="0" borderId="0"/>
    <xf numFmtId="0" fontId="80" fillId="0" borderId="0"/>
    <xf numFmtId="0" fontId="1" fillId="22" borderId="0" applyNumberFormat="0" applyBorder="0" applyAlignment="0" applyProtection="0"/>
    <xf numFmtId="0" fontId="80" fillId="0" borderId="0"/>
    <xf numFmtId="0" fontId="1" fillId="0" borderId="0"/>
    <xf numFmtId="0" fontId="1" fillId="0" borderId="0"/>
    <xf numFmtId="0" fontId="80" fillId="0" borderId="0"/>
    <xf numFmtId="0" fontId="62" fillId="56" borderId="138" applyNumberFormat="0" applyFont="0" applyAlignment="0" applyProtection="0"/>
    <xf numFmtId="0" fontId="62" fillId="56" borderId="138" applyNumberFormat="0" applyFont="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1" borderId="0" applyNumberFormat="0" applyBorder="0" applyAlignment="0" applyProtection="0"/>
    <xf numFmtId="0" fontId="80" fillId="0" borderId="0"/>
    <xf numFmtId="0" fontId="1" fillId="0" borderId="0"/>
    <xf numFmtId="0" fontId="1" fillId="0" borderId="0"/>
    <xf numFmtId="0" fontId="67" fillId="0" borderId="0"/>
    <xf numFmtId="0" fontId="1" fillId="0" borderId="0"/>
    <xf numFmtId="0" fontId="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44" fontId="1" fillId="0" borderId="0" applyFont="0" applyFill="0" applyBorder="0" applyAlignment="0" applyProtection="0"/>
    <xf numFmtId="43" fontId="62" fillId="0" borderId="0" applyFont="0" applyFill="0" applyBorder="0" applyAlignment="0" applyProtection="0"/>
    <xf numFmtId="0" fontId="68" fillId="0" borderId="0"/>
    <xf numFmtId="43" fontId="62" fillId="0" borderId="0" applyFont="0" applyFill="0" applyBorder="0" applyAlignment="0" applyProtection="0"/>
    <xf numFmtId="43" fontId="6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9" fontId="62" fillId="0" borderId="0" applyFont="0" applyFill="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166" fontId="4" fillId="0" borderId="0" applyFon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184" fontId="1" fillId="0" borderId="0"/>
    <xf numFmtId="0" fontId="1" fillId="3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184" fontId="1" fillId="0" borderId="0"/>
    <xf numFmtId="0" fontId="1" fillId="33" borderId="0" applyNumberFormat="0" applyBorder="0" applyAlignment="0" applyProtection="0"/>
    <xf numFmtId="0" fontId="51" fillId="0" borderId="0"/>
    <xf numFmtId="166" fontId="4" fillId="0" borderId="0" applyFont="0" applyFill="0" applyBorder="0" applyAlignment="0" applyProtection="0"/>
    <xf numFmtId="0" fontId="4" fillId="0" borderId="0"/>
    <xf numFmtId="0" fontId="62" fillId="34" borderId="0" applyNumberFormat="0" applyBorder="0" applyAlignment="0" applyProtection="0"/>
    <xf numFmtId="0" fontId="62" fillId="34"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62" fillId="39"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43" borderId="0" applyNumberFormat="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1" fillId="21" borderId="130"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1" fillId="3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3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6"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1" fillId="24" borderId="0" applyNumberFormat="0" applyBorder="0" applyAlignment="0" applyProtection="0"/>
    <xf numFmtId="0" fontId="51" fillId="0" borderId="0"/>
    <xf numFmtId="0" fontId="1" fillId="24" borderId="0" applyNumberFormat="0" applyBorder="0" applyAlignment="0" applyProtection="0"/>
    <xf numFmtId="0" fontId="1" fillId="29" borderId="0" applyNumberFormat="0" applyBorder="0" applyAlignment="0" applyProtection="0"/>
    <xf numFmtId="0" fontId="1" fillId="21" borderId="130" applyNumberFormat="0" applyFont="0" applyAlignment="0" applyProtection="0"/>
    <xf numFmtId="0" fontId="80" fillId="0" borderId="0"/>
    <xf numFmtId="0" fontId="1" fillId="21" borderId="130" applyNumberFormat="0" applyFont="0" applyAlignment="0" applyProtection="0"/>
    <xf numFmtId="0" fontId="1" fillId="21" borderId="130" applyNumberFormat="0" applyFont="0" applyAlignment="0" applyProtection="0"/>
    <xf numFmtId="0" fontId="1" fillId="0" borderId="0"/>
    <xf numFmtId="0" fontId="80" fillId="0" borderId="0"/>
    <xf numFmtId="0" fontId="4" fillId="0" borderId="0"/>
    <xf numFmtId="0" fontId="1" fillId="31"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2" borderId="0" applyNumberFormat="0" applyBorder="0" applyAlignment="0" applyProtection="0"/>
    <xf numFmtId="0" fontId="1" fillId="32" borderId="0" applyNumberFormat="0" applyBorder="0" applyAlignment="0" applyProtection="0"/>
    <xf numFmtId="166" fontId="4" fillId="0" borderId="0" applyFont="0" applyFill="0" applyBorder="0" applyAlignment="0" applyProtection="0"/>
    <xf numFmtId="0" fontId="62" fillId="40" borderId="0" applyNumberFormat="0" applyBorder="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0" borderId="0"/>
    <xf numFmtId="43" fontId="4" fillId="0" borderId="0" applyFont="0" applyFill="0" applyBorder="0" applyAlignment="0" applyProtection="0"/>
    <xf numFmtId="0" fontId="62" fillId="43" borderId="0" applyNumberFormat="0" applyBorder="0" applyAlignment="0" applyProtection="0"/>
    <xf numFmtId="0" fontId="62" fillId="41" borderId="0" applyNumberFormat="0" applyBorder="0" applyAlignment="0" applyProtection="0"/>
    <xf numFmtId="0" fontId="62" fillId="39" borderId="0" applyNumberFormat="0" applyBorder="0" applyAlignment="0" applyProtection="0"/>
    <xf numFmtId="0" fontId="62" fillId="38" borderId="0" applyNumberFormat="0" applyBorder="0" applyAlignment="0" applyProtection="0"/>
    <xf numFmtId="0" fontId="62" fillId="36" borderId="0" applyNumberFormat="0" applyBorder="0" applyAlignment="0" applyProtection="0"/>
    <xf numFmtId="0" fontId="62" fillId="34" borderId="0" applyNumberFormat="0" applyBorder="0" applyAlignment="0" applyProtection="0"/>
    <xf numFmtId="0" fontId="1" fillId="28" borderId="0" applyNumberFormat="0" applyBorder="0" applyAlignment="0" applyProtection="0"/>
    <xf numFmtId="0" fontId="1" fillId="33" borderId="0" applyNumberFormat="0" applyBorder="0" applyAlignment="0" applyProtection="0"/>
    <xf numFmtId="0" fontId="4" fillId="0" borderId="0"/>
    <xf numFmtId="0" fontId="4" fillId="0" borderId="0"/>
    <xf numFmtId="0" fontId="4" fillId="56" borderId="138" applyNumberFormat="0" applyFont="0" applyAlignment="0" applyProtection="0"/>
    <xf numFmtId="0" fontId="4" fillId="56" borderId="138" applyNumberFormat="0" applyFont="0" applyAlignment="0" applyProtection="0"/>
    <xf numFmtId="0" fontId="4" fillId="0" borderId="0"/>
    <xf numFmtId="0" fontId="1" fillId="23" borderId="0" applyNumberFormat="0" applyBorder="0" applyAlignment="0" applyProtection="0"/>
    <xf numFmtId="0" fontId="1" fillId="24" borderId="0" applyNumberFormat="0" applyBorder="0" applyAlignment="0" applyProtection="0"/>
    <xf numFmtId="43" fontId="67" fillId="0" borderId="0" applyFont="0" applyFill="0" applyBorder="0" applyAlignment="0" applyProtection="0"/>
    <xf numFmtId="43" fontId="62" fillId="0" borderId="0" applyFont="0" applyFill="0" applyBorder="0" applyAlignment="0" applyProtection="0"/>
    <xf numFmtId="0" fontId="1" fillId="0" borderId="0"/>
    <xf numFmtId="0" fontId="1" fillId="0" borderId="0"/>
    <xf numFmtId="0" fontId="80" fillId="0" borderId="0"/>
    <xf numFmtId="0" fontId="1" fillId="21" borderId="130" applyNumberFormat="0" applyFont="0" applyAlignment="0" applyProtection="0"/>
    <xf numFmtId="0" fontId="62" fillId="56" borderId="138" applyNumberFormat="0" applyFont="0" applyAlignment="0" applyProtection="0"/>
    <xf numFmtId="0" fontId="1" fillId="27" borderId="0" applyNumberFormat="0" applyBorder="0" applyAlignment="0" applyProtection="0"/>
    <xf numFmtId="0" fontId="1" fillId="32" borderId="0" applyNumberFormat="0" applyBorder="0" applyAlignment="0" applyProtection="0"/>
    <xf numFmtId="0" fontId="1" fillId="21" borderId="130" applyNumberFormat="0" applyFont="0" applyAlignment="0" applyProtection="0"/>
    <xf numFmtId="0" fontId="1" fillId="2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5" fillId="0" borderId="0"/>
    <xf numFmtId="0" fontId="1" fillId="29" borderId="0" applyNumberFormat="0" applyBorder="0" applyAlignment="0" applyProtection="0"/>
    <xf numFmtId="9" fontId="62" fillId="0" borderId="0" applyFont="0" applyFill="0" applyBorder="0" applyAlignment="0" applyProtection="0"/>
    <xf numFmtId="0" fontId="62" fillId="38" borderId="0" applyNumberFormat="0" applyBorder="0" applyAlignment="0" applyProtection="0"/>
    <xf numFmtId="0" fontId="62" fillId="39" borderId="0" applyNumberFormat="0" applyBorder="0" applyAlignment="0" applyProtection="0"/>
    <xf numFmtId="0" fontId="1" fillId="0" borderId="0"/>
    <xf numFmtId="0" fontId="1" fillId="21" borderId="130" applyNumberFormat="0" applyFont="0" applyAlignment="0" applyProtection="0"/>
    <xf numFmtId="0" fontId="1" fillId="0" borderId="0"/>
    <xf numFmtId="0" fontId="1" fillId="0" borderId="0"/>
    <xf numFmtId="0" fontId="1" fillId="31" borderId="0" applyNumberFormat="0" applyBorder="0" applyAlignment="0" applyProtection="0"/>
    <xf numFmtId="0" fontId="85" fillId="0" borderId="0" applyNumberFormat="0" applyFill="0" applyBorder="0" applyAlignment="0" applyProtection="0"/>
    <xf numFmtId="0" fontId="80" fillId="0" borderId="0"/>
    <xf numFmtId="0" fontId="1" fillId="28" borderId="0" applyNumberFormat="0" applyBorder="0" applyAlignment="0" applyProtection="0"/>
    <xf numFmtId="0" fontId="1" fillId="21" borderId="130" applyNumberFormat="0" applyFont="0" applyAlignment="0" applyProtection="0"/>
    <xf numFmtId="0" fontId="1" fillId="30" borderId="0" applyNumberFormat="0" applyBorder="0" applyAlignment="0" applyProtection="0"/>
    <xf numFmtId="0" fontId="84" fillId="0" borderId="140" applyNumberFormat="0" applyFill="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37"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62" fillId="40"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6"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5"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1" fillId="24" borderId="0" applyNumberFormat="0" applyBorder="0" applyAlignment="0" applyProtection="0"/>
    <xf numFmtId="0" fontId="51" fillId="0" borderId="0"/>
    <xf numFmtId="0" fontId="1" fillId="24" borderId="0" applyNumberFormat="0" applyBorder="0" applyAlignment="0" applyProtection="0"/>
    <xf numFmtId="0" fontId="1" fillId="21" borderId="130" applyNumberFormat="0" applyFont="0" applyAlignment="0" applyProtection="0"/>
    <xf numFmtId="0" fontId="80" fillId="0" borderId="0"/>
    <xf numFmtId="0" fontId="1" fillId="21" borderId="130" applyNumberFormat="0" applyFont="0" applyAlignment="0" applyProtection="0"/>
    <xf numFmtId="0" fontId="1" fillId="21" borderId="130" applyNumberFormat="0" applyFont="0" applyAlignment="0" applyProtection="0"/>
    <xf numFmtId="0" fontId="1" fillId="0" borderId="0"/>
    <xf numFmtId="0" fontId="80" fillId="0" borderId="0"/>
    <xf numFmtId="0" fontId="4" fillId="0" borderId="0"/>
    <xf numFmtId="0" fontId="1" fillId="31" borderId="0" applyNumberFormat="0" applyBorder="0" applyAlignment="0" applyProtection="0"/>
    <xf numFmtId="0" fontId="1" fillId="2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8" borderId="0" applyNumberFormat="0" applyBorder="0" applyAlignment="0" applyProtection="0"/>
    <xf numFmtId="0" fontId="1" fillId="24" borderId="0" applyNumberFormat="0" applyBorder="0" applyAlignment="0" applyProtection="0"/>
    <xf numFmtId="0" fontId="1" fillId="22" borderId="0" applyNumberFormat="0" applyBorder="0" applyAlignment="0" applyProtection="0"/>
    <xf numFmtId="0" fontId="1" fillId="32" borderId="0" applyNumberFormat="0" applyBorder="0" applyAlignment="0" applyProtection="0"/>
    <xf numFmtId="166" fontId="4" fillId="0" borderId="0" applyFont="0" applyFill="0" applyBorder="0" applyAlignment="0" applyProtection="0"/>
    <xf numFmtId="0" fontId="4" fillId="56" borderId="138" applyNumberFormat="0" applyFont="0" applyAlignment="0" applyProtection="0"/>
    <xf numFmtId="0" fontId="4" fillId="56" borderId="138" applyNumberFormat="0" applyFont="0" applyAlignment="0" applyProtection="0"/>
    <xf numFmtId="0" fontId="4" fillId="56" borderId="138" applyNumberFormat="0" applyFont="0" applyAlignment="0" applyProtection="0"/>
    <xf numFmtId="0" fontId="4" fillId="0" borderId="0"/>
    <xf numFmtId="43" fontId="4" fillId="0" borderId="0" applyFont="0" applyFill="0" applyBorder="0" applyAlignment="0" applyProtection="0"/>
    <xf numFmtId="0" fontId="62" fillId="43" borderId="0" applyNumberFormat="0" applyBorder="0" applyAlignment="0" applyProtection="0"/>
    <xf numFmtId="0" fontId="62" fillId="41" borderId="0" applyNumberFormat="0" applyBorder="0" applyAlignment="0" applyProtection="0"/>
    <xf numFmtId="0" fontId="62" fillId="39" borderId="0" applyNumberFormat="0" applyBorder="0" applyAlignment="0" applyProtection="0"/>
    <xf numFmtId="0" fontId="62" fillId="38" borderId="0" applyNumberFormat="0" applyBorder="0" applyAlignment="0" applyProtection="0"/>
    <xf numFmtId="0" fontId="62" fillId="36" borderId="0" applyNumberFormat="0" applyBorder="0" applyAlignment="0" applyProtection="0"/>
    <xf numFmtId="0" fontId="62" fillId="34" borderId="0" applyNumberFormat="0" applyBorder="0" applyAlignment="0" applyProtection="0"/>
    <xf numFmtId="0" fontId="1" fillId="28" borderId="0" applyNumberFormat="0" applyBorder="0" applyAlignment="0" applyProtection="0"/>
    <xf numFmtId="0" fontId="5" fillId="0" borderId="0"/>
    <xf numFmtId="0" fontId="1" fillId="29" borderId="0" applyNumberFormat="0" applyBorder="0" applyAlignment="0" applyProtection="0"/>
    <xf numFmtId="9" fontId="62" fillId="0" borderId="0" applyFont="0" applyFill="0" applyBorder="0" applyAlignment="0" applyProtection="0"/>
    <xf numFmtId="0" fontId="1" fillId="21" borderId="130" applyNumberFormat="0" applyFont="0" applyAlignment="0" applyProtection="0"/>
    <xf numFmtId="0" fontId="1" fillId="0" borderId="0"/>
    <xf numFmtId="0" fontId="1" fillId="0" borderId="0"/>
    <xf numFmtId="0" fontId="1" fillId="31" borderId="0" applyNumberFormat="0" applyBorder="0" applyAlignment="0" applyProtection="0"/>
    <xf numFmtId="0" fontId="85" fillId="0" borderId="0" applyNumberFormat="0" applyFill="0" applyBorder="0" applyAlignment="0" applyProtection="0"/>
    <xf numFmtId="0" fontId="84" fillId="0" borderId="140" applyNumberFormat="0" applyFill="0" applyAlignment="0" applyProtection="0"/>
    <xf numFmtId="0" fontId="5" fillId="0" borderId="0"/>
    <xf numFmtId="0" fontId="85" fillId="0" borderId="0" applyNumberFormat="0" applyFill="0" applyBorder="0" applyAlignment="0" applyProtection="0"/>
    <xf numFmtId="0" fontId="84" fillId="0" borderId="140"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cellStyleXfs>
  <cellXfs count="2857">
    <xf numFmtId="0" fontId="0" fillId="0" borderId="0" xfId="0"/>
    <xf numFmtId="0" fontId="7" fillId="0" borderId="0" xfId="0" applyFont="1"/>
    <xf numFmtId="0" fontId="5" fillId="0" borderId="0" xfId="0" applyFont="1"/>
    <xf numFmtId="0" fontId="8" fillId="0" borderId="0" xfId="0" applyFont="1"/>
    <xf numFmtId="0" fontId="5" fillId="0" borderId="1" xfId="0" applyFont="1" applyBorder="1" applyAlignment="1">
      <alignment horizontal="center"/>
    </xf>
    <xf numFmtId="0" fontId="5" fillId="0" borderId="0" xfId="0" applyFont="1" applyBorder="1" applyAlignment="1">
      <alignment horizontal="center"/>
    </xf>
    <xf numFmtId="0" fontId="5" fillId="0" borderId="0" xfId="0" applyFont="1" applyBorder="1"/>
    <xf numFmtId="9" fontId="8" fillId="0" borderId="2" xfId="12" applyFont="1" applyBorder="1" applyAlignment="1">
      <alignment horizontal="center"/>
    </xf>
    <xf numFmtId="0" fontId="8" fillId="0" borderId="2" xfId="0" applyFont="1" applyBorder="1"/>
    <xf numFmtId="0" fontId="5" fillId="0" borderId="0" xfId="0" applyFont="1" applyAlignment="1">
      <alignment horizontal="center"/>
    </xf>
    <xf numFmtId="0" fontId="5" fillId="0" borderId="3" xfId="0" applyFont="1" applyBorder="1"/>
    <xf numFmtId="0" fontId="5" fillId="0" borderId="4" xfId="0" applyFont="1" applyBorder="1"/>
    <xf numFmtId="0" fontId="8" fillId="0" borderId="1" xfId="0" applyFont="1" applyBorder="1" applyAlignment="1">
      <alignment horizontal="center"/>
    </xf>
    <xf numFmtId="0" fontId="5" fillId="0" borderId="1" xfId="0" applyFont="1" applyBorder="1"/>
    <xf numFmtId="0" fontId="5" fillId="0" borderId="5" xfId="0" applyFont="1" applyBorder="1"/>
    <xf numFmtId="0" fontId="8" fillId="0" borderId="1" xfId="0" applyFont="1" applyBorder="1"/>
    <xf numFmtId="0" fontId="5" fillId="0" borderId="6" xfId="0" applyFont="1" applyBorder="1"/>
    <xf numFmtId="0" fontId="5" fillId="0" borderId="7" xfId="0" applyFont="1" applyBorder="1"/>
    <xf numFmtId="0" fontId="5" fillId="0" borderId="8" xfId="0" applyFont="1" applyBorder="1"/>
    <xf numFmtId="0" fontId="5" fillId="0" borderId="9" xfId="0" applyFont="1" applyBorder="1"/>
    <xf numFmtId="0" fontId="5" fillId="0" borderId="10" xfId="0" applyFont="1" applyBorder="1"/>
    <xf numFmtId="0" fontId="5" fillId="0" borderId="11" xfId="0" applyFont="1" applyBorder="1" applyAlignment="1">
      <alignment horizontal="center"/>
    </xf>
    <xf numFmtId="0" fontId="5" fillId="0" borderId="5" xfId="0" applyFont="1" applyBorder="1" applyAlignment="1">
      <alignment horizontal="center"/>
    </xf>
    <xf numFmtId="0" fontId="5" fillId="0" borderId="1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8" fillId="2" borderId="1" xfId="0" applyFont="1" applyFill="1" applyBorder="1" applyAlignment="1">
      <alignment horizontal="center" vertical="top" wrapText="1"/>
    </xf>
    <xf numFmtId="0" fontId="8" fillId="2" borderId="13" xfId="0" applyFont="1" applyFill="1" applyBorder="1" applyAlignment="1">
      <alignment horizontal="center" vertical="top" wrapText="1"/>
    </xf>
    <xf numFmtId="0" fontId="8" fillId="2" borderId="14" xfId="0" applyFont="1" applyFill="1" applyBorder="1" applyAlignment="1">
      <alignment horizontal="center" vertical="top" wrapText="1"/>
    </xf>
    <xf numFmtId="0" fontId="8" fillId="2" borderId="15"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9" xfId="0" applyFont="1" applyFill="1" applyBorder="1" applyAlignment="1">
      <alignment horizontal="center" vertical="top" wrapText="1"/>
    </xf>
    <xf numFmtId="0" fontId="8" fillId="2" borderId="16" xfId="0" applyFont="1" applyFill="1" applyBorder="1" applyAlignment="1">
      <alignment horizontal="center" vertical="top" wrapText="1"/>
    </xf>
    <xf numFmtId="0" fontId="7" fillId="2" borderId="5" xfId="0" applyFont="1" applyFill="1" applyBorder="1" applyAlignment="1">
      <alignment horizontal="center" vertical="center"/>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11" xfId="0" applyFont="1" applyFill="1" applyBorder="1" applyAlignment="1">
      <alignment horizontal="center" vertical="center"/>
    </xf>
    <xf numFmtId="0" fontId="8" fillId="0" borderId="1" xfId="0" applyFont="1" applyBorder="1" applyAlignment="1">
      <alignment horizontal="left"/>
    </xf>
    <xf numFmtId="0" fontId="8" fillId="0" borderId="5" xfId="0" applyFont="1" applyBorder="1" applyAlignment="1">
      <alignment horizontal="center"/>
    </xf>
    <xf numFmtId="0" fontId="8" fillId="2" borderId="0" xfId="0" applyFont="1" applyFill="1" applyBorder="1" applyAlignment="1">
      <alignment horizontal="center" vertical="center" wrapText="1"/>
    </xf>
    <xf numFmtId="0" fontId="8" fillId="2" borderId="17" xfId="0" applyFont="1" applyFill="1" applyBorder="1" applyAlignment="1">
      <alignment horizontal="center"/>
    </xf>
    <xf numFmtId="0" fontId="5" fillId="3" borderId="12" xfId="0" applyFont="1" applyFill="1" applyBorder="1" applyAlignment="1">
      <alignment horizontal="left"/>
    </xf>
    <xf numFmtId="0" fontId="5" fillId="3" borderId="6" xfId="0" applyFont="1" applyFill="1" applyBorder="1"/>
    <xf numFmtId="0" fontId="5" fillId="3" borderId="7" xfId="0" applyFont="1" applyFill="1" applyBorder="1"/>
    <xf numFmtId="0" fontId="5" fillId="3" borderId="3" xfId="0" applyFont="1" applyFill="1" applyBorder="1" applyAlignment="1">
      <alignment horizontal="left"/>
    </xf>
    <xf numFmtId="0" fontId="5" fillId="3" borderId="0" xfId="0" applyFont="1" applyFill="1" applyBorder="1"/>
    <xf numFmtId="0" fontId="5" fillId="3" borderId="8" xfId="0" applyFont="1" applyFill="1" applyBorder="1"/>
    <xf numFmtId="0" fontId="8" fillId="4" borderId="2" xfId="0" applyFont="1" applyFill="1" applyBorder="1" applyAlignment="1">
      <alignment horizontal="center"/>
    </xf>
    <xf numFmtId="0" fontId="8" fillId="5" borderId="2" xfId="0" applyFont="1" applyFill="1" applyBorder="1" applyAlignment="1">
      <alignment horizontal="center"/>
    </xf>
    <xf numFmtId="0" fontId="5" fillId="3" borderId="6" xfId="0" applyFont="1" applyFill="1" applyBorder="1" applyAlignment="1">
      <alignment horizontal="center"/>
    </xf>
    <xf numFmtId="0" fontId="5" fillId="3" borderId="0" xfId="0" applyFont="1" applyFill="1" applyBorder="1" applyAlignment="1">
      <alignment horizontal="center"/>
    </xf>
    <xf numFmtId="0" fontId="8" fillId="0" borderId="0" xfId="0" applyFont="1" applyAlignment="1">
      <alignment horizontal="right"/>
    </xf>
    <xf numFmtId="9" fontId="5" fillId="0" borderId="1" xfId="12" applyFont="1" applyBorder="1" applyAlignment="1">
      <alignment horizontal="center"/>
    </xf>
    <xf numFmtId="9" fontId="5" fillId="0" borderId="5" xfId="12" applyFont="1" applyBorder="1" applyAlignment="1">
      <alignment horizontal="center"/>
    </xf>
    <xf numFmtId="0" fontId="5" fillId="0" borderId="12" xfId="0" applyFont="1" applyBorder="1"/>
    <xf numFmtId="9" fontId="5" fillId="0" borderId="11" xfId="12" applyFont="1" applyBorder="1" applyAlignment="1">
      <alignment horizontal="center"/>
    </xf>
    <xf numFmtId="171" fontId="5" fillId="0" borderId="1" xfId="12" applyNumberFormat="1" applyFont="1" applyBorder="1" applyAlignment="1">
      <alignment horizontal="center"/>
    </xf>
    <xf numFmtId="171" fontId="5" fillId="0" borderId="5" xfId="12" applyNumberFormat="1" applyFont="1" applyBorder="1" applyAlignment="1">
      <alignment horizontal="center"/>
    </xf>
    <xf numFmtId="10" fontId="5" fillId="0" borderId="1" xfId="12" applyNumberFormat="1" applyFont="1" applyBorder="1" applyAlignment="1">
      <alignment horizontal="center"/>
    </xf>
    <xf numFmtId="9" fontId="8" fillId="0" borderId="2" xfId="0" applyNumberFormat="1" applyFont="1" applyBorder="1" applyAlignment="1">
      <alignment horizontal="center"/>
    </xf>
    <xf numFmtId="166" fontId="5" fillId="0" borderId="1" xfId="1" applyFont="1" applyBorder="1" applyAlignment="1">
      <alignment horizontal="center"/>
    </xf>
    <xf numFmtId="0" fontId="8" fillId="2" borderId="1" xfId="0" applyFont="1" applyFill="1" applyBorder="1" applyAlignment="1">
      <alignment horizontal="center" vertical="center"/>
    </xf>
    <xf numFmtId="1" fontId="8" fillId="0" borderId="2" xfId="0" applyNumberFormat="1" applyFont="1" applyBorder="1" applyAlignment="1">
      <alignment horizontal="center"/>
    </xf>
    <xf numFmtId="166" fontId="8" fillId="0" borderId="1" xfId="0" applyNumberFormat="1" applyFont="1" applyBorder="1" applyAlignment="1">
      <alignment horizontal="center"/>
    </xf>
    <xf numFmtId="2" fontId="5" fillId="0" borderId="1" xfId="0" applyNumberFormat="1" applyFont="1" applyBorder="1" applyAlignment="1">
      <alignment horizontal="center"/>
    </xf>
    <xf numFmtId="2" fontId="5" fillId="0" borderId="5" xfId="0" applyNumberFormat="1" applyFont="1" applyBorder="1" applyAlignment="1">
      <alignment horizontal="center"/>
    </xf>
    <xf numFmtId="2" fontId="5" fillId="0" borderId="11" xfId="0" applyNumberFormat="1" applyFont="1" applyBorder="1" applyAlignment="1">
      <alignment horizontal="center"/>
    </xf>
    <xf numFmtId="9" fontId="8" fillId="0" borderId="2" xfId="12" applyNumberFormat="1" applyFont="1" applyBorder="1" applyAlignment="1">
      <alignment horizontal="center"/>
    </xf>
    <xf numFmtId="0" fontId="5" fillId="0" borderId="2" xfId="0" applyFont="1" applyBorder="1"/>
    <xf numFmtId="0" fontId="8" fillId="0" borderId="1" xfId="0" applyFont="1" applyBorder="1" applyAlignment="1">
      <alignment horizontal="left" indent="1"/>
    </xf>
    <xf numFmtId="0" fontId="5" fillId="0" borderId="1" xfId="0" applyFont="1" applyBorder="1" applyAlignment="1">
      <alignment horizontal="left" indent="2"/>
    </xf>
    <xf numFmtId="0" fontId="5" fillId="0" borderId="1" xfId="0" applyFont="1" applyBorder="1" applyAlignment="1">
      <alignment horizontal="left" indent="3"/>
    </xf>
    <xf numFmtId="176" fontId="5" fillId="0" borderId="11" xfId="0" applyNumberFormat="1" applyFont="1" applyBorder="1"/>
    <xf numFmtId="176" fontId="5" fillId="0" borderId="12" xfId="0" applyNumberFormat="1" applyFont="1" applyBorder="1"/>
    <xf numFmtId="176" fontId="5" fillId="0" borderId="18" xfId="0" applyNumberFormat="1" applyFont="1" applyBorder="1"/>
    <xf numFmtId="176" fontId="5" fillId="0" borderId="19" xfId="0" applyNumberFormat="1" applyFont="1" applyBorder="1"/>
    <xf numFmtId="176" fontId="5" fillId="0" borderId="1" xfId="0" applyNumberFormat="1" applyFont="1" applyBorder="1"/>
    <xf numFmtId="176" fontId="5" fillId="0" borderId="3" xfId="0" applyNumberFormat="1" applyFont="1" applyBorder="1"/>
    <xf numFmtId="176" fontId="5" fillId="0" borderId="13" xfId="0" applyNumberFormat="1" applyFont="1" applyBorder="1"/>
    <xf numFmtId="176" fontId="5" fillId="0" borderId="14" xfId="0" applyNumberFormat="1" applyFont="1" applyBorder="1"/>
    <xf numFmtId="176" fontId="8" fillId="0" borderId="1" xfId="0" applyNumberFormat="1" applyFont="1" applyBorder="1"/>
    <xf numFmtId="176" fontId="8" fillId="0" borderId="3" xfId="0" applyNumberFormat="1" applyFont="1" applyBorder="1"/>
    <xf numFmtId="176" fontId="8" fillId="0" borderId="13" xfId="0" applyNumberFormat="1" applyFont="1" applyBorder="1"/>
    <xf numFmtId="176" fontId="8" fillId="0" borderId="14" xfId="0" applyNumberFormat="1" applyFont="1" applyBorder="1"/>
    <xf numFmtId="176" fontId="5" fillId="0" borderId="20" xfId="0" applyNumberFormat="1" applyFont="1" applyBorder="1"/>
    <xf numFmtId="176" fontId="5" fillId="0" borderId="21" xfId="0" applyNumberFormat="1" applyFont="1" applyBorder="1"/>
    <xf numFmtId="176" fontId="5" fillId="0" borderId="22" xfId="0" applyNumberFormat="1" applyFont="1" applyBorder="1"/>
    <xf numFmtId="176" fontId="5" fillId="0" borderId="23" xfId="0" applyNumberFormat="1" applyFont="1" applyBorder="1"/>
    <xf numFmtId="176" fontId="5" fillId="0" borderId="24" xfId="0" applyNumberFormat="1" applyFont="1" applyBorder="1"/>
    <xf numFmtId="176" fontId="5" fillId="0" borderId="25" xfId="0" applyNumberFormat="1" applyFont="1" applyBorder="1"/>
    <xf numFmtId="176" fontId="5" fillId="0" borderId="26" xfId="0" applyNumberFormat="1" applyFont="1" applyBorder="1"/>
    <xf numFmtId="176" fontId="5" fillId="0" borderId="27" xfId="0" applyNumberFormat="1" applyFont="1" applyBorder="1"/>
    <xf numFmtId="176" fontId="8" fillId="0" borderId="2" xfId="0" applyNumberFormat="1" applyFont="1" applyBorder="1"/>
    <xf numFmtId="176" fontId="8" fillId="0" borderId="17" xfId="0" applyNumberFormat="1" applyFont="1" applyBorder="1"/>
    <xf numFmtId="176" fontId="8" fillId="0" borderId="28" xfId="0" applyNumberFormat="1" applyFont="1" applyBorder="1"/>
    <xf numFmtId="176" fontId="8" fillId="0" borderId="29" xfId="0" applyNumberFormat="1" applyFont="1" applyBorder="1"/>
    <xf numFmtId="176" fontId="5" fillId="0" borderId="5" xfId="0" applyNumberFormat="1" applyFont="1" applyBorder="1"/>
    <xf numFmtId="0" fontId="7" fillId="0" borderId="1" xfId="0" applyFont="1" applyBorder="1" applyAlignment="1">
      <alignment horizontal="left" indent="2"/>
    </xf>
    <xf numFmtId="0" fontId="7" fillId="0" borderId="1" xfId="0" applyFont="1" applyBorder="1" applyAlignment="1">
      <alignment horizontal="left" indent="3"/>
    </xf>
    <xf numFmtId="0" fontId="8" fillId="0" borderId="1" xfId="0" applyFont="1" applyBorder="1" applyAlignment="1">
      <alignment horizontal="left" indent="2"/>
    </xf>
    <xf numFmtId="176" fontId="5" fillId="0" borderId="30" xfId="0" applyNumberFormat="1" applyFont="1" applyBorder="1"/>
    <xf numFmtId="176" fontId="8" fillId="0" borderId="20" xfId="0" applyNumberFormat="1" applyFont="1" applyBorder="1"/>
    <xf numFmtId="176" fontId="8" fillId="0" borderId="21" xfId="0" applyNumberFormat="1" applyFont="1" applyBorder="1"/>
    <xf numFmtId="176" fontId="8" fillId="0" borderId="22" xfId="0" applyNumberFormat="1" applyFont="1" applyBorder="1"/>
    <xf numFmtId="176" fontId="8" fillId="0" borderId="24" xfId="0" applyNumberFormat="1" applyFont="1" applyBorder="1"/>
    <xf numFmtId="176" fontId="8" fillId="0" borderId="25" xfId="0" applyNumberFormat="1" applyFont="1" applyBorder="1"/>
    <xf numFmtId="176" fontId="8" fillId="0" borderId="26" xfId="0" applyNumberFormat="1" applyFont="1" applyBorder="1"/>
    <xf numFmtId="176" fontId="7" fillId="0" borderId="20" xfId="0" applyNumberFormat="1" applyFont="1" applyBorder="1"/>
    <xf numFmtId="176" fontId="7" fillId="0" borderId="21" xfId="0" applyNumberFormat="1" applyFont="1" applyBorder="1"/>
    <xf numFmtId="176" fontId="7" fillId="0" borderId="22" xfId="0" applyNumberFormat="1" applyFont="1" applyBorder="1"/>
    <xf numFmtId="176" fontId="7" fillId="0" borderId="1" xfId="0" applyNumberFormat="1" applyFont="1" applyBorder="1"/>
    <xf numFmtId="176" fontId="7" fillId="0" borderId="3" xfId="0" applyNumberFormat="1" applyFont="1" applyBorder="1"/>
    <xf numFmtId="176" fontId="7" fillId="0" borderId="13" xfId="0" applyNumberFormat="1" applyFont="1" applyBorder="1"/>
    <xf numFmtId="176" fontId="7" fillId="0" borderId="24" xfId="0" applyNumberFormat="1" applyFont="1" applyBorder="1"/>
    <xf numFmtId="176" fontId="7" fillId="0" borderId="25" xfId="0" applyNumberFormat="1" applyFont="1" applyBorder="1"/>
    <xf numFmtId="176" fontId="7" fillId="0" borderId="26" xfId="0" applyNumberFormat="1" applyFont="1" applyBorder="1"/>
    <xf numFmtId="176" fontId="7" fillId="0" borderId="14" xfId="0" applyNumberFormat="1" applyFont="1" applyBorder="1"/>
    <xf numFmtId="176" fontId="8" fillId="0" borderId="23" xfId="0" applyNumberFormat="1" applyFont="1" applyBorder="1"/>
    <xf numFmtId="176" fontId="8" fillId="0" borderId="27" xfId="0" applyNumberFormat="1" applyFont="1" applyBorder="1"/>
    <xf numFmtId="176" fontId="7" fillId="0" borderId="23" xfId="0" applyNumberFormat="1" applyFont="1" applyBorder="1"/>
    <xf numFmtId="176" fontId="7" fillId="0" borderId="27" xfId="0" applyNumberFormat="1" applyFont="1" applyBorder="1"/>
    <xf numFmtId="0" fontId="8" fillId="2" borderId="12" xfId="0" applyFont="1" applyFill="1" applyBorder="1" applyAlignment="1"/>
    <xf numFmtId="0" fontId="8" fillId="2" borderId="6" xfId="0" applyFont="1" applyFill="1" applyBorder="1" applyAlignment="1"/>
    <xf numFmtId="176" fontId="5" fillId="0" borderId="0" xfId="0" applyNumberFormat="1" applyFont="1"/>
    <xf numFmtId="176" fontId="5" fillId="6" borderId="1" xfId="0" applyNumberFormat="1" applyFont="1" applyFill="1" applyBorder="1"/>
    <xf numFmtId="176" fontId="5" fillId="0" borderId="24" xfId="0" applyNumberFormat="1" applyFont="1" applyFill="1" applyBorder="1"/>
    <xf numFmtId="176" fontId="5" fillId="0" borderId="4" xfId="0" applyNumberFormat="1" applyFont="1" applyBorder="1"/>
    <xf numFmtId="176" fontId="5" fillId="0" borderId="31" xfId="0" applyNumberFormat="1" applyFont="1" applyBorder="1"/>
    <xf numFmtId="176" fontId="5" fillId="0" borderId="32" xfId="0" applyNumberFormat="1" applyFont="1" applyBorder="1"/>
    <xf numFmtId="176" fontId="5" fillId="0" borderId="33" xfId="0" applyNumberFormat="1" applyFont="1" applyBorder="1"/>
    <xf numFmtId="0" fontId="8" fillId="5" borderId="0" xfId="0" applyFont="1" applyFill="1" applyAlignment="1">
      <alignment horizontal="center" vertical="top" wrapText="1"/>
    </xf>
    <xf numFmtId="0" fontId="8" fillId="5" borderId="2" xfId="0" applyFont="1" applyFill="1" applyBorder="1" applyAlignment="1">
      <alignment horizontal="center" vertical="top" wrapText="1"/>
    </xf>
    <xf numFmtId="0" fontId="13" fillId="0" borderId="0" xfId="0" applyFont="1"/>
    <xf numFmtId="0" fontId="8" fillId="5" borderId="17" xfId="0" applyFont="1" applyFill="1" applyBorder="1" applyAlignment="1">
      <alignment horizontal="center" vertical="top" wrapText="1"/>
    </xf>
    <xf numFmtId="0" fontId="8" fillId="5" borderId="34" xfId="0" applyFont="1" applyFill="1" applyBorder="1" applyAlignment="1">
      <alignment horizontal="center" vertical="top" wrapText="1"/>
    </xf>
    <xf numFmtId="0" fontId="8" fillId="5" borderId="35" xfId="0" applyFont="1" applyFill="1" applyBorder="1" applyAlignment="1">
      <alignment horizontal="center" vertical="top" wrapText="1"/>
    </xf>
    <xf numFmtId="9" fontId="8" fillId="0" borderId="11" xfId="12" applyFont="1" applyBorder="1" applyAlignment="1">
      <alignment horizontal="center"/>
    </xf>
    <xf numFmtId="1" fontId="8" fillId="0" borderId="11" xfId="0" applyNumberFormat="1" applyFont="1" applyBorder="1" applyAlignment="1">
      <alignment horizontal="center"/>
    </xf>
    <xf numFmtId="0" fontId="17" fillId="0" borderId="36" xfId="0" applyFont="1" applyFill="1" applyBorder="1" applyAlignment="1">
      <alignment horizontal="center" vertical="top" wrapText="1"/>
    </xf>
    <xf numFmtId="0" fontId="17" fillId="0" borderId="37" xfId="0" applyFont="1" applyFill="1" applyBorder="1" applyAlignment="1">
      <alignment horizontal="center" vertical="top" wrapText="1"/>
    </xf>
    <xf numFmtId="0" fontId="17" fillId="0" borderId="5" xfId="0" applyFont="1" applyFill="1" applyBorder="1" applyAlignment="1">
      <alignment horizontal="center" vertical="top" wrapText="1"/>
    </xf>
    <xf numFmtId="0" fontId="17" fillId="0" borderId="4" xfId="0" applyFont="1" applyFill="1" applyBorder="1" applyAlignment="1">
      <alignment horizontal="center" vertical="center"/>
    </xf>
    <xf numFmtId="0" fontId="17" fillId="0" borderId="12" xfId="0" applyFont="1" applyFill="1" applyBorder="1" applyAlignment="1">
      <alignment horizontal="center" vertical="center"/>
    </xf>
    <xf numFmtId="0" fontId="20" fillId="0" borderId="0" xfId="0" applyFont="1" applyBorder="1" applyAlignment="1">
      <alignment horizontal="left" vertical="top" wrapText="1"/>
    </xf>
    <xf numFmtId="0" fontId="17" fillId="0" borderId="38"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2" fillId="0" borderId="9" xfId="0" applyFont="1" applyFill="1" applyBorder="1" applyAlignment="1">
      <alignment horizontal="left"/>
    </xf>
    <xf numFmtId="0" fontId="17" fillId="0" borderId="9" xfId="0" applyFont="1" applyFill="1" applyBorder="1" applyAlignment="1">
      <alignment horizontal="centerContinuous"/>
    </xf>
    <xf numFmtId="0" fontId="15" fillId="0" borderId="0" xfId="0" applyFont="1"/>
    <xf numFmtId="0" fontId="17" fillId="0" borderId="41"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4" xfId="0" applyFont="1" applyFill="1" applyBorder="1" applyAlignment="1">
      <alignment horizontal="center" vertical="top" wrapText="1"/>
    </xf>
    <xf numFmtId="0" fontId="17" fillId="0" borderId="10" xfId="0" applyFont="1" applyFill="1" applyBorder="1" applyAlignment="1">
      <alignment horizontal="center" vertical="top" wrapText="1"/>
    </xf>
    <xf numFmtId="0" fontId="17" fillId="0" borderId="9" xfId="0" applyFont="1" applyFill="1" applyBorder="1" applyAlignment="1">
      <alignment horizontal="center" vertical="top" wrapText="1"/>
    </xf>
    <xf numFmtId="177" fontId="15" fillId="0" borderId="3" xfId="0" applyNumberFormat="1" applyFont="1" applyBorder="1"/>
    <xf numFmtId="177" fontId="15" fillId="0" borderId="42" xfId="0" applyNumberFormat="1" applyFont="1" applyBorder="1"/>
    <xf numFmtId="177" fontId="15" fillId="0" borderId="8" xfId="0" applyNumberFormat="1" applyFont="1" applyBorder="1"/>
    <xf numFmtId="177" fontId="15" fillId="0" borderId="0" xfId="0" applyNumberFormat="1" applyFont="1" applyBorder="1"/>
    <xf numFmtId="177" fontId="15" fillId="0" borderId="3" xfId="0" applyNumberFormat="1" applyFont="1" applyFill="1" applyBorder="1"/>
    <xf numFmtId="177" fontId="15" fillId="0" borderId="42" xfId="0" applyNumberFormat="1" applyFont="1" applyFill="1" applyBorder="1"/>
    <xf numFmtId="177" fontId="15" fillId="0" borderId="8" xfId="0" applyNumberFormat="1" applyFont="1" applyFill="1" applyBorder="1"/>
    <xf numFmtId="177" fontId="15" fillId="0" borderId="12" xfId="0" applyNumberFormat="1" applyFont="1" applyBorder="1"/>
    <xf numFmtId="177" fontId="15" fillId="0" borderId="43" xfId="0" applyNumberFormat="1" applyFont="1" applyBorder="1"/>
    <xf numFmtId="177" fontId="15" fillId="0" borderId="7" xfId="0" applyNumberFormat="1" applyFont="1" applyBorder="1"/>
    <xf numFmtId="177" fontId="15" fillId="0" borderId="6" xfId="0" applyNumberFormat="1" applyFont="1" applyBorder="1"/>
    <xf numFmtId="177" fontId="17" fillId="0" borderId="3" xfId="0" applyNumberFormat="1" applyFont="1" applyBorder="1"/>
    <xf numFmtId="177" fontId="17" fillId="0" borderId="42" xfId="0" applyNumberFormat="1" applyFont="1" applyBorder="1"/>
    <xf numFmtId="177" fontId="17" fillId="0" borderId="8" xfId="0" applyNumberFormat="1" applyFont="1" applyBorder="1"/>
    <xf numFmtId="177" fontId="17" fillId="0" borderId="0" xfId="0" applyNumberFormat="1" applyFont="1" applyBorder="1"/>
    <xf numFmtId="0" fontId="17" fillId="0" borderId="44" xfId="0" applyNumberFormat="1" applyFont="1" applyBorder="1"/>
    <xf numFmtId="177" fontId="15" fillId="0" borderId="4" xfId="0" applyNumberFormat="1" applyFont="1" applyBorder="1"/>
    <xf numFmtId="177" fontId="15" fillId="0" borderId="36" xfId="0" applyNumberFormat="1" applyFont="1" applyBorder="1"/>
    <xf numFmtId="177" fontId="15" fillId="0" borderId="10" xfId="0" applyNumberFormat="1" applyFont="1" applyBorder="1"/>
    <xf numFmtId="177" fontId="15" fillId="0" borderId="9" xfId="0" applyNumberFormat="1" applyFont="1" applyBorder="1"/>
    <xf numFmtId="0" fontId="15" fillId="0" borderId="0" xfId="0" applyFont="1" applyAlignment="1">
      <alignment horizontal="left" wrapText="1"/>
    </xf>
    <xf numFmtId="0" fontId="10" fillId="0" borderId="0" xfId="0" applyFont="1"/>
    <xf numFmtId="0" fontId="17" fillId="0" borderId="4" xfId="0" applyFont="1" applyFill="1" applyBorder="1" applyAlignment="1">
      <alignment horizontal="left" vertical="center"/>
    </xf>
    <xf numFmtId="0" fontId="19" fillId="0" borderId="3" xfId="0" applyFont="1" applyBorder="1"/>
    <xf numFmtId="0" fontId="15" fillId="0" borderId="42" xfId="0" applyNumberFormat="1" applyFont="1" applyBorder="1" applyAlignment="1">
      <alignment horizontal="center"/>
    </xf>
    <xf numFmtId="0" fontId="17" fillId="0" borderId="6" xfId="0" applyFont="1" applyBorder="1" applyAlignment="1">
      <alignment horizontal="center"/>
    </xf>
    <xf numFmtId="0" fontId="17" fillId="0" borderId="43" xfId="0" applyFont="1" applyBorder="1" applyAlignment="1">
      <alignment horizontal="center"/>
    </xf>
    <xf numFmtId="0" fontId="17" fillId="0" borderId="7" xfId="0" applyFont="1" applyBorder="1" applyAlignment="1">
      <alignment horizontal="center"/>
    </xf>
    <xf numFmtId="0" fontId="17" fillId="0" borderId="12" xfId="0" applyFont="1" applyBorder="1" applyAlignment="1">
      <alignment horizontal="center"/>
    </xf>
    <xf numFmtId="0" fontId="17" fillId="0" borderId="45" xfId="0" applyFont="1" applyBorder="1" applyAlignment="1">
      <alignment horizontal="center"/>
    </xf>
    <xf numFmtId="0" fontId="17" fillId="0" borderId="8" xfId="0" applyFont="1" applyBorder="1" applyAlignment="1">
      <alignment horizontal="center"/>
    </xf>
    <xf numFmtId="0" fontId="17" fillId="0" borderId="1" xfId="0" applyFont="1" applyBorder="1" applyAlignment="1">
      <alignment horizontal="center"/>
    </xf>
    <xf numFmtId="0" fontId="15" fillId="0" borderId="3" xfId="0" applyFont="1" applyBorder="1" applyAlignment="1">
      <alignment horizontal="left" indent="1"/>
    </xf>
    <xf numFmtId="178" fontId="15" fillId="0" borderId="0" xfId="0" applyNumberFormat="1" applyFont="1" applyBorder="1" applyAlignment="1">
      <alignment horizontal="right"/>
    </xf>
    <xf numFmtId="178" fontId="15" fillId="0" borderId="42" xfId="0" applyNumberFormat="1" applyFont="1" applyBorder="1" applyAlignment="1">
      <alignment horizontal="right"/>
    </xf>
    <xf numFmtId="178" fontId="15" fillId="0" borderId="8" xfId="0" applyNumberFormat="1" applyFont="1" applyBorder="1" applyAlignment="1">
      <alignment horizontal="right"/>
    </xf>
    <xf numFmtId="178" fontId="15" fillId="0" borderId="3" xfId="0" applyNumberFormat="1" applyFont="1" applyBorder="1" applyAlignment="1">
      <alignment horizontal="right"/>
    </xf>
    <xf numFmtId="172" fontId="15" fillId="0" borderId="8" xfId="0" applyNumberFormat="1" applyFont="1" applyBorder="1"/>
    <xf numFmtId="172" fontId="15" fillId="0" borderId="1" xfId="0" applyNumberFormat="1" applyFont="1" applyBorder="1"/>
    <xf numFmtId="0" fontId="17" fillId="0" borderId="3" xfId="0" applyFont="1" applyBorder="1" applyAlignment="1">
      <alignment horizontal="left"/>
    </xf>
    <xf numFmtId="178" fontId="17" fillId="0" borderId="46" xfId="0" applyNumberFormat="1" applyFont="1" applyBorder="1" applyAlignment="1">
      <alignment horizontal="right"/>
    </xf>
    <xf numFmtId="172" fontId="17" fillId="0" borderId="34" xfId="0" applyNumberFormat="1" applyFont="1" applyBorder="1"/>
    <xf numFmtId="172" fontId="17" fillId="0" borderId="2" xfId="0" applyNumberFormat="1" applyFont="1" applyBorder="1"/>
    <xf numFmtId="0" fontId="15" fillId="0" borderId="3" xfId="0" applyFont="1" applyBorder="1"/>
    <xf numFmtId="178" fontId="15" fillId="0" borderId="0" xfId="0" applyNumberFormat="1" applyFont="1" applyBorder="1"/>
    <xf numFmtId="178" fontId="15" fillId="0" borderId="42" xfId="0" applyNumberFormat="1" applyFont="1" applyBorder="1"/>
    <xf numFmtId="178" fontId="15" fillId="0" borderId="8" xfId="0" applyNumberFormat="1" applyFont="1" applyBorder="1"/>
    <xf numFmtId="178" fontId="15" fillId="0" borderId="3" xfId="0" applyNumberFormat="1" applyFont="1" applyBorder="1"/>
    <xf numFmtId="178" fontId="15" fillId="0" borderId="47" xfId="0" applyNumberFormat="1" applyFont="1" applyBorder="1"/>
    <xf numFmtId="178" fontId="15" fillId="0" borderId="42" xfId="0" applyNumberFormat="1" applyFont="1" applyFill="1" applyBorder="1"/>
    <xf numFmtId="172" fontId="15" fillId="0" borderId="8" xfId="0" applyNumberFormat="1" applyFont="1" applyFill="1" applyBorder="1"/>
    <xf numFmtId="172" fontId="15" fillId="0" borderId="1" xfId="0" applyNumberFormat="1" applyFont="1" applyFill="1" applyBorder="1"/>
    <xf numFmtId="178" fontId="15" fillId="0" borderId="0" xfId="0" applyNumberFormat="1" applyFont="1" applyFill="1" applyBorder="1"/>
    <xf numFmtId="178" fontId="15" fillId="0" borderId="47" xfId="0" applyNumberFormat="1" applyFont="1" applyFill="1" applyBorder="1"/>
    <xf numFmtId="178" fontId="17" fillId="0" borderId="48" xfId="0" applyNumberFormat="1" applyFont="1" applyBorder="1"/>
    <xf numFmtId="178" fontId="17" fillId="0" borderId="46" xfId="0" applyNumberFormat="1" applyFont="1" applyBorder="1"/>
    <xf numFmtId="178" fontId="17" fillId="0" borderId="49" xfId="0" applyNumberFormat="1" applyFont="1" applyBorder="1"/>
    <xf numFmtId="178" fontId="17" fillId="0" borderId="50" xfId="0" applyNumberFormat="1" applyFont="1" applyBorder="1"/>
    <xf numFmtId="178" fontId="17" fillId="0" borderId="51" xfId="0" applyNumberFormat="1" applyFont="1" applyBorder="1"/>
    <xf numFmtId="178" fontId="17" fillId="0" borderId="0" xfId="0" applyNumberFormat="1" applyFont="1" applyBorder="1"/>
    <xf numFmtId="178" fontId="17" fillId="0" borderId="42" xfId="0" applyNumberFormat="1" applyFont="1" applyBorder="1"/>
    <xf numFmtId="178" fontId="17" fillId="0" borderId="8" xfId="0" applyNumberFormat="1" applyFont="1" applyBorder="1"/>
    <xf numFmtId="178" fontId="17" fillId="0" borderId="3" xfId="0" applyNumberFormat="1" applyFont="1" applyBorder="1"/>
    <xf numFmtId="178" fontId="17" fillId="0" borderId="47" xfId="0" applyNumberFormat="1" applyFont="1" applyBorder="1"/>
    <xf numFmtId="172" fontId="17" fillId="0" borderId="8" xfId="0" applyNumberFormat="1" applyFont="1" applyBorder="1"/>
    <xf numFmtId="172" fontId="17" fillId="0" borderId="1" xfId="0" applyNumberFormat="1" applyFont="1" applyBorder="1"/>
    <xf numFmtId="0" fontId="17" fillId="0" borderId="52" xfId="0" applyFont="1" applyBorder="1"/>
    <xf numFmtId="0" fontId="15" fillId="0" borderId="53" xfId="0" applyNumberFormat="1" applyFont="1" applyBorder="1" applyAlignment="1">
      <alignment horizontal="center"/>
    </xf>
    <xf numFmtId="178" fontId="17" fillId="0" borderId="54" xfId="0" applyNumberFormat="1" applyFont="1" applyFill="1" applyBorder="1"/>
    <xf numFmtId="178" fontId="17" fillId="0" borderId="53" xfId="0" applyNumberFormat="1" applyFont="1" applyFill="1" applyBorder="1"/>
    <xf numFmtId="178" fontId="17" fillId="0" borderId="55" xfId="0" applyNumberFormat="1" applyFont="1" applyBorder="1"/>
    <xf numFmtId="178" fontId="17" fillId="0" borderId="52" xfId="0" applyNumberFormat="1" applyFont="1" applyBorder="1"/>
    <xf numFmtId="178" fontId="17" fillId="0" borderId="53" xfId="0" applyNumberFormat="1" applyFont="1" applyBorder="1"/>
    <xf numFmtId="178" fontId="17" fillId="0" borderId="54" xfId="0" applyNumberFormat="1" applyFont="1" applyBorder="1"/>
    <xf numFmtId="178" fontId="17" fillId="0" borderId="56" xfId="0" applyNumberFormat="1" applyFont="1" applyBorder="1"/>
    <xf numFmtId="172" fontId="17" fillId="0" borderId="57" xfId="0" applyNumberFormat="1" applyFont="1" applyBorder="1"/>
    <xf numFmtId="172" fontId="17" fillId="0" borderId="58" xfId="0" applyNumberFormat="1" applyFont="1" applyBorder="1"/>
    <xf numFmtId="0" fontId="21" fillId="0" borderId="0" xfId="0" applyFont="1" applyBorder="1"/>
    <xf numFmtId="0" fontId="15" fillId="0" borderId="0" xfId="0" applyFont="1" applyBorder="1" applyAlignment="1">
      <alignment horizontal="center"/>
    </xf>
    <xf numFmtId="0" fontId="17" fillId="0" borderId="0" xfId="0" applyFont="1" applyFill="1" applyBorder="1"/>
    <xf numFmtId="172" fontId="17" fillId="0" borderId="0" xfId="0" applyNumberFormat="1" applyFont="1" applyFill="1" applyBorder="1"/>
    <xf numFmtId="0" fontId="20" fillId="0" borderId="0" xfId="0" quotePrefix="1" applyFont="1" applyBorder="1"/>
    <xf numFmtId="0" fontId="17" fillId="0" borderId="0" xfId="0" applyFont="1" applyBorder="1"/>
    <xf numFmtId="172" fontId="17" fillId="0" borderId="0" xfId="0" applyNumberFormat="1" applyFont="1" applyBorder="1"/>
    <xf numFmtId="0" fontId="20" fillId="0" borderId="0" xfId="0" applyFont="1" applyBorder="1" applyAlignment="1">
      <alignment horizontal="left"/>
    </xf>
    <xf numFmtId="0" fontId="20" fillId="0" borderId="0" xfId="0" applyFont="1" applyBorder="1" applyAlignment="1">
      <alignment horizontal="center"/>
    </xf>
    <xf numFmtId="0" fontId="20" fillId="0" borderId="0" xfId="0" applyFont="1" applyBorder="1" applyAlignment="1">
      <alignment horizontal="right"/>
    </xf>
    <xf numFmtId="168" fontId="15" fillId="0" borderId="0" xfId="1" applyNumberFormat="1" applyFont="1"/>
    <xf numFmtId="0" fontId="15" fillId="0" borderId="0" xfId="0" applyFont="1" applyBorder="1"/>
    <xf numFmtId="0" fontId="15" fillId="0" borderId="0" xfId="0" applyFont="1" applyAlignment="1">
      <alignment horizontal="center"/>
    </xf>
    <xf numFmtId="0" fontId="17" fillId="0" borderId="9" xfId="0" applyFont="1" applyFill="1" applyBorder="1" applyAlignment="1">
      <alignment horizontal="left"/>
    </xf>
    <xf numFmtId="0" fontId="19" fillId="0" borderId="3" xfId="0" applyNumberFormat="1" applyFont="1" applyBorder="1"/>
    <xf numFmtId="0" fontId="15" fillId="0" borderId="3" xfId="0" applyNumberFormat="1" applyFont="1" applyBorder="1" applyAlignment="1">
      <alignment horizontal="left" indent="1"/>
    </xf>
    <xf numFmtId="178" fontId="15" fillId="0" borderId="3" xfId="0" applyNumberFormat="1" applyFont="1" applyFill="1" applyBorder="1"/>
    <xf numFmtId="168" fontId="15" fillId="0" borderId="0" xfId="1" applyNumberFormat="1" applyFont="1" applyAlignment="1">
      <alignment horizontal="center"/>
    </xf>
    <xf numFmtId="171" fontId="15" fillId="0" borderId="0" xfId="12" applyNumberFormat="1" applyFont="1" applyAlignment="1">
      <alignment horizontal="center"/>
    </xf>
    <xf numFmtId="0" fontId="15" fillId="0" borderId="3" xfId="0" applyNumberFormat="1" applyFont="1" applyFill="1" applyBorder="1" applyAlignment="1">
      <alignment horizontal="left" indent="1"/>
    </xf>
    <xf numFmtId="178" fontId="15" fillId="0" borderId="0" xfId="1" applyNumberFormat="1" applyFont="1" applyBorder="1"/>
    <xf numFmtId="178" fontId="15" fillId="0" borderId="42" xfId="1" applyNumberFormat="1" applyFont="1" applyFill="1" applyBorder="1"/>
    <xf numFmtId="178" fontId="15" fillId="0" borderId="8" xfId="1" applyNumberFormat="1" applyFont="1" applyBorder="1"/>
    <xf numFmtId="178" fontId="15" fillId="0" borderId="3" xfId="1" applyNumberFormat="1" applyFont="1" applyFill="1" applyBorder="1"/>
    <xf numFmtId="178" fontId="15" fillId="0" borderId="42" xfId="1" applyNumberFormat="1" applyFont="1" applyBorder="1"/>
    <xf numFmtId="178" fontId="15" fillId="0" borderId="47" xfId="1" applyNumberFormat="1" applyFont="1" applyBorder="1"/>
    <xf numFmtId="178" fontId="15" fillId="0" borderId="0" xfId="1" applyNumberFormat="1" applyFont="1" applyFill="1" applyBorder="1"/>
    <xf numFmtId="178" fontId="15" fillId="0" borderId="8" xfId="1" applyNumberFormat="1" applyFont="1" applyFill="1" applyBorder="1"/>
    <xf numFmtId="178" fontId="15" fillId="0" borderId="47" xfId="1" applyNumberFormat="1" applyFont="1" applyFill="1" applyBorder="1"/>
    <xf numFmtId="178" fontId="15" fillId="0" borderId="8" xfId="0" applyNumberFormat="1" applyFont="1" applyFill="1" applyBorder="1"/>
    <xf numFmtId="0" fontId="17" fillId="0" borderId="3" xfId="0" applyNumberFormat="1" applyFont="1" applyBorder="1"/>
    <xf numFmtId="178" fontId="17" fillId="0" borderId="48" xfId="0" applyNumberFormat="1" applyFont="1" applyFill="1" applyBorder="1"/>
    <xf numFmtId="178" fontId="17" fillId="0" borderId="46" xfId="0" applyNumberFormat="1" applyFont="1" applyFill="1" applyBorder="1"/>
    <xf numFmtId="178" fontId="17" fillId="0" borderId="49" xfId="0" applyNumberFormat="1" applyFont="1" applyFill="1" applyBorder="1"/>
    <xf numFmtId="178" fontId="17" fillId="0" borderId="50" xfId="0" applyNumberFormat="1" applyFont="1" applyFill="1" applyBorder="1"/>
    <xf numFmtId="178" fontId="17" fillId="0" borderId="51" xfId="0" applyNumberFormat="1" applyFont="1" applyFill="1" applyBorder="1"/>
    <xf numFmtId="168" fontId="15" fillId="0" borderId="0" xfId="0" applyNumberFormat="1" applyFont="1"/>
    <xf numFmtId="171" fontId="15" fillId="0" borderId="0" xfId="0" applyNumberFormat="1" applyFont="1"/>
    <xf numFmtId="0" fontId="15" fillId="0" borderId="3" xfId="0" applyNumberFormat="1" applyFont="1" applyBorder="1"/>
    <xf numFmtId="0" fontId="22" fillId="0" borderId="42" xfId="0" applyNumberFormat="1" applyFont="1" applyBorder="1" applyAlignment="1">
      <alignment horizontal="center"/>
    </xf>
    <xf numFmtId="178" fontId="17" fillId="0" borderId="59" xfId="0" applyNumberFormat="1" applyFont="1" applyBorder="1"/>
    <xf numFmtId="178" fontId="17" fillId="0" borderId="60" xfId="0" applyNumberFormat="1" applyFont="1" applyBorder="1"/>
    <xf numFmtId="178" fontId="17" fillId="0" borderId="61" xfId="0" applyNumberFormat="1" applyFont="1" applyBorder="1"/>
    <xf numFmtId="178" fontId="17" fillId="0" borderId="62" xfId="0" applyNumberFormat="1" applyFont="1" applyBorder="1"/>
    <xf numFmtId="178" fontId="17" fillId="0" borderId="63" xfId="0" applyNumberFormat="1" applyFont="1" applyBorder="1"/>
    <xf numFmtId="171" fontId="15" fillId="0" borderId="0" xfId="0" applyNumberFormat="1" applyFont="1" applyAlignment="1">
      <alignment horizontal="center"/>
    </xf>
    <xf numFmtId="0" fontId="17" fillId="0" borderId="52" xfId="0" applyNumberFormat="1" applyFont="1" applyBorder="1"/>
    <xf numFmtId="178" fontId="17" fillId="0" borderId="9" xfId="0" applyNumberFormat="1" applyFont="1" applyBorder="1"/>
    <xf numFmtId="178" fontId="17" fillId="0" borderId="36" xfId="0" applyNumberFormat="1" applyFont="1" applyBorder="1"/>
    <xf numFmtId="178" fontId="17" fillId="0" borderId="10" xfId="0" applyNumberFormat="1" applyFont="1" applyBorder="1"/>
    <xf numFmtId="178" fontId="17" fillId="0" borderId="4" xfId="0" applyNumberFormat="1" applyFont="1" applyBorder="1"/>
    <xf numFmtId="178" fontId="17" fillId="0" borderId="64" xfId="0" applyNumberFormat="1" applyFont="1" applyBorder="1"/>
    <xf numFmtId="0" fontId="20" fillId="0" borderId="0" xfId="0" applyFont="1" applyBorder="1"/>
    <xf numFmtId="0" fontId="20" fillId="0" borderId="3" xfId="0" applyFont="1" applyBorder="1" applyAlignment="1">
      <alignment horizontal="right"/>
    </xf>
    <xf numFmtId="168" fontId="20" fillId="0" borderId="0" xfId="1" applyNumberFormat="1" applyFont="1" applyBorder="1" applyAlignment="1">
      <alignment horizontal="right"/>
    </xf>
    <xf numFmtId="0" fontId="15" fillId="0" borderId="36" xfId="0" applyFont="1" applyFill="1" applyBorder="1" applyAlignment="1">
      <alignment horizontal="center" vertical="center"/>
    </xf>
    <xf numFmtId="0" fontId="15" fillId="0" borderId="43" xfId="0" applyFont="1" applyBorder="1" applyAlignment="1">
      <alignment horizontal="center"/>
    </xf>
    <xf numFmtId="172" fontId="17" fillId="0" borderId="7" xfId="0" applyNumberFormat="1" applyFont="1" applyBorder="1" applyAlignment="1">
      <alignment horizontal="center"/>
    </xf>
    <xf numFmtId="0" fontId="15" fillId="0" borderId="42" xfId="0" applyFont="1" applyBorder="1" applyAlignment="1">
      <alignment horizontal="center"/>
    </xf>
    <xf numFmtId="0" fontId="15" fillId="0" borderId="42" xfId="0" applyFont="1" applyFill="1" applyBorder="1" applyAlignment="1">
      <alignment horizontal="center"/>
    </xf>
    <xf numFmtId="0" fontId="22" fillId="0" borderId="42" xfId="0" applyFont="1" applyBorder="1" applyAlignment="1">
      <alignment horizontal="center"/>
    </xf>
    <xf numFmtId="178" fontId="15" fillId="0" borderId="3" xfId="1" applyNumberFormat="1" applyFont="1" applyBorder="1"/>
    <xf numFmtId="0" fontId="17" fillId="0" borderId="3" xfId="0" applyNumberFormat="1" applyFont="1" applyBorder="1" applyAlignment="1">
      <alignment horizontal="left" wrapText="1"/>
    </xf>
    <xf numFmtId="178" fontId="17" fillId="0" borderId="46" xfId="0" applyNumberFormat="1" applyFont="1" applyBorder="1" applyAlignment="1">
      <alignment vertical="top"/>
    </xf>
    <xf numFmtId="0" fontId="17" fillId="0" borderId="4" xfId="0" applyFont="1" applyFill="1" applyBorder="1" applyAlignment="1">
      <alignment horizontal="center" vertical="center" wrapText="1"/>
    </xf>
    <xf numFmtId="178" fontId="17" fillId="0" borderId="49" xfId="0" applyNumberFormat="1" applyFont="1" applyBorder="1" applyAlignment="1">
      <alignment vertical="top"/>
    </xf>
    <xf numFmtId="178" fontId="17" fillId="0" borderId="50" xfId="0" applyNumberFormat="1" applyFont="1" applyBorder="1" applyAlignment="1">
      <alignment vertical="top"/>
    </xf>
    <xf numFmtId="178" fontId="17" fillId="0" borderId="51" xfId="0" applyNumberFormat="1" applyFont="1" applyBorder="1" applyAlignment="1">
      <alignment vertical="top"/>
    </xf>
    <xf numFmtId="0" fontId="17" fillId="0" borderId="3" xfId="0" applyNumberFormat="1" applyFont="1" applyBorder="1" applyAlignment="1">
      <alignment wrapText="1"/>
    </xf>
    <xf numFmtId="0" fontId="15" fillId="0" borderId="3" xfId="0" applyNumberFormat="1" applyFont="1" applyBorder="1" applyAlignment="1">
      <alignment horizontal="left" wrapText="1" indent="1"/>
    </xf>
    <xf numFmtId="0" fontId="17" fillId="0" borderId="56" xfId="0" applyNumberFormat="1" applyFont="1" applyBorder="1"/>
    <xf numFmtId="0" fontId="15" fillId="0" borderId="53" xfId="0" applyFont="1" applyBorder="1" applyAlignment="1">
      <alignment horizontal="center"/>
    </xf>
    <xf numFmtId="0" fontId="21" fillId="0" borderId="0" xfId="0" applyNumberFormat="1" applyFont="1" applyBorder="1"/>
    <xf numFmtId="0" fontId="20" fillId="0" borderId="0" xfId="0" applyNumberFormat="1" applyFont="1" applyBorder="1"/>
    <xf numFmtId="172" fontId="15" fillId="0" borderId="0" xfId="0" applyNumberFormat="1" applyFont="1" applyBorder="1"/>
    <xf numFmtId="172" fontId="15" fillId="0" borderId="0" xfId="0" applyNumberFormat="1" applyFont="1"/>
    <xf numFmtId="178" fontId="17" fillId="0" borderId="43" xfId="0" applyNumberFormat="1" applyFont="1" applyBorder="1" applyAlignment="1">
      <alignment horizontal="center"/>
    </xf>
    <xf numFmtId="178" fontId="17" fillId="0" borderId="6" xfId="0" applyNumberFormat="1" applyFont="1" applyBorder="1" applyAlignment="1">
      <alignment horizontal="center"/>
    </xf>
    <xf numFmtId="178" fontId="17" fillId="0" borderId="12" xfId="0" applyNumberFormat="1" applyFont="1" applyBorder="1" applyAlignment="1">
      <alignment horizontal="center"/>
    </xf>
    <xf numFmtId="178" fontId="17" fillId="0" borderId="7" xfId="0" applyNumberFormat="1" applyFont="1" applyBorder="1" applyAlignment="1">
      <alignment horizontal="center"/>
    </xf>
    <xf numFmtId="178" fontId="17" fillId="0" borderId="42" xfId="0" applyNumberFormat="1" applyFont="1" applyBorder="1" applyAlignment="1">
      <alignment horizontal="center"/>
    </xf>
    <xf numFmtId="178" fontId="17" fillId="0" borderId="0" xfId="0" applyNumberFormat="1" applyFont="1" applyBorder="1" applyAlignment="1">
      <alignment horizontal="center"/>
    </xf>
    <xf numFmtId="178" fontId="17" fillId="0" borderId="3" xfId="0" applyNumberFormat="1" applyFont="1" applyBorder="1" applyAlignment="1">
      <alignment horizontal="center"/>
    </xf>
    <xf numFmtId="178" fontId="17" fillId="0" borderId="8" xfId="0" applyNumberFormat="1" applyFont="1" applyBorder="1" applyAlignment="1">
      <alignment horizontal="center"/>
    </xf>
    <xf numFmtId="166" fontId="15" fillId="0" borderId="0" xfId="1" applyFont="1" applyFill="1" applyBorder="1" applyAlignment="1">
      <alignment horizontal="right"/>
    </xf>
    <xf numFmtId="0" fontId="15" fillId="0" borderId="0" xfId="0" applyFont="1" applyAlignment="1">
      <alignment horizontal="right"/>
    </xf>
    <xf numFmtId="166" fontId="15" fillId="0" borderId="0" xfId="0" applyNumberFormat="1" applyFont="1" applyAlignment="1">
      <alignment horizontal="right"/>
    </xf>
    <xf numFmtId="178" fontId="15" fillId="0" borderId="3" xfId="1" applyNumberFormat="1" applyFont="1" applyBorder="1" applyAlignment="1">
      <alignment horizontal="right"/>
    </xf>
    <xf numFmtId="178" fontId="15" fillId="0" borderId="8" xfId="1" applyNumberFormat="1" applyFont="1" applyBorder="1" applyAlignment="1">
      <alignment horizontal="right"/>
    </xf>
    <xf numFmtId="178" fontId="15" fillId="0" borderId="42" xfId="0" applyNumberFormat="1" applyFont="1" applyBorder="1" applyAlignment="1">
      <alignment horizontal="center"/>
    </xf>
    <xf numFmtId="0" fontId="15" fillId="0" borderId="3" xfId="0" applyFont="1" applyFill="1" applyBorder="1" applyAlignment="1">
      <alignment horizontal="left" indent="1"/>
    </xf>
    <xf numFmtId="0" fontId="17" fillId="0" borderId="3" xfId="0" applyFont="1" applyBorder="1"/>
    <xf numFmtId="178" fontId="17" fillId="0" borderId="53" xfId="0" applyNumberFormat="1" applyFont="1" applyBorder="1" applyAlignment="1">
      <alignment horizontal="center"/>
    </xf>
    <xf numFmtId="178" fontId="17" fillId="0" borderId="55" xfId="0" applyNumberFormat="1" applyFont="1" applyBorder="1" applyAlignment="1">
      <alignment horizontal="right"/>
    </xf>
    <xf numFmtId="178" fontId="17" fillId="0" borderId="52" xfId="0" applyNumberFormat="1" applyFont="1" applyBorder="1" applyAlignment="1">
      <alignment horizontal="right"/>
    </xf>
    <xf numFmtId="178" fontId="17" fillId="0" borderId="53" xfId="0" applyNumberFormat="1" applyFont="1" applyBorder="1" applyAlignment="1">
      <alignment horizontal="right"/>
    </xf>
    <xf numFmtId="178" fontId="17" fillId="0" borderId="54" xfId="0" applyNumberFormat="1" applyFont="1" applyBorder="1" applyAlignment="1">
      <alignment horizontal="right"/>
    </xf>
    <xf numFmtId="0" fontId="17" fillId="0" borderId="52" xfId="0" applyFont="1" applyBorder="1" applyAlignment="1">
      <alignment horizontal="left"/>
    </xf>
    <xf numFmtId="0" fontId="17" fillId="0" borderId="3" xfId="0" applyFont="1" applyFill="1" applyBorder="1"/>
    <xf numFmtId="170" fontId="15" fillId="0" borderId="0" xfId="0" applyNumberFormat="1" applyFont="1"/>
    <xf numFmtId="0" fontId="15" fillId="0" borderId="0" xfId="0" applyFont="1" applyBorder="1" applyAlignment="1"/>
    <xf numFmtId="0" fontId="15" fillId="0" borderId="4" xfId="0" applyFont="1" applyBorder="1"/>
    <xf numFmtId="0" fontId="15" fillId="0" borderId="9" xfId="0" applyFont="1" applyBorder="1" applyAlignment="1">
      <alignment horizontal="center"/>
    </xf>
    <xf numFmtId="169" fontId="20" fillId="0" borderId="0" xfId="1" applyNumberFormat="1" applyFont="1" applyBorder="1" applyAlignment="1">
      <alignment horizontal="right"/>
    </xf>
    <xf numFmtId="169" fontId="15" fillId="0" borderId="0" xfId="1" applyNumberFormat="1" applyFont="1"/>
    <xf numFmtId="169" fontId="15" fillId="0" borderId="0" xfId="1" applyNumberFormat="1" applyFont="1" applyFill="1"/>
    <xf numFmtId="178" fontId="17" fillId="0" borderId="45" xfId="0" applyNumberFormat="1" applyFont="1" applyBorder="1" applyAlignment="1">
      <alignment horizontal="center"/>
    </xf>
    <xf numFmtId="0" fontId="17" fillId="0" borderId="62" xfId="0" applyFont="1" applyBorder="1"/>
    <xf numFmtId="0" fontId="15" fillId="0" borderId="60" xfId="0" applyFont="1" applyBorder="1" applyAlignment="1">
      <alignment horizontal="center"/>
    </xf>
    <xf numFmtId="166" fontId="15" fillId="0" borderId="0" xfId="1" applyFont="1" applyBorder="1"/>
    <xf numFmtId="178" fontId="17" fillId="0" borderId="8" xfId="0" applyNumberFormat="1" applyFont="1" applyFill="1" applyBorder="1"/>
    <xf numFmtId="0" fontId="17" fillId="0" borderId="4" xfId="0" applyFont="1" applyBorder="1"/>
    <xf numFmtId="0" fontId="15" fillId="0" borderId="36" xfId="0" applyFont="1" applyBorder="1" applyAlignment="1">
      <alignment horizontal="center"/>
    </xf>
    <xf numFmtId="178" fontId="17" fillId="0" borderId="36" xfId="0" applyNumberFormat="1" applyFont="1" applyFill="1" applyBorder="1"/>
    <xf numFmtId="178" fontId="17" fillId="0" borderId="64" xfId="0" applyNumberFormat="1" applyFont="1" applyFill="1" applyBorder="1"/>
    <xf numFmtId="0" fontId="15" fillId="0" borderId="42" xfId="0" applyNumberFormat="1" applyFont="1" applyFill="1" applyBorder="1" applyAlignment="1">
      <alignment horizontal="center"/>
    </xf>
    <xf numFmtId="178" fontId="15" fillId="0" borderId="45" xfId="0" applyNumberFormat="1" applyFont="1" applyFill="1" applyBorder="1"/>
    <xf numFmtId="178" fontId="17" fillId="0" borderId="55" xfId="0" applyNumberFormat="1" applyFont="1" applyFill="1" applyBorder="1"/>
    <xf numFmtId="178" fontId="17" fillId="0" borderId="52" xfId="0" applyNumberFormat="1" applyFont="1" applyFill="1" applyBorder="1"/>
    <xf numFmtId="178" fontId="17" fillId="0" borderId="56" xfId="0" applyNumberFormat="1" applyFont="1" applyFill="1" applyBorder="1"/>
    <xf numFmtId="0" fontId="15" fillId="0" borderId="0" xfId="0" applyFont="1" applyAlignment="1">
      <alignment horizontal="center" vertical="center" wrapText="1"/>
    </xf>
    <xf numFmtId="0" fontId="21" fillId="0" borderId="0" xfId="0" applyFont="1"/>
    <xf numFmtId="0" fontId="20" fillId="0" borderId="0" xfId="0" quotePrefix="1" applyFont="1" applyFill="1" applyBorder="1"/>
    <xf numFmtId="0" fontId="23" fillId="0" borderId="0" xfId="0" applyFont="1"/>
    <xf numFmtId="0" fontId="22" fillId="0" borderId="0" xfId="0" applyFont="1" applyFill="1" applyBorder="1"/>
    <xf numFmtId="0" fontId="15" fillId="0" borderId="0" xfId="0" applyFont="1" applyFill="1" applyBorder="1"/>
    <xf numFmtId="178" fontId="15" fillId="0" borderId="65" xfId="0" applyNumberFormat="1" applyFont="1" applyFill="1" applyBorder="1"/>
    <xf numFmtId="178" fontId="15" fillId="0" borderId="0" xfId="0" applyNumberFormat="1" applyFont="1"/>
    <xf numFmtId="172" fontId="15" fillId="0" borderId="0" xfId="0" applyNumberFormat="1" applyFont="1" applyFill="1" applyBorder="1"/>
    <xf numFmtId="0" fontId="15" fillId="0" borderId="3" xfId="0" applyNumberFormat="1" applyFont="1" applyFill="1" applyBorder="1" applyAlignment="1">
      <alignment horizontal="left" indent="2"/>
    </xf>
    <xf numFmtId="178" fontId="15" fillId="0" borderId="46" xfId="0" applyNumberFormat="1" applyFont="1" applyFill="1" applyBorder="1"/>
    <xf numFmtId="178" fontId="15" fillId="0" borderId="49" xfId="0" applyNumberFormat="1" applyFont="1" applyFill="1" applyBorder="1"/>
    <xf numFmtId="178" fontId="15" fillId="0" borderId="50" xfId="0" applyNumberFormat="1" applyFont="1" applyFill="1" applyBorder="1"/>
    <xf numFmtId="0" fontId="15" fillId="0" borderId="3" xfId="0" applyNumberFormat="1" applyFont="1" applyBorder="1" applyAlignment="1">
      <alignment horizontal="left" indent="2"/>
    </xf>
    <xf numFmtId="0" fontId="22" fillId="0" borderId="42" xfId="0" applyNumberFormat="1" applyFont="1" applyFill="1" applyBorder="1" applyAlignment="1">
      <alignment horizontal="center"/>
    </xf>
    <xf numFmtId="0" fontId="15" fillId="0" borderId="0" xfId="0" applyFont="1" applyFill="1"/>
    <xf numFmtId="0" fontId="20" fillId="0" borderId="3" xfId="0" applyNumberFormat="1" applyFont="1" applyFill="1" applyBorder="1" applyAlignment="1">
      <alignment horizontal="left" indent="1"/>
    </xf>
    <xf numFmtId="0" fontId="17" fillId="0" borderId="3" xfId="0" applyNumberFormat="1" applyFont="1" applyFill="1" applyBorder="1" applyAlignment="1">
      <alignment horizontal="left"/>
    </xf>
    <xf numFmtId="0" fontId="17" fillId="0" borderId="3" xfId="0" applyNumberFormat="1" applyFont="1" applyBorder="1" applyAlignment="1">
      <alignment horizontal="left" indent="1"/>
    </xf>
    <xf numFmtId="0" fontId="18" fillId="0" borderId="3" xfId="0" applyNumberFormat="1" applyFont="1" applyBorder="1"/>
    <xf numFmtId="0" fontId="20" fillId="0" borderId="42" xfId="0" applyNumberFormat="1" applyFont="1" applyBorder="1" applyAlignment="1">
      <alignment horizontal="center"/>
    </xf>
    <xf numFmtId="171" fontId="20" fillId="0" borderId="42" xfId="12" applyNumberFormat="1" applyFont="1" applyFill="1" applyBorder="1" applyAlignment="1">
      <alignment horizontal="center"/>
    </xf>
    <xf numFmtId="171" fontId="20" fillId="0" borderId="8" xfId="12" applyNumberFormat="1" applyFont="1" applyFill="1" applyBorder="1" applyAlignment="1">
      <alignment horizontal="center"/>
    </xf>
    <xf numFmtId="171" fontId="20" fillId="0" borderId="3" xfId="12" applyNumberFormat="1" applyFont="1" applyFill="1" applyBorder="1" applyAlignment="1">
      <alignment horizontal="center"/>
    </xf>
    <xf numFmtId="171" fontId="20" fillId="0" borderId="0" xfId="12" applyNumberFormat="1" applyFont="1" applyFill="1" applyBorder="1" applyAlignment="1">
      <alignment horizontal="center"/>
    </xf>
    <xf numFmtId="171" fontId="20" fillId="0" borderId="47" xfId="12" applyNumberFormat="1" applyFont="1" applyFill="1" applyBorder="1" applyAlignment="1">
      <alignment horizontal="center"/>
    </xf>
    <xf numFmtId="0" fontId="15" fillId="0" borderId="4" xfId="0" applyNumberFormat="1" applyFont="1" applyBorder="1"/>
    <xf numFmtId="0" fontId="15" fillId="0" borderId="36" xfId="0" applyNumberFormat="1" applyFont="1" applyBorder="1" applyAlignment="1">
      <alignment horizontal="center"/>
    </xf>
    <xf numFmtId="172" fontId="17" fillId="0" borderId="36" xfId="0" applyNumberFormat="1" applyFont="1" applyBorder="1"/>
    <xf numFmtId="172" fontId="17" fillId="0" borderId="10" xfId="0" applyNumberFormat="1" applyFont="1" applyBorder="1"/>
    <xf numFmtId="172" fontId="17" fillId="0" borderId="4" xfId="0" applyNumberFormat="1" applyFont="1" applyBorder="1"/>
    <xf numFmtId="172" fontId="17" fillId="0" borderId="9" xfId="0" applyNumberFormat="1" applyFont="1" applyBorder="1"/>
    <xf numFmtId="172" fontId="17" fillId="0" borderId="64" xfId="0" applyNumberFormat="1" applyFont="1" applyBorder="1"/>
    <xf numFmtId="0" fontId="20" fillId="0" borderId="0" xfId="0" applyFont="1" applyFill="1" applyBorder="1" applyAlignment="1">
      <alignment horizontal="right"/>
    </xf>
    <xf numFmtId="0" fontId="17" fillId="0" borderId="9" xfId="0" applyFont="1" applyFill="1" applyBorder="1" applyAlignment="1">
      <alignment horizontal="center" vertical="center" wrapText="1"/>
    </xf>
    <xf numFmtId="0" fontId="17" fillId="0" borderId="36" xfId="0" applyFont="1" applyFill="1" applyBorder="1" applyAlignment="1">
      <alignment horizontal="center" vertical="center" wrapText="1"/>
    </xf>
    <xf numFmtId="0" fontId="17" fillId="0" borderId="10" xfId="0" applyFont="1" applyFill="1" applyBorder="1" applyAlignment="1">
      <alignment horizontal="center" vertical="center" wrapText="1"/>
    </xf>
    <xf numFmtId="179" fontId="15" fillId="0" borderId="42" xfId="1" applyNumberFormat="1" applyFont="1" applyFill="1" applyBorder="1"/>
    <xf numFmtId="179" fontId="15" fillId="0" borderId="0" xfId="1" applyNumberFormat="1" applyFont="1" applyFill="1" applyBorder="1"/>
    <xf numFmtId="178" fontId="17" fillId="0" borderId="42" xfId="0" applyNumberFormat="1" applyFont="1" applyFill="1" applyBorder="1"/>
    <xf numFmtId="178" fontId="17" fillId="0" borderId="3" xfId="0" applyNumberFormat="1" applyFont="1" applyFill="1" applyBorder="1"/>
    <xf numFmtId="178" fontId="17" fillId="0" borderId="0" xfId="0" applyNumberFormat="1" applyFont="1" applyFill="1" applyBorder="1"/>
    <xf numFmtId="0" fontId="17" fillId="0" borderId="4" xfId="0" applyNumberFormat="1" applyFont="1" applyBorder="1"/>
    <xf numFmtId="0" fontId="15" fillId="0" borderId="36" xfId="0" applyNumberFormat="1" applyFont="1" applyFill="1" applyBorder="1" applyAlignment="1">
      <alignment horizontal="center"/>
    </xf>
    <xf numFmtId="172" fontId="15" fillId="0" borderId="43" xfId="0" applyNumberFormat="1" applyFont="1" applyBorder="1"/>
    <xf numFmtId="172" fontId="15" fillId="0" borderId="3" xfId="0" applyNumberFormat="1" applyFont="1" applyBorder="1"/>
    <xf numFmtId="172" fontId="15" fillId="0" borderId="45" xfId="0" applyNumberFormat="1" applyFont="1" applyBorder="1"/>
    <xf numFmtId="0" fontId="19" fillId="0" borderId="3" xfId="0" applyFont="1" applyFill="1" applyBorder="1"/>
    <xf numFmtId="172" fontId="15" fillId="0" borderId="42" xfId="0" applyNumberFormat="1" applyFont="1" applyBorder="1"/>
    <xf numFmtId="172" fontId="15" fillId="0" borderId="47" xfId="0" applyNumberFormat="1" applyFont="1" applyBorder="1"/>
    <xf numFmtId="0" fontId="15" fillId="0" borderId="3" xfId="0" applyFont="1" applyFill="1" applyBorder="1"/>
    <xf numFmtId="178" fontId="17" fillId="0" borderId="47" xfId="0" applyNumberFormat="1" applyFont="1" applyBorder="1" applyAlignment="1">
      <alignment horizontal="center"/>
    </xf>
    <xf numFmtId="0" fontId="17" fillId="0" borderId="50" xfId="0" applyFont="1" applyBorder="1"/>
    <xf numFmtId="0" fontId="15" fillId="0" borderId="46" xfId="0" applyFont="1" applyBorder="1" applyAlignment="1">
      <alignment horizontal="center"/>
    </xf>
    <xf numFmtId="178" fontId="15" fillId="0" borderId="46" xfId="0" applyNumberFormat="1" applyFont="1" applyBorder="1"/>
    <xf numFmtId="178" fontId="15" fillId="0" borderId="49" xfId="0" applyNumberFormat="1" applyFont="1" applyBorder="1"/>
    <xf numFmtId="178" fontId="15" fillId="0" borderId="50" xfId="0" applyNumberFormat="1" applyFont="1" applyBorder="1"/>
    <xf numFmtId="178" fontId="15" fillId="0" borderId="48" xfId="0" applyNumberFormat="1" applyFont="1" applyBorder="1"/>
    <xf numFmtId="178" fontId="15" fillId="0" borderId="51" xfId="0" applyNumberFormat="1" applyFont="1" applyBorder="1"/>
    <xf numFmtId="0" fontId="18" fillId="0" borderId="3" xfId="0" applyFont="1" applyBorder="1" applyAlignment="1">
      <alignment horizontal="right"/>
    </xf>
    <xf numFmtId="0" fontId="22" fillId="0" borderId="3" xfId="0" applyFont="1" applyBorder="1" applyAlignment="1">
      <alignment horizontal="left" indent="1"/>
    </xf>
    <xf numFmtId="0" fontId="20" fillId="0" borderId="3" xfId="0" applyFont="1" applyBorder="1" applyAlignment="1">
      <alignment horizontal="left" indent="1"/>
    </xf>
    <xf numFmtId="0" fontId="17" fillId="0" borderId="3" xfId="0" applyFont="1" applyBorder="1" applyAlignment="1">
      <alignment horizontal="left" indent="1"/>
    </xf>
    <xf numFmtId="0" fontId="15" fillId="0" borderId="3" xfId="0" applyFont="1" applyBorder="1" applyAlignment="1">
      <alignment horizontal="left" indent="2"/>
    </xf>
    <xf numFmtId="0" fontId="17" fillId="0" borderId="43" xfId="0" applyFont="1" applyFill="1" applyBorder="1" applyAlignment="1">
      <alignment vertical="center"/>
    </xf>
    <xf numFmtId="178" fontId="17" fillId="0" borderId="11" xfId="0" applyNumberFormat="1" applyFont="1" applyBorder="1" applyAlignment="1">
      <alignment horizontal="center"/>
    </xf>
    <xf numFmtId="178" fontId="17" fillId="0" borderId="1" xfId="0" applyNumberFormat="1" applyFont="1" applyBorder="1"/>
    <xf numFmtId="178" fontId="17" fillId="0" borderId="44" xfId="0" applyNumberFormat="1" applyFont="1" applyBorder="1"/>
    <xf numFmtId="0" fontId="15" fillId="0" borderId="3" xfId="0" applyFont="1" applyBorder="1" applyAlignment="1">
      <alignment horizontal="left" wrapText="1" indent="1"/>
    </xf>
    <xf numFmtId="0" fontId="17" fillId="0" borderId="52" xfId="0" applyFont="1" applyBorder="1" applyAlignment="1">
      <alignment vertical="top" wrapText="1"/>
    </xf>
    <xf numFmtId="17" fontId="18" fillId="0" borderId="0" xfId="0" quotePrefix="1" applyNumberFormat="1" applyFont="1" applyAlignment="1">
      <alignment horizontal="center"/>
    </xf>
    <xf numFmtId="178" fontId="15" fillId="0" borderId="43" xfId="0" applyNumberFormat="1" applyFont="1" applyBorder="1"/>
    <xf numFmtId="178" fontId="15" fillId="0" borderId="45" xfId="0" applyNumberFormat="1" applyFont="1" applyBorder="1"/>
    <xf numFmtId="0" fontId="17" fillId="0" borderId="50" xfId="0" applyFont="1" applyFill="1" applyBorder="1"/>
    <xf numFmtId="0" fontId="17" fillId="0" borderId="52" xfId="0" applyFont="1" applyFill="1" applyBorder="1"/>
    <xf numFmtId="0" fontId="15" fillId="0" borderId="0" xfId="0" applyFont="1" applyFill="1" applyBorder="1" applyAlignment="1">
      <alignment horizontal="center"/>
    </xf>
    <xf numFmtId="0" fontId="15" fillId="0" borderId="12" xfId="0" applyFont="1" applyBorder="1"/>
    <xf numFmtId="0" fontId="15" fillId="0" borderId="6" xfId="0" applyFont="1" applyBorder="1" applyAlignment="1">
      <alignment horizontal="center"/>
    </xf>
    <xf numFmtId="178" fontId="15" fillId="0" borderId="36" xfId="0" applyNumberFormat="1" applyFont="1" applyBorder="1"/>
    <xf numFmtId="178" fontId="15" fillId="0" borderId="10" xfId="0" applyNumberFormat="1" applyFont="1" applyBorder="1"/>
    <xf numFmtId="178" fontId="15" fillId="0" borderId="4" xfId="0" applyNumberFormat="1" applyFont="1" applyBorder="1"/>
    <xf numFmtId="178" fontId="15" fillId="0" borderId="9" xfId="0" applyNumberFormat="1" applyFont="1" applyBorder="1"/>
    <xf numFmtId="0" fontId="20" fillId="0" borderId="0" xfId="0" applyFont="1" applyAlignment="1">
      <alignment horizontal="right"/>
    </xf>
    <xf numFmtId="166" fontId="15" fillId="0" borderId="0" xfId="1" applyFont="1" applyFill="1" applyBorder="1"/>
    <xf numFmtId="0" fontId="15" fillId="0" borderId="43" xfId="0" applyFont="1" applyBorder="1" applyAlignment="1">
      <alignment horizontal="center" vertical="top" wrapText="1"/>
    </xf>
    <xf numFmtId="171" fontId="15" fillId="0" borderId="0" xfId="12" applyNumberFormat="1" applyFont="1"/>
    <xf numFmtId="0" fontId="15" fillId="0" borderId="42" xfId="0" applyFont="1" applyBorder="1" applyAlignment="1">
      <alignment horizontal="center" vertical="top" wrapText="1"/>
    </xf>
    <xf numFmtId="0" fontId="17" fillId="0" borderId="36" xfId="0" applyFont="1" applyBorder="1"/>
    <xf numFmtId="0" fontId="15" fillId="0" borderId="1" xfId="0" applyFont="1" applyBorder="1" applyAlignment="1">
      <alignment horizontal="center" vertical="top" wrapText="1"/>
    </xf>
    <xf numFmtId="168" fontId="15" fillId="0" borderId="0" xfId="1" applyNumberFormat="1" applyFont="1" applyBorder="1" applyAlignment="1">
      <alignment horizontal="left"/>
    </xf>
    <xf numFmtId="172" fontId="15" fillId="0" borderId="0" xfId="1" applyNumberFormat="1" applyFont="1" applyBorder="1"/>
    <xf numFmtId="171" fontId="15" fillId="0" borderId="0" xfId="12" applyNumberFormat="1" applyFont="1" applyBorder="1"/>
    <xf numFmtId="168" fontId="15" fillId="0" borderId="0" xfId="1" applyNumberFormat="1" applyFont="1" applyBorder="1"/>
    <xf numFmtId="178" fontId="20" fillId="0" borderId="0" xfId="1" applyNumberFormat="1" applyFont="1" applyBorder="1" applyAlignment="1">
      <alignment horizontal="right"/>
    </xf>
    <xf numFmtId="172" fontId="20" fillId="0" borderId="0" xfId="0" applyNumberFormat="1" applyFont="1" applyBorder="1" applyAlignment="1">
      <alignment horizontal="right"/>
    </xf>
    <xf numFmtId="0" fontId="15" fillId="0" borderId="8" xfId="0" applyFont="1" applyBorder="1" applyAlignment="1">
      <alignment horizontal="center" vertical="top" wrapText="1"/>
    </xf>
    <xf numFmtId="0" fontId="15" fillId="0" borderId="3" xfId="0" applyFont="1" applyBorder="1" applyAlignment="1">
      <alignment horizontal="center" vertical="top" wrapText="1"/>
    </xf>
    <xf numFmtId="2" fontId="15" fillId="0" borderId="8" xfId="1" applyNumberFormat="1" applyFont="1" applyBorder="1" applyAlignment="1">
      <alignment horizontal="center" vertical="top" wrapText="1"/>
    </xf>
    <xf numFmtId="2" fontId="15" fillId="0" borderId="1" xfId="1" applyNumberFormat="1" applyFont="1" applyBorder="1" applyAlignment="1">
      <alignment horizontal="center" vertical="top" wrapText="1"/>
    </xf>
    <xf numFmtId="2" fontId="15" fillId="0" borderId="3" xfId="1" applyNumberFormat="1" applyFont="1" applyBorder="1" applyAlignment="1">
      <alignment horizontal="center" vertical="top" wrapText="1"/>
    </xf>
    <xf numFmtId="171" fontId="15" fillId="0" borderId="3" xfId="0" applyNumberFormat="1" applyFont="1" applyBorder="1" applyAlignment="1">
      <alignment horizontal="center" vertical="top" wrapText="1"/>
    </xf>
    <xf numFmtId="171" fontId="15" fillId="0" borderId="1" xfId="0" applyNumberFormat="1" applyFont="1" applyFill="1" applyBorder="1" applyAlignment="1">
      <alignment horizontal="center" vertical="top" wrapText="1"/>
    </xf>
    <xf numFmtId="179" fontId="15" fillId="0" borderId="42" xfId="0" applyNumberFormat="1" applyFont="1" applyBorder="1" applyAlignment="1">
      <alignment horizontal="center" vertical="top" wrapText="1"/>
    </xf>
    <xf numFmtId="179" fontId="15" fillId="0" borderId="8" xfId="0" applyNumberFormat="1" applyFont="1" applyBorder="1" applyAlignment="1">
      <alignment horizontal="center" vertical="top" wrapText="1"/>
    </xf>
    <xf numFmtId="179" fontId="15" fillId="0" borderId="3" xfId="0" applyNumberFormat="1" applyFont="1" applyBorder="1" applyAlignment="1">
      <alignment horizontal="center" vertical="top" wrapText="1"/>
    </xf>
    <xf numFmtId="179" fontId="15" fillId="0" borderId="0" xfId="0" applyNumberFormat="1" applyFont="1" applyBorder="1" applyAlignment="1">
      <alignment horizontal="center" vertical="top" wrapText="1"/>
    </xf>
    <xf numFmtId="0" fontId="20" fillId="0" borderId="0" xfId="0" applyFont="1"/>
    <xf numFmtId="169" fontId="20" fillId="0" borderId="0" xfId="1" applyNumberFormat="1" applyFont="1" applyBorder="1" applyAlignment="1">
      <alignment vertical="top" wrapText="1"/>
    </xf>
    <xf numFmtId="169" fontId="20" fillId="0" borderId="0" xfId="1" applyNumberFormat="1" applyFont="1" applyFill="1" applyBorder="1" applyAlignment="1">
      <alignment vertical="top" wrapText="1"/>
    </xf>
    <xf numFmtId="0" fontId="22" fillId="0" borderId="0" xfId="0" applyFont="1"/>
    <xf numFmtId="0" fontId="19" fillId="0" borderId="12" xfId="0" applyFont="1" applyBorder="1" applyAlignment="1">
      <alignment horizontal="left" wrapText="1"/>
    </xf>
    <xf numFmtId="0" fontId="15" fillId="0" borderId="66" xfId="0" applyFont="1" applyBorder="1" applyAlignment="1">
      <alignment horizontal="left" vertical="top" wrapText="1"/>
    </xf>
    <xf numFmtId="0" fontId="15" fillId="0" borderId="45" xfId="0" applyFont="1" applyBorder="1" applyAlignment="1">
      <alignment horizontal="center" vertical="top" wrapText="1"/>
    </xf>
    <xf numFmtId="0" fontId="15" fillId="0" borderId="7" xfId="0" applyFont="1" applyBorder="1" applyAlignment="1">
      <alignment horizontal="center" vertical="top" wrapText="1"/>
    </xf>
    <xf numFmtId="0" fontId="15" fillId="0" borderId="12" xfId="0" applyFont="1" applyBorder="1" applyAlignment="1">
      <alignment horizontal="center" vertical="top" wrapText="1"/>
    </xf>
    <xf numFmtId="0" fontId="15" fillId="0" borderId="6" xfId="0" applyFont="1" applyBorder="1" applyAlignment="1">
      <alignment horizontal="center" vertical="top" wrapText="1"/>
    </xf>
    <xf numFmtId="0" fontId="15" fillId="0" borderId="67" xfId="0" applyFont="1" applyBorder="1" applyAlignment="1">
      <alignment horizontal="left" vertical="top" wrapText="1"/>
    </xf>
    <xf numFmtId="171" fontId="15" fillId="0" borderId="47" xfId="12" applyNumberFormat="1" applyFont="1" applyFill="1" applyBorder="1" applyAlignment="1">
      <alignment horizontal="center" vertical="top" wrapText="1"/>
    </xf>
    <xf numFmtId="171" fontId="15" fillId="0" borderId="42" xfId="12" applyNumberFormat="1" applyFont="1" applyFill="1" applyBorder="1" applyAlignment="1">
      <alignment horizontal="center" vertical="top" wrapText="1"/>
    </xf>
    <xf numFmtId="171" fontId="15" fillId="0" borderId="8" xfId="12" applyNumberFormat="1" applyFont="1" applyFill="1" applyBorder="1" applyAlignment="1">
      <alignment horizontal="center" vertical="top" wrapText="1"/>
    </xf>
    <xf numFmtId="171" fontId="15" fillId="0" borderId="3" xfId="12" applyNumberFormat="1" applyFont="1" applyFill="1" applyBorder="1" applyAlignment="1">
      <alignment horizontal="center" vertical="top" wrapText="1"/>
    </xf>
    <xf numFmtId="171" fontId="15" fillId="0" borderId="0" xfId="12" applyNumberFormat="1" applyFont="1" applyFill="1" applyBorder="1" applyAlignment="1">
      <alignment horizontal="center" vertical="top" wrapText="1"/>
    </xf>
    <xf numFmtId="0" fontId="15" fillId="0" borderId="3" xfId="0" applyFont="1" applyBorder="1" applyAlignment="1">
      <alignment horizontal="left" vertical="top" wrapText="1" indent="1"/>
    </xf>
    <xf numFmtId="0" fontId="15" fillId="0" borderId="47" xfId="12" applyNumberFormat="1" applyFont="1" applyFill="1" applyBorder="1" applyAlignment="1">
      <alignment horizontal="center" vertical="top" wrapText="1"/>
    </xf>
    <xf numFmtId="0" fontId="15" fillId="0" borderId="42" xfId="12" applyNumberFormat="1" applyFont="1" applyFill="1" applyBorder="1" applyAlignment="1">
      <alignment horizontal="center" vertical="top" wrapText="1"/>
    </xf>
    <xf numFmtId="0" fontId="15" fillId="0" borderId="8" xfId="12" applyNumberFormat="1" applyFont="1" applyFill="1" applyBorder="1" applyAlignment="1">
      <alignment horizontal="center" vertical="top" wrapText="1"/>
    </xf>
    <xf numFmtId="0" fontId="19" fillId="0" borderId="3" xfId="0" applyFont="1" applyBorder="1" applyAlignment="1">
      <alignment horizontal="left" wrapText="1"/>
    </xf>
    <xf numFmtId="0" fontId="15" fillId="0" borderId="47" xfId="0" applyFont="1" applyFill="1" applyBorder="1" applyAlignment="1">
      <alignment horizontal="center" vertical="top" wrapText="1"/>
    </xf>
    <xf numFmtId="0" fontId="15" fillId="0" borderId="42" xfId="0" applyFont="1" applyFill="1" applyBorder="1" applyAlignment="1">
      <alignment horizontal="center" vertical="top" wrapText="1"/>
    </xf>
    <xf numFmtId="0" fontId="15" fillId="0" borderId="8" xfId="0" applyFont="1" applyFill="1" applyBorder="1" applyAlignment="1">
      <alignment horizontal="center" vertical="top" wrapText="1"/>
    </xf>
    <xf numFmtId="0" fontId="15" fillId="0" borderId="3" xfId="0" applyFont="1" applyFill="1" applyBorder="1" applyAlignment="1">
      <alignment horizontal="center" vertical="top" wrapText="1"/>
    </xf>
    <xf numFmtId="0" fontId="15" fillId="0" borderId="0" xfId="0" applyFont="1" applyFill="1" applyBorder="1" applyAlignment="1">
      <alignment horizontal="center" vertical="top" wrapText="1"/>
    </xf>
    <xf numFmtId="180" fontId="15" fillId="0" borderId="47" xfId="1" applyNumberFormat="1" applyFont="1" applyFill="1" applyBorder="1" applyAlignment="1">
      <alignment vertical="top" wrapText="1"/>
    </xf>
    <xf numFmtId="180" fontId="15" fillId="0" borderId="42" xfId="1" applyNumberFormat="1" applyFont="1" applyFill="1" applyBorder="1" applyAlignment="1">
      <alignment vertical="top" wrapText="1"/>
    </xf>
    <xf numFmtId="180" fontId="15" fillId="0" borderId="8" xfId="1" applyNumberFormat="1" applyFont="1" applyFill="1" applyBorder="1" applyAlignment="1">
      <alignment vertical="top" wrapText="1"/>
    </xf>
    <xf numFmtId="180" fontId="15" fillId="0" borderId="3" xfId="1" applyNumberFormat="1" applyFont="1" applyFill="1" applyBorder="1" applyAlignment="1">
      <alignment vertical="top" wrapText="1"/>
    </xf>
    <xf numFmtId="180" fontId="15" fillId="0" borderId="0" xfId="1" applyNumberFormat="1" applyFont="1" applyFill="1" applyBorder="1" applyAlignment="1">
      <alignment vertical="top" wrapText="1"/>
    </xf>
    <xf numFmtId="180" fontId="15" fillId="0" borderId="47" xfId="0" applyNumberFormat="1" applyFont="1" applyFill="1" applyBorder="1" applyAlignment="1">
      <alignment horizontal="center" vertical="top" wrapText="1"/>
    </xf>
    <xf numFmtId="180" fontId="15" fillId="0" borderId="42" xfId="0" applyNumberFormat="1" applyFont="1" applyFill="1" applyBorder="1" applyAlignment="1">
      <alignment horizontal="center" vertical="top" wrapText="1"/>
    </xf>
    <xf numFmtId="180" fontId="15" fillId="0" borderId="8" xfId="0" applyNumberFormat="1" applyFont="1" applyFill="1" applyBorder="1" applyAlignment="1">
      <alignment horizontal="center" vertical="top" wrapText="1"/>
    </xf>
    <xf numFmtId="180" fontId="15" fillId="0" borderId="3" xfId="0" applyNumberFormat="1" applyFont="1" applyFill="1" applyBorder="1" applyAlignment="1">
      <alignment horizontal="center" vertical="top" wrapText="1"/>
    </xf>
    <xf numFmtId="180" fontId="15" fillId="0" borderId="0" xfId="0" applyNumberFormat="1" applyFont="1" applyFill="1" applyBorder="1" applyAlignment="1">
      <alignment horizontal="center" vertical="top" wrapText="1"/>
    </xf>
    <xf numFmtId="171" fontId="15" fillId="0" borderId="47" xfId="0" applyNumberFormat="1" applyFont="1" applyFill="1" applyBorder="1" applyAlignment="1">
      <alignment horizontal="center" vertical="top" wrapText="1"/>
    </xf>
    <xf numFmtId="171" fontId="15" fillId="0" borderId="42" xfId="0" applyNumberFormat="1" applyFont="1" applyFill="1" applyBorder="1" applyAlignment="1">
      <alignment horizontal="center" vertical="top" wrapText="1"/>
    </xf>
    <xf numFmtId="171" fontId="15" fillId="0" borderId="8" xfId="0" applyNumberFormat="1" applyFont="1" applyFill="1" applyBorder="1" applyAlignment="1">
      <alignment horizontal="center" vertical="top" wrapText="1"/>
    </xf>
    <xf numFmtId="171" fontId="15" fillId="0" borderId="3" xfId="0" applyNumberFormat="1" applyFont="1" applyFill="1" applyBorder="1" applyAlignment="1">
      <alignment horizontal="center" vertical="top" wrapText="1"/>
    </xf>
    <xf numFmtId="171" fontId="15" fillId="0" borderId="0" xfId="0" applyNumberFormat="1" applyFont="1" applyFill="1" applyBorder="1" applyAlignment="1">
      <alignment horizontal="center" vertical="top" wrapText="1"/>
    </xf>
    <xf numFmtId="0" fontId="19" fillId="0" borderId="3" xfId="0" applyFont="1" applyBorder="1" applyAlignment="1">
      <alignment horizontal="left" vertical="top" wrapText="1"/>
    </xf>
    <xf numFmtId="0" fontId="19" fillId="0" borderId="67" xfId="0" applyFont="1" applyBorder="1" applyAlignment="1">
      <alignment horizontal="left" vertical="top" wrapText="1"/>
    </xf>
    <xf numFmtId="9" fontId="15" fillId="0" borderId="47" xfId="0" applyNumberFormat="1" applyFont="1" applyFill="1" applyBorder="1" applyAlignment="1">
      <alignment horizontal="center" vertical="top" wrapText="1"/>
    </xf>
    <xf numFmtId="9" fontId="15" fillId="0" borderId="42" xfId="0" applyNumberFormat="1" applyFont="1" applyFill="1" applyBorder="1" applyAlignment="1">
      <alignment horizontal="center" vertical="top" wrapText="1"/>
    </xf>
    <xf numFmtId="9" fontId="15" fillId="0" borderId="8" xfId="0" applyNumberFormat="1" applyFont="1" applyFill="1" applyBorder="1" applyAlignment="1">
      <alignment horizontal="center" vertical="top" wrapText="1"/>
    </xf>
    <xf numFmtId="9" fontId="15" fillId="0" borderId="3" xfId="0" applyNumberFormat="1" applyFont="1" applyFill="1" applyBorder="1" applyAlignment="1">
      <alignment horizontal="center" vertical="top" wrapText="1"/>
    </xf>
    <xf numFmtId="9" fontId="15" fillId="0" borderId="0" xfId="0" applyNumberFormat="1" applyFont="1" applyFill="1" applyBorder="1" applyAlignment="1">
      <alignment horizontal="center" vertical="top" wrapText="1"/>
    </xf>
    <xf numFmtId="0" fontId="15" fillId="0" borderId="68" xfId="0" applyFont="1" applyBorder="1" applyAlignment="1">
      <alignment horizontal="left" vertical="top" wrapText="1" indent="1"/>
    </xf>
    <xf numFmtId="0" fontId="15" fillId="0" borderId="69" xfId="0" applyFont="1" applyBorder="1" applyAlignment="1">
      <alignment horizontal="left" vertical="top" wrapText="1"/>
    </xf>
    <xf numFmtId="180" fontId="15" fillId="0" borderId="70" xfId="1" applyNumberFormat="1" applyFont="1" applyFill="1" applyBorder="1" applyAlignment="1">
      <alignment vertical="top" wrapText="1"/>
    </xf>
    <xf numFmtId="180" fontId="15" fillId="0" borderId="71" xfId="1" applyNumberFormat="1" applyFont="1" applyFill="1" applyBorder="1" applyAlignment="1">
      <alignment vertical="top" wrapText="1"/>
    </xf>
    <xf numFmtId="180" fontId="15" fillId="0" borderId="72" xfId="1" applyNumberFormat="1" applyFont="1" applyFill="1" applyBorder="1" applyAlignment="1">
      <alignment vertical="top" wrapText="1"/>
    </xf>
    <xf numFmtId="180" fontId="15" fillId="0" borderId="68" xfId="1" applyNumberFormat="1" applyFont="1" applyFill="1" applyBorder="1" applyAlignment="1">
      <alignment vertical="top" wrapText="1"/>
    </xf>
    <xf numFmtId="180" fontId="15" fillId="0" borderId="73" xfId="1" applyNumberFormat="1" applyFont="1" applyFill="1" applyBorder="1" applyAlignment="1">
      <alignment vertical="top" wrapText="1"/>
    </xf>
    <xf numFmtId="172" fontId="15" fillId="0" borderId="3" xfId="0" applyNumberFormat="1" applyFont="1" applyFill="1" applyBorder="1"/>
    <xf numFmtId="172" fontId="15" fillId="0" borderId="42" xfId="0" applyNumberFormat="1" applyFont="1" applyFill="1" applyBorder="1"/>
    <xf numFmtId="171" fontId="15" fillId="0" borderId="0" xfId="0" applyNumberFormat="1" applyFont="1" applyFill="1" applyAlignment="1">
      <alignment horizontal="center"/>
    </xf>
    <xf numFmtId="0" fontId="17" fillId="0" borderId="74" xfId="0" applyFont="1" applyFill="1" applyBorder="1" applyAlignment="1">
      <alignment horizontal="center" vertical="top" wrapText="1"/>
    </xf>
    <xf numFmtId="0" fontId="19" fillId="0" borderId="12" xfId="0" applyNumberFormat="1" applyFont="1" applyBorder="1" applyAlignment="1">
      <alignment horizontal="left" wrapText="1"/>
    </xf>
    <xf numFmtId="0" fontId="15" fillId="0" borderId="75" xfId="0" applyFont="1" applyBorder="1" applyAlignment="1">
      <alignment horizontal="left" vertical="top" wrapText="1"/>
    </xf>
    <xf numFmtId="0" fontId="15" fillId="0" borderId="66" xfId="0" applyFont="1" applyBorder="1" applyAlignment="1">
      <alignment horizontal="center" vertical="top" wrapText="1"/>
    </xf>
    <xf numFmtId="0" fontId="15" fillId="0" borderId="11" xfId="0" applyFont="1" applyBorder="1" applyAlignment="1">
      <alignment horizontal="center" vertical="top" wrapText="1"/>
    </xf>
    <xf numFmtId="0" fontId="15" fillId="0" borderId="3" xfId="0" applyNumberFormat="1" applyFont="1" applyBorder="1" applyAlignment="1">
      <alignment horizontal="left" vertical="top" wrapText="1" indent="1"/>
    </xf>
    <xf numFmtId="0" fontId="15" fillId="0" borderId="3" xfId="0" applyNumberFormat="1" applyFont="1" applyBorder="1" applyAlignment="1">
      <alignment horizontal="left" vertical="top" wrapText="1"/>
    </xf>
    <xf numFmtId="168" fontId="15" fillId="0" borderId="76" xfId="1" applyNumberFormat="1" applyFont="1" applyFill="1" applyBorder="1" applyAlignment="1">
      <alignment horizontal="left" vertical="top" wrapText="1"/>
    </xf>
    <xf numFmtId="0" fontId="19" fillId="0" borderId="3" xfId="0" applyNumberFormat="1" applyFont="1" applyBorder="1" applyAlignment="1">
      <alignment horizontal="left" wrapText="1"/>
    </xf>
    <xf numFmtId="0" fontId="15" fillId="0" borderId="67" xfId="0" applyFont="1" applyBorder="1" applyAlignment="1">
      <alignment horizontal="center" vertical="top" wrapText="1"/>
    </xf>
    <xf numFmtId="0" fontId="15" fillId="0" borderId="0" xfId="0" applyFont="1" applyBorder="1" applyAlignment="1">
      <alignment horizontal="center" vertical="top" wrapText="1"/>
    </xf>
    <xf numFmtId="179" fontId="15" fillId="0" borderId="76" xfId="1" applyNumberFormat="1" applyFont="1" applyFill="1" applyBorder="1" applyAlignment="1">
      <alignment horizontal="left" vertical="top" wrapText="1"/>
    </xf>
    <xf numFmtId="179" fontId="15" fillId="0" borderId="67" xfId="0" applyNumberFormat="1" applyFont="1" applyBorder="1" applyAlignment="1">
      <alignment horizontal="center" vertical="top" wrapText="1"/>
    </xf>
    <xf numFmtId="179" fontId="15" fillId="0" borderId="1" xfId="0" applyNumberFormat="1" applyFont="1" applyBorder="1" applyAlignment="1">
      <alignment horizontal="center" vertical="top" wrapText="1"/>
    </xf>
    <xf numFmtId="2" fontId="15" fillId="0" borderId="42" xfId="1" applyNumberFormat="1" applyFont="1" applyBorder="1" applyAlignment="1">
      <alignment horizontal="center" vertical="top" wrapText="1"/>
    </xf>
    <xf numFmtId="2" fontId="15" fillId="0" borderId="67" xfId="1" applyNumberFormat="1" applyFont="1" applyBorder="1" applyAlignment="1">
      <alignment horizontal="center" vertical="top" wrapText="1"/>
    </xf>
    <xf numFmtId="2" fontId="15" fillId="0" borderId="0" xfId="1" applyNumberFormat="1" applyFont="1" applyBorder="1" applyAlignment="1">
      <alignment horizontal="center" vertical="top" wrapText="1"/>
    </xf>
    <xf numFmtId="0" fontId="19" fillId="0" borderId="3" xfId="0" applyNumberFormat="1" applyFont="1" applyBorder="1" applyAlignment="1">
      <alignment horizontal="left" vertical="top" wrapText="1"/>
    </xf>
    <xf numFmtId="168" fontId="15" fillId="0" borderId="76" xfId="1" applyNumberFormat="1" applyFont="1" applyBorder="1" applyAlignment="1">
      <alignment horizontal="left" vertical="top" wrapText="1"/>
    </xf>
    <xf numFmtId="171" fontId="15" fillId="0" borderId="67" xfId="0" applyNumberFormat="1" applyFont="1" applyBorder="1" applyAlignment="1">
      <alignment horizontal="center" vertical="top" wrapText="1"/>
    </xf>
    <xf numFmtId="9" fontId="15" fillId="0" borderId="1" xfId="0" applyNumberFormat="1" applyFont="1" applyFill="1" applyBorder="1" applyAlignment="1">
      <alignment horizontal="center" vertical="top" wrapText="1"/>
    </xf>
    <xf numFmtId="168" fontId="15" fillId="3" borderId="76" xfId="1" applyNumberFormat="1" applyFont="1" applyFill="1" applyBorder="1" applyAlignment="1">
      <alignment horizontal="left" vertical="top" wrapText="1"/>
    </xf>
    <xf numFmtId="168" fontId="19" fillId="3" borderId="76" xfId="1" applyNumberFormat="1" applyFont="1" applyFill="1" applyBorder="1" applyAlignment="1">
      <alignment horizontal="left" vertical="top" wrapText="1"/>
    </xf>
    <xf numFmtId="171" fontId="15" fillId="0" borderId="42" xfId="0" applyNumberFormat="1" applyFont="1" applyBorder="1" applyAlignment="1">
      <alignment horizontal="center" vertical="top" wrapText="1"/>
    </xf>
    <xf numFmtId="0" fontId="15" fillId="0" borderId="4" xfId="0" applyFont="1" applyBorder="1" applyAlignment="1">
      <alignment horizontal="left" vertical="top" wrapText="1"/>
    </xf>
    <xf numFmtId="168" fontId="15" fillId="0" borderId="77" xfId="1" applyNumberFormat="1" applyFont="1" applyBorder="1" applyAlignment="1">
      <alignment horizontal="left" vertical="top" wrapText="1"/>
    </xf>
    <xf numFmtId="169" fontId="15" fillId="0" borderId="4" xfId="1" applyNumberFormat="1" applyFont="1" applyBorder="1" applyAlignment="1">
      <alignment vertical="top" wrapText="1"/>
    </xf>
    <xf numFmtId="169" fontId="15" fillId="0" borderId="36" xfId="1" applyNumberFormat="1" applyFont="1" applyBorder="1" applyAlignment="1">
      <alignment vertical="top" wrapText="1"/>
    </xf>
    <xf numFmtId="169" fontId="15" fillId="0" borderId="37" xfId="1" applyNumberFormat="1" applyFont="1" applyBorder="1" applyAlignment="1">
      <alignment vertical="top" wrapText="1"/>
    </xf>
    <xf numFmtId="169" fontId="15" fillId="0" borderId="5" xfId="1" applyNumberFormat="1" applyFont="1" applyFill="1" applyBorder="1" applyAlignment="1">
      <alignment vertical="top" wrapText="1"/>
    </xf>
    <xf numFmtId="169" fontId="15" fillId="0" borderId="9" xfId="1" applyNumberFormat="1" applyFont="1" applyFill="1" applyBorder="1" applyAlignment="1">
      <alignment vertical="top" wrapText="1"/>
    </xf>
    <xf numFmtId="169" fontId="15" fillId="0" borderId="36" xfId="1" applyNumberFormat="1" applyFont="1" applyFill="1" applyBorder="1" applyAlignment="1">
      <alignment vertical="top" wrapText="1"/>
    </xf>
    <xf numFmtId="169" fontId="15" fillId="0" borderId="10" xfId="1" applyNumberFormat="1" applyFont="1" applyFill="1" applyBorder="1" applyAlignment="1">
      <alignment vertical="top" wrapText="1"/>
    </xf>
    <xf numFmtId="0" fontId="19" fillId="0" borderId="66" xfId="0" applyFont="1" applyBorder="1" applyAlignment="1">
      <alignment horizontal="center"/>
    </xf>
    <xf numFmtId="0" fontId="19" fillId="0" borderId="42" xfId="0" applyFont="1" applyBorder="1" applyAlignment="1">
      <alignment horizontal="center"/>
    </xf>
    <xf numFmtId="0" fontId="15" fillId="0" borderId="66" xfId="0" applyFont="1" applyBorder="1"/>
    <xf numFmtId="0" fontId="15" fillId="0" borderId="75" xfId="0" applyFont="1" applyBorder="1"/>
    <xf numFmtId="0" fontId="15" fillId="0" borderId="45" xfId="0" applyFont="1" applyBorder="1"/>
    <xf numFmtId="0" fontId="15" fillId="0" borderId="67" xfId="0" applyFont="1" applyBorder="1" applyAlignment="1">
      <alignment horizontal="center"/>
    </xf>
    <xf numFmtId="178" fontId="15" fillId="0" borderId="67" xfId="0" applyNumberFormat="1" applyFont="1" applyFill="1" applyBorder="1"/>
    <xf numFmtId="178" fontId="15" fillId="0" borderId="76" xfId="0" applyNumberFormat="1" applyFont="1" applyFill="1" applyBorder="1"/>
    <xf numFmtId="180" fontId="15" fillId="0" borderId="0" xfId="1" applyNumberFormat="1" applyFont="1" applyFill="1" applyBorder="1" applyAlignment="1"/>
    <xf numFmtId="180" fontId="15" fillId="0" borderId="67" xfId="1" applyNumberFormat="1" applyFont="1" applyFill="1" applyBorder="1" applyAlignment="1"/>
    <xf numFmtId="180" fontId="15" fillId="0" borderId="76" xfId="1" applyNumberFormat="1" applyFont="1" applyFill="1" applyBorder="1" applyAlignment="1"/>
    <xf numFmtId="180" fontId="15" fillId="0" borderId="3" xfId="1" applyNumberFormat="1" applyFont="1" applyFill="1" applyBorder="1" applyAlignment="1"/>
    <xf numFmtId="180" fontId="15" fillId="0" borderId="47" xfId="1" applyNumberFormat="1" applyFont="1" applyFill="1" applyBorder="1" applyAlignment="1"/>
    <xf numFmtId="0" fontId="15" fillId="0" borderId="67" xfId="0" applyFont="1" applyFill="1" applyBorder="1" applyAlignment="1">
      <alignment horizontal="center"/>
    </xf>
    <xf numFmtId="174" fontId="15" fillId="0" borderId="67" xfId="0" applyNumberFormat="1" applyFont="1" applyFill="1" applyBorder="1" applyAlignment="1">
      <alignment horizontal="center"/>
    </xf>
    <xf numFmtId="174" fontId="15" fillId="0" borderId="76" xfId="12" applyNumberFormat="1" applyFont="1" applyFill="1" applyBorder="1" applyAlignment="1">
      <alignment horizontal="center"/>
    </xf>
    <xf numFmtId="174" fontId="15" fillId="0" borderId="3" xfId="12" applyNumberFormat="1" applyFont="1" applyFill="1" applyBorder="1" applyAlignment="1">
      <alignment horizontal="center"/>
    </xf>
    <xf numFmtId="174" fontId="15" fillId="0" borderId="67" xfId="12" applyNumberFormat="1" applyFont="1" applyFill="1" applyBorder="1" applyAlignment="1">
      <alignment horizontal="center"/>
    </xf>
    <xf numFmtId="174" fontId="15" fillId="0" borderId="0" xfId="12" applyNumberFormat="1" applyFont="1" applyFill="1" applyBorder="1" applyAlignment="1">
      <alignment horizontal="center"/>
    </xf>
    <xf numFmtId="174" fontId="15" fillId="0" borderId="47" xfId="12" applyNumberFormat="1" applyFont="1" applyFill="1" applyBorder="1" applyAlignment="1">
      <alignment horizontal="center"/>
    </xf>
    <xf numFmtId="9" fontId="15" fillId="0" borderId="67" xfId="12" applyFont="1" applyBorder="1" applyAlignment="1">
      <alignment horizontal="center"/>
    </xf>
    <xf numFmtId="9" fontId="15" fillId="0" borderId="37" xfId="12" applyFont="1" applyBorder="1" applyAlignment="1">
      <alignment horizontal="center"/>
    </xf>
    <xf numFmtId="9" fontId="15" fillId="0" borderId="36" xfId="12" applyFont="1" applyBorder="1" applyAlignment="1">
      <alignment horizontal="center"/>
    </xf>
    <xf numFmtId="9" fontId="15" fillId="0" borderId="9" xfId="12" applyFont="1" applyBorder="1" applyAlignment="1">
      <alignment horizontal="center"/>
    </xf>
    <xf numFmtId="9" fontId="15" fillId="0" borderId="77" xfId="12" applyFont="1" applyBorder="1" applyAlignment="1">
      <alignment horizontal="center"/>
    </xf>
    <xf numFmtId="9" fontId="15" fillId="0" borderId="4" xfId="12" applyFont="1" applyBorder="1" applyAlignment="1">
      <alignment horizontal="center"/>
    </xf>
    <xf numFmtId="9" fontId="15" fillId="0" borderId="64" xfId="12" applyFont="1" applyBorder="1" applyAlignment="1">
      <alignment horizontal="center"/>
    </xf>
    <xf numFmtId="9" fontId="15" fillId="0" borderId="6" xfId="12" applyFont="1" applyBorder="1" applyAlignment="1">
      <alignment horizontal="center"/>
    </xf>
    <xf numFmtId="9" fontId="15" fillId="0" borderId="0" xfId="12" applyFont="1" applyBorder="1" applyAlignment="1">
      <alignment horizontal="center"/>
    </xf>
    <xf numFmtId="0" fontId="19" fillId="0" borderId="1" xfId="0" applyFont="1" applyBorder="1" applyAlignment="1">
      <alignment horizontal="left"/>
    </xf>
    <xf numFmtId="0" fontId="15" fillId="0" borderId="1" xfId="0" applyFont="1" applyBorder="1" applyAlignment="1"/>
    <xf numFmtId="0" fontId="15" fillId="0" borderId="8" xfId="0" applyFont="1" applyBorder="1" applyAlignment="1">
      <alignment horizontal="center"/>
    </xf>
    <xf numFmtId="174" fontId="15" fillId="0" borderId="1" xfId="12" applyNumberFormat="1" applyFont="1" applyFill="1" applyBorder="1" applyAlignment="1">
      <alignment horizontal="center"/>
    </xf>
    <xf numFmtId="174" fontId="15" fillId="0" borderId="8" xfId="12" applyNumberFormat="1" applyFont="1" applyFill="1" applyBorder="1" applyAlignment="1">
      <alignment horizontal="center"/>
    </xf>
    <xf numFmtId="178" fontId="15" fillId="0" borderId="1" xfId="0" applyNumberFormat="1" applyFont="1" applyBorder="1"/>
    <xf numFmtId="0" fontId="15" fillId="0" borderId="1" xfId="0" applyFont="1" applyBorder="1" applyAlignment="1">
      <alignment horizontal="left"/>
    </xf>
    <xf numFmtId="9" fontId="15" fillId="0" borderId="8" xfId="0" applyNumberFormat="1" applyFont="1" applyBorder="1" applyAlignment="1">
      <alignment horizontal="center"/>
    </xf>
    <xf numFmtId="0" fontId="15" fillId="0" borderId="32" xfId="0" applyFont="1" applyBorder="1" applyAlignment="1">
      <alignment horizontal="left"/>
    </xf>
    <xf numFmtId="0" fontId="15" fillId="0" borderId="78" xfId="0" applyFont="1" applyBorder="1" applyAlignment="1">
      <alignment horizontal="center"/>
    </xf>
    <xf numFmtId="0" fontId="19" fillId="0" borderId="0" xfId="0" applyFont="1"/>
    <xf numFmtId="178" fontId="15" fillId="0" borderId="0" xfId="0" applyNumberFormat="1" applyFont="1" applyAlignment="1">
      <alignment horizontal="center"/>
    </xf>
    <xf numFmtId="0" fontId="15" fillId="0" borderId="66" xfId="0" applyFont="1" applyBorder="1" applyAlignment="1">
      <alignment horizontal="center"/>
    </xf>
    <xf numFmtId="172" fontId="17" fillId="0" borderId="43" xfId="0" applyNumberFormat="1" applyFont="1" applyBorder="1"/>
    <xf numFmtId="172" fontId="17" fillId="0" borderId="3" xfId="0" applyNumberFormat="1" applyFont="1" applyBorder="1"/>
    <xf numFmtId="0" fontId="17" fillId="0" borderId="42" xfId="0" applyNumberFormat="1" applyFont="1" applyFill="1" applyBorder="1" applyAlignment="1">
      <alignment horizontal="center"/>
    </xf>
    <xf numFmtId="0" fontId="15" fillId="0" borderId="67" xfId="0" quotePrefix="1" applyFont="1" applyBorder="1" applyAlignment="1">
      <alignment horizontal="center"/>
    </xf>
    <xf numFmtId="0" fontId="15" fillId="0" borderId="67" xfId="0" quotePrefix="1" applyFont="1" applyFill="1" applyBorder="1" applyAlignment="1">
      <alignment horizontal="center"/>
    </xf>
    <xf numFmtId="168" fontId="15" fillId="0" borderId="42" xfId="1" applyNumberFormat="1" applyFont="1" applyFill="1" applyBorder="1"/>
    <xf numFmtId="168" fontId="15" fillId="0" borderId="8" xfId="1" applyNumberFormat="1" applyFont="1" applyFill="1" applyBorder="1"/>
    <xf numFmtId="168" fontId="15" fillId="0" borderId="3" xfId="1" applyNumberFormat="1" applyFont="1" applyFill="1" applyBorder="1"/>
    <xf numFmtId="168" fontId="15" fillId="0" borderId="76" xfId="1" applyNumberFormat="1" applyFont="1" applyFill="1" applyBorder="1"/>
    <xf numFmtId="168" fontId="15" fillId="0" borderId="0" xfId="1" applyNumberFormat="1" applyFont="1" applyFill="1" applyBorder="1"/>
    <xf numFmtId="177" fontId="17" fillId="0" borderId="46" xfId="1" applyNumberFormat="1" applyFont="1" applyFill="1" applyBorder="1"/>
    <xf numFmtId="177" fontId="17" fillId="0" borderId="49" xfId="1" applyNumberFormat="1" applyFont="1" applyFill="1" applyBorder="1"/>
    <xf numFmtId="177" fontId="17" fillId="0" borderId="50" xfId="1" applyNumberFormat="1" applyFont="1" applyFill="1" applyBorder="1"/>
    <xf numFmtId="177" fontId="17" fillId="0" borderId="79" xfId="1" applyNumberFormat="1" applyFont="1" applyFill="1" applyBorder="1"/>
    <xf numFmtId="177" fontId="17" fillId="0" borderId="48" xfId="1" applyNumberFormat="1" applyFont="1" applyFill="1" applyBorder="1"/>
    <xf numFmtId="177" fontId="17" fillId="0" borderId="46" xfId="0" applyNumberFormat="1" applyFont="1" applyFill="1" applyBorder="1"/>
    <xf numFmtId="177" fontId="17" fillId="0" borderId="49" xfId="0" applyNumberFormat="1" applyFont="1" applyFill="1" applyBorder="1"/>
    <xf numFmtId="177" fontId="15" fillId="0" borderId="0" xfId="0" applyNumberFormat="1" applyFont="1" applyFill="1" applyBorder="1"/>
    <xf numFmtId="177" fontId="17" fillId="0" borderId="42" xfId="0" applyNumberFormat="1" applyFont="1" applyFill="1" applyBorder="1"/>
    <xf numFmtId="177" fontId="17" fillId="0" borderId="8" xfId="0" applyNumberFormat="1" applyFont="1" applyFill="1" applyBorder="1"/>
    <xf numFmtId="0" fontId="19" fillId="0" borderId="50" xfId="0" applyFont="1" applyBorder="1"/>
    <xf numFmtId="0" fontId="15" fillId="0" borderId="80" xfId="0" applyFont="1" applyBorder="1" applyAlignment="1">
      <alignment horizontal="center"/>
    </xf>
    <xf numFmtId="172" fontId="15" fillId="0" borderId="46" xfId="0" applyNumberFormat="1" applyFont="1" applyFill="1" applyBorder="1"/>
    <xf numFmtId="172" fontId="15" fillId="0" borderId="49" xfId="0" applyNumberFormat="1" applyFont="1" applyFill="1" applyBorder="1"/>
    <xf numFmtId="172" fontId="15" fillId="0" borderId="50" xfId="0" applyNumberFormat="1" applyFont="1" applyFill="1" applyBorder="1"/>
    <xf numFmtId="172" fontId="15" fillId="0" borderId="79" xfId="0" applyNumberFormat="1" applyFont="1" applyFill="1" applyBorder="1"/>
    <xf numFmtId="172" fontId="15" fillId="0" borderId="48" xfId="0" applyNumberFormat="1" applyFont="1" applyFill="1" applyBorder="1"/>
    <xf numFmtId="0" fontId="15" fillId="0" borderId="0" xfId="1" applyNumberFormat="1" applyFont="1" applyFill="1" applyBorder="1" applyAlignment="1">
      <alignment horizontal="center"/>
    </xf>
    <xf numFmtId="174" fontId="15" fillId="0" borderId="42" xfId="0" applyNumberFormat="1" applyFont="1" applyFill="1" applyBorder="1" applyAlignment="1">
      <alignment horizontal="center"/>
    </xf>
    <xf numFmtId="174" fontId="15" fillId="0" borderId="42" xfId="12" applyNumberFormat="1" applyFont="1" applyFill="1" applyBorder="1" applyAlignment="1">
      <alignment horizontal="center"/>
    </xf>
    <xf numFmtId="178" fontId="17" fillId="0" borderId="76" xfId="0" applyNumberFormat="1" applyFont="1" applyFill="1" applyBorder="1"/>
    <xf numFmtId="0" fontId="15" fillId="0" borderId="37" xfId="0" applyFont="1" applyBorder="1" applyAlignment="1">
      <alignment horizontal="center"/>
    </xf>
    <xf numFmtId="172" fontId="15" fillId="0" borderId="36" xfId="0" applyNumberFormat="1" applyFont="1" applyBorder="1"/>
    <xf numFmtId="172" fontId="15" fillId="0" borderId="10" xfId="0" applyNumberFormat="1" applyFont="1" applyBorder="1"/>
    <xf numFmtId="172" fontId="15" fillId="0" borderId="4" xfId="0" applyNumberFormat="1" applyFont="1" applyBorder="1"/>
    <xf numFmtId="172" fontId="15" fillId="0" borderId="36" xfId="0" applyNumberFormat="1" applyFont="1" applyFill="1" applyBorder="1"/>
    <xf numFmtId="172" fontId="15" fillId="0" borderId="77" xfId="0" applyNumberFormat="1" applyFont="1" applyFill="1" applyBorder="1"/>
    <xf numFmtId="172" fontId="15" fillId="0" borderId="9" xfId="0" applyNumberFormat="1" applyFont="1" applyBorder="1"/>
    <xf numFmtId="0" fontId="17" fillId="0" borderId="43" xfId="0" applyFont="1" applyFill="1" applyBorder="1" applyAlignment="1">
      <alignment horizontal="center" vertical="center" wrapText="1"/>
    </xf>
    <xf numFmtId="0" fontId="12" fillId="0" borderId="9" xfId="0" applyNumberFormat="1" applyFont="1" applyFill="1" applyBorder="1" applyAlignment="1">
      <alignment horizontal="left"/>
    </xf>
    <xf numFmtId="0" fontId="17" fillId="0" borderId="17" xfId="0" applyFont="1" applyFill="1" applyBorder="1" applyAlignment="1">
      <alignment horizontal="center" vertical="center"/>
    </xf>
    <xf numFmtId="0" fontId="17" fillId="0" borderId="74" xfId="0" applyNumberFormat="1" applyFont="1" applyFill="1" applyBorder="1" applyAlignment="1">
      <alignment horizontal="center" vertical="center"/>
    </xf>
    <xf numFmtId="0" fontId="17" fillId="0" borderId="81" xfId="0" applyFont="1" applyFill="1" applyBorder="1" applyAlignment="1">
      <alignment horizontal="center" vertical="top" wrapText="1"/>
    </xf>
    <xf numFmtId="172" fontId="17" fillId="0" borderId="42" xfId="0" applyNumberFormat="1" applyFont="1" applyFill="1" applyBorder="1"/>
    <xf numFmtId="172" fontId="17" fillId="0" borderId="76" xfId="0" applyNumberFormat="1" applyFont="1" applyFill="1" applyBorder="1"/>
    <xf numFmtId="0" fontId="15" fillId="0" borderId="42" xfId="0" quotePrefix="1" applyNumberFormat="1" applyFont="1" applyBorder="1" applyAlignment="1">
      <alignment horizontal="center"/>
    </xf>
    <xf numFmtId="177" fontId="15" fillId="0" borderId="46" xfId="1" applyNumberFormat="1" applyFont="1" applyFill="1" applyBorder="1"/>
    <xf numFmtId="177" fontId="15" fillId="0" borderId="79" xfId="1" applyNumberFormat="1" applyFont="1" applyFill="1" applyBorder="1"/>
    <xf numFmtId="0" fontId="19" fillId="0" borderId="50" xfId="0" applyNumberFormat="1" applyFont="1" applyBorder="1"/>
    <xf numFmtId="0" fontId="17" fillId="0" borderId="46" xfId="0" applyNumberFormat="1" applyFont="1" applyBorder="1" applyAlignment="1">
      <alignment horizontal="center"/>
    </xf>
    <xf numFmtId="173" fontId="17" fillId="0" borderId="46" xfId="0" applyNumberFormat="1" applyFont="1" applyFill="1" applyBorder="1"/>
    <xf numFmtId="173" fontId="17" fillId="0" borderId="79" xfId="0" applyNumberFormat="1" applyFont="1" applyFill="1" applyBorder="1"/>
    <xf numFmtId="0" fontId="15" fillId="0" borderId="42" xfId="0" quotePrefix="1" applyNumberFormat="1" applyFont="1" applyFill="1" applyBorder="1" applyAlignment="1">
      <alignment horizontal="center"/>
    </xf>
    <xf numFmtId="178" fontId="15" fillId="0" borderId="34" xfId="0" applyNumberFormat="1" applyFont="1" applyBorder="1"/>
    <xf numFmtId="178" fontId="15" fillId="0" borderId="46" xfId="1" applyNumberFormat="1" applyFont="1" applyFill="1" applyBorder="1"/>
    <xf numFmtId="178" fontId="15" fillId="0" borderId="79" xfId="1" applyNumberFormat="1" applyFont="1" applyFill="1" applyBorder="1"/>
    <xf numFmtId="0" fontId="17" fillId="0" borderId="3" xfId="0" applyNumberFormat="1" applyFont="1" applyFill="1" applyBorder="1"/>
    <xf numFmtId="0" fontId="15" fillId="0" borderId="4" xfId="0" applyNumberFormat="1" applyFont="1" applyFill="1" applyBorder="1"/>
    <xf numFmtId="0" fontId="15" fillId="0" borderId="0" xfId="0" applyNumberFormat="1" applyFont="1" applyBorder="1" applyAlignment="1">
      <alignment horizontal="center"/>
    </xf>
    <xf numFmtId="0" fontId="15" fillId="0" borderId="0" xfId="0" applyNumberFormat="1" applyFont="1" applyBorder="1"/>
    <xf numFmtId="0" fontId="15" fillId="0" borderId="0" xfId="0" applyNumberFormat="1" applyFont="1" applyAlignment="1">
      <alignment horizontal="center"/>
    </xf>
    <xf numFmtId="0" fontId="17" fillId="0" borderId="12" xfId="0" applyFont="1" applyFill="1" applyBorder="1" applyAlignment="1">
      <alignment horizontal="centerContinuous" vertical="center" wrapText="1"/>
    </xf>
    <xf numFmtId="0" fontId="17" fillId="0" borderId="39" xfId="0" applyFont="1" applyFill="1" applyBorder="1" applyAlignment="1">
      <alignment horizontal="centerContinuous" vertical="center" wrapText="1"/>
    </xf>
    <xf numFmtId="0" fontId="17" fillId="0" borderId="40" xfId="0" applyFont="1" applyFill="1" applyBorder="1" applyAlignment="1">
      <alignment horizontal="centerContinuous" vertical="center" wrapText="1"/>
    </xf>
    <xf numFmtId="0" fontId="17" fillId="0" borderId="82" xfId="0" applyFont="1" applyFill="1" applyBorder="1" applyAlignment="1">
      <alignment horizontal="centerContinuous" vertical="center" wrapText="1"/>
    </xf>
    <xf numFmtId="0" fontId="17" fillId="0" borderId="11"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5" fillId="0" borderId="43" xfId="0" applyNumberFormat="1" applyFont="1" applyBorder="1" applyAlignment="1">
      <alignment horizontal="center" vertical="top" wrapText="1"/>
    </xf>
    <xf numFmtId="182" fontId="15" fillId="0" borderId="43" xfId="0" applyNumberFormat="1" applyFont="1" applyBorder="1" applyAlignment="1">
      <alignment vertical="top" wrapText="1"/>
    </xf>
    <xf numFmtId="182" fontId="15" fillId="0" borderId="7" xfId="0" applyNumberFormat="1" applyFont="1" applyBorder="1" applyAlignment="1">
      <alignment vertical="top" wrapText="1"/>
    </xf>
    <xf numFmtId="182" fontId="15" fillId="0" borderId="12" xfId="0" applyNumberFormat="1" applyFont="1" applyBorder="1" applyAlignment="1">
      <alignment vertical="top" wrapText="1"/>
    </xf>
    <xf numFmtId="182" fontId="15" fillId="0" borderId="6" xfId="0" applyNumberFormat="1" applyFont="1" applyBorder="1" applyAlignment="1">
      <alignment vertical="top" wrapText="1"/>
    </xf>
    <xf numFmtId="183" fontId="15" fillId="0" borderId="11" xfId="0" applyNumberFormat="1" applyFont="1" applyBorder="1" applyAlignment="1">
      <alignment vertical="top" wrapText="1"/>
    </xf>
    <xf numFmtId="0" fontId="15" fillId="0" borderId="42" xfId="0" applyNumberFormat="1" applyFont="1" applyBorder="1" applyAlignment="1">
      <alignment horizontal="center" vertical="top" wrapText="1"/>
    </xf>
    <xf numFmtId="182" fontId="15" fillId="0" borderId="42" xfId="1" applyNumberFormat="1" applyFont="1" applyBorder="1" applyAlignment="1">
      <alignment vertical="top" wrapText="1"/>
    </xf>
    <xf numFmtId="182" fontId="15" fillId="0" borderId="8" xfId="1" applyNumberFormat="1" applyFont="1" applyBorder="1" applyAlignment="1">
      <alignment vertical="top" wrapText="1"/>
    </xf>
    <xf numFmtId="182" fontId="15" fillId="0" borderId="3" xfId="1" applyNumberFormat="1" applyFont="1" applyBorder="1" applyAlignment="1">
      <alignment vertical="top" wrapText="1"/>
    </xf>
    <xf numFmtId="182" fontId="15" fillId="0" borderId="0" xfId="1" applyNumberFormat="1" applyFont="1" applyBorder="1" applyAlignment="1">
      <alignment vertical="top" wrapText="1"/>
    </xf>
    <xf numFmtId="183" fontId="15" fillId="0" borderId="1" xfId="1" applyNumberFormat="1" applyFont="1" applyBorder="1" applyAlignment="1">
      <alignment vertical="top" wrapText="1"/>
    </xf>
    <xf numFmtId="0" fontId="17" fillId="0" borderId="3" xfId="0" applyNumberFormat="1" applyFont="1" applyBorder="1" applyAlignment="1">
      <alignment horizontal="right" wrapText="1"/>
    </xf>
    <xf numFmtId="182" fontId="17" fillId="0" borderId="46" xfId="1" applyNumberFormat="1" applyFont="1" applyBorder="1" applyAlignment="1">
      <alignment vertical="top" wrapText="1"/>
    </xf>
    <xf numFmtId="182" fontId="17" fillId="0" borderId="49" xfId="1" applyNumberFormat="1" applyFont="1" applyBorder="1" applyAlignment="1">
      <alignment vertical="top" wrapText="1"/>
    </xf>
    <xf numFmtId="182" fontId="17" fillId="0" borderId="50" xfId="1" applyNumberFormat="1" applyFont="1" applyBorder="1" applyAlignment="1">
      <alignment vertical="top" wrapText="1"/>
    </xf>
    <xf numFmtId="182" fontId="17" fillId="0" borderId="48" xfId="1" applyNumberFormat="1" applyFont="1" applyBorder="1" applyAlignment="1">
      <alignment vertical="top" wrapText="1"/>
    </xf>
    <xf numFmtId="183" fontId="17" fillId="0" borderId="44" xfId="12" applyNumberFormat="1" applyFont="1" applyBorder="1" applyAlignment="1">
      <alignment vertical="top" wrapText="1"/>
    </xf>
    <xf numFmtId="0" fontId="17" fillId="0" borderId="3" xfId="0" applyNumberFormat="1" applyFont="1" applyBorder="1" applyAlignment="1">
      <alignment horizontal="left" wrapText="1" indent="1"/>
    </xf>
    <xf numFmtId="183" fontId="17" fillId="0" borderId="42" xfId="1" applyNumberFormat="1" applyFont="1" applyBorder="1" applyAlignment="1">
      <alignment vertical="top" wrapText="1"/>
    </xf>
    <xf numFmtId="183" fontId="17" fillId="0" borderId="42" xfId="12" applyNumberFormat="1" applyFont="1" applyBorder="1" applyAlignment="1">
      <alignment vertical="top" wrapText="1"/>
    </xf>
    <xf numFmtId="183" fontId="17" fillId="0" borderId="8" xfId="12" applyNumberFormat="1" applyFont="1" applyBorder="1" applyAlignment="1">
      <alignment vertical="top" wrapText="1"/>
    </xf>
    <xf numFmtId="183" fontId="17" fillId="0" borderId="3" xfId="12" applyNumberFormat="1" applyFont="1" applyBorder="1" applyAlignment="1">
      <alignment vertical="top" wrapText="1"/>
    </xf>
    <xf numFmtId="183" fontId="17" fillId="0" borderId="0" xfId="12" applyNumberFormat="1" applyFont="1" applyBorder="1" applyAlignment="1">
      <alignment vertical="top" wrapText="1"/>
    </xf>
    <xf numFmtId="183" fontId="17" fillId="0" borderId="1" xfId="12" applyNumberFormat="1" applyFont="1" applyBorder="1" applyAlignment="1">
      <alignment vertical="top" wrapText="1"/>
    </xf>
    <xf numFmtId="166" fontId="15" fillId="0" borderId="42" xfId="1" applyFont="1" applyBorder="1" applyAlignment="1">
      <alignment horizontal="center" vertical="top" wrapText="1"/>
    </xf>
    <xf numFmtId="166" fontId="15" fillId="0" borderId="8" xfId="1" applyFont="1" applyBorder="1" applyAlignment="1">
      <alignment horizontal="center" vertical="top" wrapText="1"/>
    </xf>
    <xf numFmtId="166" fontId="15" fillId="0" borderId="3" xfId="1" applyFont="1" applyBorder="1" applyAlignment="1">
      <alignment horizontal="center" vertical="top" wrapText="1"/>
    </xf>
    <xf numFmtId="166" fontId="15" fillId="0" borderId="0" xfId="1" applyFont="1" applyBorder="1" applyAlignment="1">
      <alignment horizontal="center" vertical="top" wrapText="1"/>
    </xf>
    <xf numFmtId="0" fontId="19" fillId="0" borderId="50" xfId="0" applyNumberFormat="1" applyFont="1" applyBorder="1" applyAlignment="1">
      <alignment horizontal="left" wrapText="1"/>
    </xf>
    <xf numFmtId="0" fontId="15" fillId="0" borderId="46" xfId="0" applyNumberFormat="1" applyFont="1" applyBorder="1" applyAlignment="1">
      <alignment horizontal="center" vertical="top" wrapText="1"/>
    </xf>
    <xf numFmtId="182" fontId="15" fillId="0" borderId="46" xfId="1" applyNumberFormat="1" applyFont="1" applyBorder="1" applyAlignment="1">
      <alignment vertical="top" wrapText="1"/>
    </xf>
    <xf numFmtId="182" fontId="15" fillId="0" borderId="49" xfId="1" applyNumberFormat="1" applyFont="1" applyBorder="1" applyAlignment="1">
      <alignment vertical="top" wrapText="1"/>
    </xf>
    <xf numFmtId="182" fontId="15" fillId="0" borderId="50" xfId="1" applyNumberFormat="1" applyFont="1" applyBorder="1" applyAlignment="1">
      <alignment vertical="top" wrapText="1"/>
    </xf>
    <xf numFmtId="182" fontId="15" fillId="0" borderId="48" xfId="1" applyNumberFormat="1" applyFont="1" applyBorder="1" applyAlignment="1">
      <alignment vertical="top" wrapText="1"/>
    </xf>
    <xf numFmtId="183" fontId="15" fillId="0" borderId="44" xfId="1" applyNumberFormat="1" applyFont="1" applyBorder="1" applyAlignment="1">
      <alignment vertical="top" wrapText="1"/>
    </xf>
    <xf numFmtId="0" fontId="17" fillId="0" borderId="42" xfId="0" applyNumberFormat="1" applyFont="1" applyBorder="1" applyAlignment="1">
      <alignment horizontal="center" vertical="top" wrapText="1"/>
    </xf>
    <xf numFmtId="0" fontId="19" fillId="0" borderId="4" xfId="0" applyNumberFormat="1" applyFont="1" applyBorder="1" applyAlignment="1">
      <alignment horizontal="left" wrapText="1"/>
    </xf>
    <xf numFmtId="0" fontId="15" fillId="0" borderId="36" xfId="0" applyFont="1" applyBorder="1" applyAlignment="1">
      <alignment horizontal="center" vertical="top" wrapText="1"/>
    </xf>
    <xf numFmtId="0" fontId="15" fillId="0" borderId="10" xfId="0" applyFont="1" applyBorder="1" applyAlignment="1">
      <alignment horizontal="center" vertical="top" wrapText="1"/>
    </xf>
    <xf numFmtId="0" fontId="15" fillId="0" borderId="4" xfId="0" applyFont="1" applyBorder="1" applyAlignment="1">
      <alignment horizontal="center" vertical="top" wrapText="1"/>
    </xf>
    <xf numFmtId="0" fontId="15" fillId="0" borderId="9" xfId="0" applyFont="1" applyBorder="1" applyAlignment="1">
      <alignment horizontal="center" vertical="top" wrapText="1"/>
    </xf>
    <xf numFmtId="183" fontId="15" fillId="0" borderId="5" xfId="0" applyNumberFormat="1" applyFont="1" applyBorder="1" applyAlignment="1">
      <alignment vertical="top" wrapText="1"/>
    </xf>
    <xf numFmtId="0" fontId="15" fillId="0" borderId="0" xfId="0" applyFont="1" applyAlignment="1" applyProtection="1">
      <alignment horizontal="center"/>
    </xf>
    <xf numFmtId="4" fontId="15" fillId="0" borderId="0" xfId="0" applyNumberFormat="1" applyFont="1" applyProtection="1"/>
    <xf numFmtId="10" fontId="15" fillId="0" borderId="0" xfId="0" applyNumberFormat="1" applyFont="1" applyProtection="1"/>
    <xf numFmtId="0" fontId="15" fillId="0" borderId="0" xfId="0" applyFont="1" applyProtection="1"/>
    <xf numFmtId="4" fontId="15" fillId="0" borderId="0" xfId="0" applyNumberFormat="1" applyFont="1" applyProtection="1">
      <protection locked="0"/>
    </xf>
    <xf numFmtId="0" fontId="15" fillId="0" borderId="0" xfId="0" applyFont="1" applyProtection="1">
      <protection locked="0"/>
    </xf>
    <xf numFmtId="178" fontId="15" fillId="0" borderId="43" xfId="0" applyNumberFormat="1" applyFont="1" applyBorder="1" applyAlignment="1"/>
    <xf numFmtId="178" fontId="15" fillId="0" borderId="8" xfId="0" applyNumberFormat="1" applyFont="1" applyBorder="1" applyAlignment="1"/>
    <xf numFmtId="178" fontId="15" fillId="0" borderId="3" xfId="0" applyNumberFormat="1" applyFont="1" applyBorder="1" applyAlignment="1"/>
    <xf numFmtId="178" fontId="15" fillId="0" borderId="0" xfId="0" applyNumberFormat="1" applyFont="1" applyBorder="1" applyAlignment="1"/>
    <xf numFmtId="178" fontId="15" fillId="0" borderId="45" xfId="0" applyNumberFormat="1" applyFont="1" applyBorder="1" applyAlignment="1"/>
    <xf numFmtId="178" fontId="15" fillId="0" borderId="42" xfId="0" applyNumberFormat="1" applyFont="1" applyBorder="1" applyAlignment="1"/>
    <xf numFmtId="178" fontId="15" fillId="0" borderId="47" xfId="0" applyNumberFormat="1" applyFont="1" applyBorder="1" applyAlignment="1"/>
    <xf numFmtId="178" fontId="17" fillId="0" borderId="46" xfId="0" applyNumberFormat="1" applyFont="1" applyBorder="1" applyAlignment="1"/>
    <xf numFmtId="178" fontId="17" fillId="0" borderId="49" xfId="0" applyNumberFormat="1" applyFont="1" applyBorder="1" applyAlignment="1"/>
    <xf numFmtId="178" fontId="17" fillId="0" borderId="50" xfId="0" applyNumberFormat="1" applyFont="1" applyBorder="1" applyAlignment="1"/>
    <xf numFmtId="178" fontId="17" fillId="0" borderId="48" xfId="0" applyNumberFormat="1" applyFont="1" applyBorder="1" applyAlignment="1"/>
    <xf numFmtId="178" fontId="17" fillId="0" borderId="51" xfId="0" applyNumberFormat="1" applyFont="1" applyBorder="1" applyAlignment="1"/>
    <xf numFmtId="178" fontId="15" fillId="0" borderId="46" xfId="0" applyNumberFormat="1" applyFont="1" applyBorder="1" applyAlignment="1"/>
    <xf numFmtId="178" fontId="15" fillId="0" borderId="49" xfId="0" applyNumberFormat="1" applyFont="1" applyBorder="1" applyAlignment="1"/>
    <xf numFmtId="178" fontId="15" fillId="0" borderId="50" xfId="0" applyNumberFormat="1" applyFont="1" applyBorder="1" applyAlignment="1"/>
    <xf numFmtId="178" fontId="15" fillId="0" borderId="48" xfId="0" applyNumberFormat="1" applyFont="1" applyBorder="1" applyAlignment="1"/>
    <xf numFmtId="178" fontId="15" fillId="0" borderId="51" xfId="0" applyNumberFormat="1" applyFont="1" applyBorder="1" applyAlignment="1"/>
    <xf numFmtId="0" fontId="15" fillId="0" borderId="53" xfId="0" applyFont="1" applyBorder="1"/>
    <xf numFmtId="178" fontId="17" fillId="0" borderId="53" xfId="0" applyNumberFormat="1" applyFont="1" applyBorder="1" applyAlignment="1"/>
    <xf numFmtId="178" fontId="17" fillId="0" borderId="55" xfId="0" applyNumberFormat="1" applyFont="1" applyBorder="1" applyAlignment="1"/>
    <xf numFmtId="178" fontId="17" fillId="0" borderId="52" xfId="0" applyNumberFormat="1" applyFont="1" applyBorder="1" applyAlignment="1"/>
    <xf numFmtId="178" fontId="17" fillId="0" borderId="54" xfId="0" applyNumberFormat="1" applyFont="1" applyBorder="1" applyAlignment="1"/>
    <xf numFmtId="178" fontId="17" fillId="0" borderId="56" xfId="0" applyNumberFormat="1" applyFont="1" applyBorder="1" applyAlignment="1"/>
    <xf numFmtId="0" fontId="17" fillId="0" borderId="66" xfId="0" applyFont="1" applyFill="1" applyBorder="1" applyAlignment="1">
      <alignment horizontal="center" vertical="center"/>
    </xf>
    <xf numFmtId="0" fontId="17" fillId="0" borderId="83" xfId="0" applyFont="1" applyFill="1" applyBorder="1" applyAlignment="1">
      <alignment horizontal="center" vertical="center" wrapText="1"/>
    </xf>
    <xf numFmtId="0" fontId="17" fillId="0" borderId="37" xfId="0" applyFont="1" applyFill="1" applyBorder="1" applyAlignment="1">
      <alignment horizontal="center" vertical="center"/>
    </xf>
    <xf numFmtId="0" fontId="17" fillId="0" borderId="4" xfId="0" applyFont="1" applyFill="1" applyBorder="1" applyAlignment="1">
      <alignment horizontal="centerContinuous" vertical="top" wrapText="1"/>
    </xf>
    <xf numFmtId="0" fontId="17" fillId="0" borderId="77" xfId="0" applyFont="1" applyFill="1" applyBorder="1" applyAlignment="1">
      <alignment horizontal="centerContinuous" vertical="top" wrapText="1"/>
    </xf>
    <xf numFmtId="0" fontId="15" fillId="0" borderId="67" xfId="0" applyNumberFormat="1" applyFont="1" applyBorder="1" applyAlignment="1">
      <alignment horizontal="center"/>
    </xf>
    <xf numFmtId="172" fontId="15" fillId="0" borderId="76" xfId="0" applyNumberFormat="1" applyFont="1" applyBorder="1" applyAlignment="1">
      <alignment horizontal="center"/>
    </xf>
    <xf numFmtId="172" fontId="15" fillId="0" borderId="3" xfId="0" applyNumberFormat="1" applyFont="1" applyBorder="1" applyAlignment="1"/>
    <xf numFmtId="172" fontId="15" fillId="0" borderId="76" xfId="0" applyNumberFormat="1" applyFont="1" applyBorder="1" applyAlignment="1"/>
    <xf numFmtId="184" fontId="15" fillId="0" borderId="76" xfId="0" applyNumberFormat="1" applyFont="1" applyBorder="1" applyAlignment="1">
      <alignment horizontal="center"/>
    </xf>
    <xf numFmtId="178" fontId="15" fillId="0" borderId="76" xfId="0" applyNumberFormat="1" applyFont="1" applyBorder="1" applyAlignment="1"/>
    <xf numFmtId="178" fontId="17" fillId="0" borderId="79" xfId="0" applyNumberFormat="1" applyFont="1" applyBorder="1" applyAlignment="1"/>
    <xf numFmtId="0" fontId="15" fillId="0" borderId="37" xfId="0" applyNumberFormat="1" applyFont="1" applyBorder="1" applyAlignment="1">
      <alignment horizontal="center"/>
    </xf>
    <xf numFmtId="184" fontId="15" fillId="0" borderId="77" xfId="0" applyNumberFormat="1" applyFont="1" applyBorder="1" applyAlignment="1">
      <alignment horizontal="center"/>
    </xf>
    <xf numFmtId="178" fontId="17" fillId="0" borderId="84" xfId="0" applyNumberFormat="1" applyFont="1" applyBorder="1" applyAlignment="1"/>
    <xf numFmtId="179" fontId="15" fillId="0" borderId="0" xfId="1" applyNumberFormat="1" applyFont="1"/>
    <xf numFmtId="0" fontId="15" fillId="0" borderId="43" xfId="0" applyNumberFormat="1" applyFont="1" applyBorder="1" applyAlignment="1">
      <alignment horizontal="center"/>
    </xf>
    <xf numFmtId="178" fontId="15" fillId="0" borderId="8" xfId="0" applyNumberFormat="1" applyFont="1" applyFill="1" applyBorder="1" applyAlignment="1"/>
    <xf numFmtId="178" fontId="17" fillId="0" borderId="42" xfId="0" applyNumberFormat="1" applyFont="1" applyBorder="1" applyAlignment="1"/>
    <xf numFmtId="178" fontId="17" fillId="0" borderId="8" xfId="0" applyNumberFormat="1" applyFont="1" applyBorder="1" applyAlignment="1"/>
    <xf numFmtId="178" fontId="17" fillId="0" borderId="3" xfId="0" applyNumberFormat="1" applyFont="1" applyBorder="1" applyAlignment="1"/>
    <xf numFmtId="178" fontId="17" fillId="0" borderId="0" xfId="0" applyNumberFormat="1" applyFont="1" applyBorder="1" applyAlignment="1"/>
    <xf numFmtId="178" fontId="17" fillId="0" borderId="47" xfId="0" applyNumberFormat="1" applyFont="1" applyBorder="1" applyAlignment="1"/>
    <xf numFmtId="0" fontId="17" fillId="0" borderId="85" xfId="0" applyFont="1" applyFill="1" applyBorder="1" applyAlignment="1">
      <alignment horizontal="center" vertical="center" wrapText="1"/>
    </xf>
    <xf numFmtId="178" fontId="17" fillId="0" borderId="43" xfId="0" applyNumberFormat="1" applyFont="1" applyBorder="1" applyAlignment="1"/>
    <xf numFmtId="178" fontId="17" fillId="0" borderId="7" xfId="0" applyNumberFormat="1" applyFont="1" applyBorder="1" applyAlignment="1"/>
    <xf numFmtId="178" fontId="17" fillId="0" borderId="12" xfId="0" applyNumberFormat="1" applyFont="1" applyBorder="1" applyAlignment="1"/>
    <xf numFmtId="178" fontId="17" fillId="0" borderId="6" xfId="0" applyNumberFormat="1" applyFont="1" applyBorder="1" applyAlignment="1"/>
    <xf numFmtId="178" fontId="17" fillId="0" borderId="45" xfId="0" applyNumberFormat="1" applyFont="1" applyBorder="1" applyAlignment="1"/>
    <xf numFmtId="0" fontId="17" fillId="0" borderId="62" xfId="0" applyNumberFormat="1" applyFont="1" applyBorder="1" applyAlignment="1">
      <alignment vertical="center"/>
    </xf>
    <xf numFmtId="0" fontId="15" fillId="0" borderId="60" xfId="0" applyNumberFormat="1" applyFont="1" applyBorder="1" applyAlignment="1">
      <alignment horizontal="center" vertical="center"/>
    </xf>
    <xf numFmtId="178" fontId="17" fillId="0" borderId="60" xfId="0" applyNumberFormat="1" applyFont="1" applyBorder="1" applyAlignment="1">
      <alignment vertical="center"/>
    </xf>
    <xf numFmtId="178" fontId="17" fillId="0" borderId="61" xfId="0" applyNumberFormat="1" applyFont="1" applyBorder="1" applyAlignment="1">
      <alignment vertical="center"/>
    </xf>
    <xf numFmtId="178" fontId="17" fillId="0" borderId="62" xfId="0" applyNumberFormat="1" applyFont="1" applyBorder="1" applyAlignment="1">
      <alignment vertical="center"/>
    </xf>
    <xf numFmtId="178" fontId="17" fillId="0" borderId="59" xfId="0" applyNumberFormat="1" applyFont="1" applyBorder="1" applyAlignment="1">
      <alignment vertical="center"/>
    </xf>
    <xf numFmtId="178" fontId="17" fillId="0" borderId="63" xfId="0" applyNumberFormat="1" applyFont="1" applyBorder="1" applyAlignment="1">
      <alignment vertical="center"/>
    </xf>
    <xf numFmtId="0" fontId="15" fillId="0" borderId="0" xfId="0" applyFont="1" applyAlignment="1">
      <alignment vertical="center"/>
    </xf>
    <xf numFmtId="0" fontId="17" fillId="0" borderId="3" xfId="0" quotePrefix="1" applyNumberFormat="1" applyFont="1" applyBorder="1" applyAlignment="1">
      <alignment horizontal="left" indent="1"/>
    </xf>
    <xf numFmtId="0" fontId="17" fillId="0" borderId="50" xfId="0" applyNumberFormat="1" applyFont="1" applyBorder="1" applyAlignment="1">
      <alignment horizontal="left"/>
    </xf>
    <xf numFmtId="0" fontId="15" fillId="0" borderId="46" xfId="0" applyNumberFormat="1" applyFont="1" applyBorder="1" applyAlignment="1">
      <alignment horizontal="center"/>
    </xf>
    <xf numFmtId="0" fontId="17" fillId="0" borderId="52" xfId="0" applyNumberFormat="1" applyFont="1" applyBorder="1" applyAlignment="1">
      <alignment vertical="center"/>
    </xf>
    <xf numFmtId="0" fontId="15" fillId="0" borderId="53" xfId="0" applyNumberFormat="1" applyFont="1" applyBorder="1" applyAlignment="1">
      <alignment horizontal="center" vertical="center"/>
    </xf>
    <xf numFmtId="178" fontId="17" fillId="0" borderId="53" xfId="0" applyNumberFormat="1" applyFont="1" applyBorder="1" applyAlignment="1">
      <alignment vertical="center"/>
    </xf>
    <xf numFmtId="178" fontId="17" fillId="0" borderId="55" xfId="0" applyNumberFormat="1" applyFont="1" applyBorder="1" applyAlignment="1">
      <alignment vertical="center"/>
    </xf>
    <xf numFmtId="178" fontId="17" fillId="0" borderId="52" xfId="0" applyNumberFormat="1" applyFont="1" applyBorder="1" applyAlignment="1">
      <alignment vertical="center"/>
    </xf>
    <xf numFmtId="178" fontId="17" fillId="0" borderId="54" xfId="0" applyNumberFormat="1" applyFont="1" applyBorder="1" applyAlignment="1">
      <alignment vertical="center"/>
    </xf>
    <xf numFmtId="178" fontId="17" fillId="0" borderId="56" xfId="0" applyNumberFormat="1" applyFont="1" applyBorder="1" applyAlignment="1">
      <alignment vertical="center"/>
    </xf>
    <xf numFmtId="178" fontId="15" fillId="0" borderId="42" xfId="1" applyNumberFormat="1" applyFont="1" applyBorder="1" applyAlignment="1"/>
    <xf numFmtId="178" fontId="15" fillId="0" borderId="0" xfId="1" applyNumberFormat="1" applyFont="1" applyBorder="1" applyAlignment="1"/>
    <xf numFmtId="178" fontId="15" fillId="0" borderId="3" xfId="1" applyNumberFormat="1" applyFont="1" applyBorder="1" applyAlignment="1"/>
    <xf numFmtId="178" fontId="15" fillId="0" borderId="47" xfId="1" applyNumberFormat="1" applyFont="1" applyBorder="1" applyAlignment="1"/>
    <xf numFmtId="178" fontId="15" fillId="0" borderId="8" xfId="1" applyNumberFormat="1" applyFont="1" applyBorder="1" applyAlignment="1"/>
    <xf numFmtId="178" fontId="15" fillId="0" borderId="42" xfId="1" applyNumberFormat="1" applyFont="1" applyFill="1" applyBorder="1" applyAlignment="1"/>
    <xf numFmtId="0" fontId="17" fillId="0" borderId="3" xfId="0" applyNumberFormat="1" applyFont="1" applyBorder="1" applyAlignment="1">
      <alignment horizontal="left" indent="2"/>
    </xf>
    <xf numFmtId="178" fontId="17" fillId="0" borderId="60" xfId="1" applyNumberFormat="1" applyFont="1" applyFill="1" applyBorder="1" applyAlignment="1"/>
    <xf numFmtId="178" fontId="17" fillId="0" borderId="60" xfId="1" applyNumberFormat="1" applyFont="1" applyBorder="1" applyAlignment="1"/>
    <xf numFmtId="178" fontId="17" fillId="0" borderId="61" xfId="1" applyNumberFormat="1" applyFont="1" applyBorder="1" applyAlignment="1"/>
    <xf numFmtId="178" fontId="17" fillId="0" borderId="62" xfId="1" applyNumberFormat="1" applyFont="1" applyBorder="1" applyAlignment="1"/>
    <xf numFmtId="178" fontId="17" fillId="0" borderId="59" xfId="1" applyNumberFormat="1" applyFont="1" applyBorder="1" applyAlignment="1"/>
    <xf numFmtId="178" fontId="17" fillId="0" borderId="63" xfId="1" applyNumberFormat="1" applyFont="1" applyBorder="1" applyAlignment="1"/>
    <xf numFmtId="178" fontId="17" fillId="0" borderId="42" xfId="0" applyNumberFormat="1" applyFont="1" applyFill="1" applyBorder="1" applyAlignment="1"/>
    <xf numFmtId="0" fontId="15" fillId="0" borderId="3" xfId="0" quotePrefix="1" applyNumberFormat="1" applyFont="1" applyBorder="1" applyAlignment="1">
      <alignment horizontal="left" indent="2"/>
    </xf>
    <xf numFmtId="178" fontId="15" fillId="0" borderId="0" xfId="1" applyNumberFormat="1" applyFont="1" applyFill="1" applyBorder="1" applyAlignment="1"/>
    <xf numFmtId="0" fontId="17" fillId="0" borderId="3" xfId="0" quotePrefix="1" applyNumberFormat="1" applyFont="1" applyBorder="1" applyAlignment="1">
      <alignment horizontal="left" indent="2"/>
    </xf>
    <xf numFmtId="0" fontId="17" fillId="0" borderId="62" xfId="0" applyNumberFormat="1" applyFont="1" applyBorder="1"/>
    <xf numFmtId="0" fontId="15" fillId="0" borderId="60" xfId="0" applyNumberFormat="1" applyFont="1" applyBorder="1" applyAlignment="1">
      <alignment horizontal="center"/>
    </xf>
    <xf numFmtId="178" fontId="17" fillId="0" borderId="60" xfId="0" applyNumberFormat="1" applyFont="1" applyBorder="1" applyAlignment="1"/>
    <xf numFmtId="178" fontId="17" fillId="0" borderId="61" xfId="0" applyNumberFormat="1" applyFont="1" applyBorder="1" applyAlignment="1"/>
    <xf numFmtId="178" fontId="17" fillId="0" borderId="62" xfId="0" applyNumberFormat="1" applyFont="1" applyBorder="1" applyAlignment="1"/>
    <xf numFmtId="178" fontId="17" fillId="0" borderId="59" xfId="0" applyNumberFormat="1" applyFont="1" applyBorder="1" applyAlignment="1"/>
    <xf numFmtId="178" fontId="17" fillId="0" borderId="63" xfId="0" applyNumberFormat="1" applyFont="1" applyBorder="1" applyAlignment="1"/>
    <xf numFmtId="0" fontId="17" fillId="0" borderId="3" xfId="0" quotePrefix="1" applyNumberFormat="1" applyFont="1" applyBorder="1"/>
    <xf numFmtId="0" fontId="20" fillId="0" borderId="0" xfId="0" applyFont="1" applyAlignment="1">
      <alignment horizontal="center"/>
    </xf>
    <xf numFmtId="0" fontId="15" fillId="0" borderId="0" xfId="0" applyFont="1" applyBorder="1" applyAlignment="1">
      <alignment horizontal="left" wrapText="1"/>
    </xf>
    <xf numFmtId="166" fontId="15" fillId="0" borderId="0" xfId="1" applyFont="1"/>
    <xf numFmtId="178" fontId="15" fillId="0" borderId="76" xfId="0" applyNumberFormat="1" applyFont="1" applyBorder="1"/>
    <xf numFmtId="178" fontId="17" fillId="0" borderId="86" xfId="0" applyNumberFormat="1" applyFont="1" applyBorder="1"/>
    <xf numFmtId="0" fontId="19" fillId="0" borderId="3" xfId="0" applyNumberFormat="1" applyFont="1" applyFill="1" applyBorder="1"/>
    <xf numFmtId="0" fontId="17" fillId="0" borderId="62" xfId="0" applyNumberFormat="1" applyFont="1" applyFill="1" applyBorder="1"/>
    <xf numFmtId="0" fontId="15" fillId="0" borderId="60" xfId="0" applyNumberFormat="1" applyFont="1" applyFill="1" applyBorder="1" applyAlignment="1">
      <alignment horizontal="center"/>
    </xf>
    <xf numFmtId="178" fontId="17" fillId="0" borderId="60" xfId="0" applyNumberFormat="1" applyFont="1" applyFill="1" applyBorder="1"/>
    <xf numFmtId="178" fontId="17" fillId="0" borderId="61" xfId="0" applyNumberFormat="1" applyFont="1" applyFill="1" applyBorder="1"/>
    <xf numFmtId="178" fontId="17" fillId="0" borderId="62" xfId="0" applyNumberFormat="1" applyFont="1" applyFill="1" applyBorder="1"/>
    <xf numFmtId="178" fontId="17" fillId="0" borderId="59" xfId="0" applyNumberFormat="1" applyFont="1" applyFill="1" applyBorder="1"/>
    <xf numFmtId="0" fontId="15" fillId="0" borderId="3" xfId="0" applyNumberFormat="1" applyFont="1" applyFill="1" applyBorder="1"/>
    <xf numFmtId="0" fontId="17" fillId="0" borderId="52" xfId="0" applyNumberFormat="1" applyFont="1" applyFill="1" applyBorder="1"/>
    <xf numFmtId="178" fontId="17" fillId="0" borderId="84" xfId="0" applyNumberFormat="1" applyFont="1" applyFill="1" applyBorder="1"/>
    <xf numFmtId="0" fontId="15" fillId="0" borderId="8" xfId="0" applyNumberFormat="1" applyFont="1" applyBorder="1" applyAlignment="1">
      <alignment horizontal="center"/>
    </xf>
    <xf numFmtId="0" fontId="15" fillId="0" borderId="3" xfId="0" applyNumberFormat="1" applyFont="1" applyBorder="1" applyAlignment="1">
      <alignment horizontal="center"/>
    </xf>
    <xf numFmtId="183" fontId="17" fillId="0" borderId="42" xfId="0" applyNumberFormat="1" applyFont="1" applyFill="1" applyBorder="1"/>
    <xf numFmtId="183" fontId="17" fillId="0" borderId="42" xfId="12" applyNumberFormat="1" applyFont="1" applyBorder="1" applyAlignment="1">
      <alignment horizontal="center"/>
    </xf>
    <xf numFmtId="183" fontId="17" fillId="0" borderId="8" xfId="12" applyNumberFormat="1" applyFont="1" applyBorder="1" applyAlignment="1">
      <alignment horizontal="center"/>
    </xf>
    <xf numFmtId="183" fontId="17" fillId="0" borderId="3" xfId="12" applyNumberFormat="1" applyFont="1" applyBorder="1" applyAlignment="1">
      <alignment horizontal="center"/>
    </xf>
    <xf numFmtId="183" fontId="17" fillId="0" borderId="0" xfId="12" applyNumberFormat="1" applyFont="1" applyBorder="1" applyAlignment="1">
      <alignment horizontal="center"/>
    </xf>
    <xf numFmtId="183" fontId="17" fillId="0" borderId="42" xfId="0" applyNumberFormat="1" applyFont="1" applyBorder="1"/>
    <xf numFmtId="183" fontId="15" fillId="0" borderId="42" xfId="0" applyNumberFormat="1" applyFont="1" applyBorder="1"/>
    <xf numFmtId="9" fontId="17" fillId="0" borderId="42" xfId="12" applyFont="1" applyBorder="1" applyAlignment="1">
      <alignment horizontal="center"/>
    </xf>
    <xf numFmtId="9" fontId="17" fillId="0" borderId="8" xfId="12" applyFont="1" applyBorder="1" applyAlignment="1">
      <alignment horizontal="center"/>
    </xf>
    <xf numFmtId="9" fontId="17" fillId="0" borderId="3" xfId="12" applyFont="1" applyBorder="1" applyAlignment="1">
      <alignment horizontal="center"/>
    </xf>
    <xf numFmtId="9" fontId="17" fillId="0" borderId="0" xfId="12" applyFont="1" applyBorder="1" applyAlignment="1">
      <alignment horizontal="center"/>
    </xf>
    <xf numFmtId="0" fontId="20" fillId="0" borderId="0" xfId="0" applyNumberFormat="1" applyFont="1"/>
    <xf numFmtId="172" fontId="15" fillId="0" borderId="0" xfId="0" applyNumberFormat="1" applyFont="1" applyFill="1"/>
    <xf numFmtId="0" fontId="17" fillId="0" borderId="7" xfId="0" applyFont="1" applyFill="1" applyBorder="1" applyAlignment="1">
      <alignment horizontal="center" vertical="top" wrapText="1"/>
    </xf>
    <xf numFmtId="179" fontId="15" fillId="0" borderId="42" xfId="1" applyNumberFormat="1" applyFont="1" applyBorder="1" applyAlignment="1">
      <alignment horizontal="center"/>
    </xf>
    <xf numFmtId="179" fontId="15" fillId="0" borderId="42" xfId="1" applyNumberFormat="1" applyFont="1" applyBorder="1"/>
    <xf numFmtId="179" fontId="15" fillId="0" borderId="1" xfId="1" applyNumberFormat="1" applyFont="1" applyBorder="1"/>
    <xf numFmtId="179" fontId="15" fillId="0" borderId="42" xfId="1" applyNumberFormat="1" applyFont="1" applyFill="1" applyBorder="1" applyAlignment="1">
      <alignment horizontal="center"/>
    </xf>
    <xf numFmtId="179" fontId="17" fillId="0" borderId="60" xfId="1" applyNumberFormat="1" applyFont="1" applyFill="1" applyBorder="1" applyAlignment="1">
      <alignment horizontal="center"/>
    </xf>
    <xf numFmtId="179" fontId="17" fillId="0" borderId="60" xfId="1" applyNumberFormat="1" applyFont="1" applyFill="1" applyBorder="1"/>
    <xf numFmtId="179" fontId="17" fillId="0" borderId="60" xfId="1" applyNumberFormat="1" applyFont="1" applyBorder="1"/>
    <xf numFmtId="179" fontId="17" fillId="0" borderId="87" xfId="1" applyNumberFormat="1" applyFont="1" applyBorder="1"/>
    <xf numFmtId="0" fontId="20" fillId="0" borderId="3" xfId="0" applyNumberFormat="1" applyFont="1" applyBorder="1"/>
    <xf numFmtId="179" fontId="17" fillId="0" borderId="60" xfId="1" applyNumberFormat="1" applyFont="1" applyBorder="1" applyAlignment="1">
      <alignment horizontal="center"/>
    </xf>
    <xf numFmtId="179" fontId="17" fillId="0" borderId="61" xfId="1" applyNumberFormat="1" applyFont="1" applyFill="1" applyBorder="1"/>
    <xf numFmtId="179" fontId="15" fillId="0" borderId="1" xfId="1" applyNumberFormat="1" applyFont="1" applyFill="1" applyBorder="1"/>
    <xf numFmtId="179" fontId="15" fillId="0" borderId="0" xfId="1" applyNumberFormat="1" applyFont="1" applyBorder="1"/>
    <xf numFmtId="0" fontId="17" fillId="0" borderId="52" xfId="0" applyNumberFormat="1" applyFont="1" applyBorder="1" applyAlignment="1">
      <alignment vertical="center" wrapText="1"/>
    </xf>
    <xf numFmtId="179" fontId="17" fillId="0" borderId="53" xfId="1" applyNumberFormat="1" applyFont="1" applyBorder="1" applyAlignment="1">
      <alignment horizontal="center" vertical="center"/>
    </xf>
    <xf numFmtId="179" fontId="17" fillId="0" borderId="53" xfId="1" applyNumberFormat="1" applyFont="1" applyBorder="1" applyAlignment="1">
      <alignment vertical="center"/>
    </xf>
    <xf numFmtId="179" fontId="17" fillId="0" borderId="55" xfId="1" applyNumberFormat="1" applyFont="1" applyBorder="1" applyAlignment="1">
      <alignment vertical="center"/>
    </xf>
    <xf numFmtId="179" fontId="17" fillId="0" borderId="88" xfId="1" applyNumberFormat="1" applyFont="1" applyBorder="1" applyAlignment="1">
      <alignment vertical="center"/>
    </xf>
    <xf numFmtId="179" fontId="15" fillId="0" borderId="8" xfId="1" applyNumberFormat="1" applyFont="1" applyBorder="1"/>
    <xf numFmtId="179" fontId="15" fillId="0" borderId="3" xfId="1" applyNumberFormat="1" applyFont="1" applyBorder="1"/>
    <xf numFmtId="179" fontId="15" fillId="0" borderId="76" xfId="1" applyNumberFormat="1" applyFont="1" applyBorder="1"/>
    <xf numFmtId="183" fontId="17" fillId="0" borderId="42" xfId="1" applyNumberFormat="1" applyFont="1" applyBorder="1"/>
    <xf numFmtId="183" fontId="17" fillId="0" borderId="76" xfId="12" applyNumberFormat="1" applyFont="1" applyBorder="1" applyAlignment="1">
      <alignment horizontal="center"/>
    </xf>
    <xf numFmtId="179" fontId="17" fillId="0" borderId="53" xfId="1" applyNumberFormat="1" applyFont="1" applyBorder="1"/>
    <xf numFmtId="179" fontId="17" fillId="0" borderId="84" xfId="1" applyNumberFormat="1" applyFont="1" applyBorder="1"/>
    <xf numFmtId="0" fontId="19" fillId="0" borderId="12" xfId="0" applyNumberFormat="1" applyFont="1" applyBorder="1"/>
    <xf numFmtId="0" fontId="19" fillId="0" borderId="75" xfId="0" applyNumberFormat="1" applyFont="1" applyBorder="1" applyAlignment="1">
      <alignment horizontal="center"/>
    </xf>
    <xf numFmtId="178" fontId="17" fillId="0" borderId="75" xfId="0" applyNumberFormat="1" applyFont="1" applyBorder="1" applyAlignment="1">
      <alignment horizontal="center"/>
    </xf>
    <xf numFmtId="0" fontId="15" fillId="0" borderId="76" xfId="0" applyNumberFormat="1" applyFont="1" applyBorder="1" applyAlignment="1">
      <alignment horizontal="center"/>
    </xf>
    <xf numFmtId="0" fontId="17" fillId="0" borderId="76" xfId="0" applyNumberFormat="1" applyFont="1" applyBorder="1" applyAlignment="1">
      <alignment horizontal="center"/>
    </xf>
    <xf numFmtId="178" fontId="17" fillId="0" borderId="79" xfId="0" applyNumberFormat="1" applyFont="1" applyBorder="1"/>
    <xf numFmtId="0" fontId="19" fillId="0" borderId="76" xfId="0" applyNumberFormat="1" applyFont="1" applyBorder="1" applyAlignment="1">
      <alignment horizontal="center"/>
    </xf>
    <xf numFmtId="0" fontId="17" fillId="0" borderId="50" xfId="0" applyNumberFormat="1" applyFont="1" applyBorder="1"/>
    <xf numFmtId="0" fontId="17" fillId="0" borderId="79" xfId="0" applyNumberFormat="1" applyFont="1" applyBorder="1" applyAlignment="1">
      <alignment horizontal="center"/>
    </xf>
    <xf numFmtId="0" fontId="17" fillId="0" borderId="50" xfId="0" applyNumberFormat="1" applyFont="1" applyBorder="1" applyAlignment="1">
      <alignment vertical="center" wrapText="1"/>
    </xf>
    <xf numFmtId="0" fontId="17" fillId="0" borderId="79" xfId="0" applyNumberFormat="1" applyFont="1" applyBorder="1" applyAlignment="1">
      <alignment horizontal="center" vertical="center" wrapText="1"/>
    </xf>
    <xf numFmtId="178" fontId="17" fillId="0" borderId="50" xfId="0" applyNumberFormat="1" applyFont="1" applyBorder="1" applyAlignment="1">
      <alignment vertical="center"/>
    </xf>
    <xf numFmtId="178" fontId="17" fillId="0" borderId="46" xfId="0" applyNumberFormat="1" applyFont="1" applyBorder="1" applyAlignment="1">
      <alignment vertical="center"/>
    </xf>
    <xf numFmtId="178" fontId="17" fillId="0" borderId="79" xfId="0" applyNumberFormat="1" applyFont="1" applyBorder="1" applyAlignment="1">
      <alignment vertical="center"/>
    </xf>
    <xf numFmtId="178" fontId="17" fillId="0" borderId="49" xfId="0" applyNumberFormat="1" applyFont="1" applyBorder="1" applyAlignment="1">
      <alignment vertical="center"/>
    </xf>
    <xf numFmtId="0" fontId="15" fillId="0" borderId="76" xfId="0" applyNumberFormat="1" applyFont="1" applyBorder="1" applyAlignment="1">
      <alignment horizontal="center" vertical="top" wrapText="1"/>
    </xf>
    <xf numFmtId="0" fontId="17" fillId="0" borderId="84" xfId="0" quotePrefix="1" applyNumberFormat="1" applyFont="1" applyBorder="1" applyAlignment="1">
      <alignment horizontal="center" vertical="center" wrapText="1"/>
    </xf>
    <xf numFmtId="0" fontId="21" fillId="0" borderId="0" xfId="0" applyNumberFormat="1" applyFont="1" applyBorder="1" applyAlignment="1">
      <alignment vertical="center" wrapText="1"/>
    </xf>
    <xf numFmtId="168" fontId="20" fillId="0" borderId="0" xfId="1" applyNumberFormat="1" applyFont="1"/>
    <xf numFmtId="0" fontId="22" fillId="0" borderId="0" xfId="0" applyFont="1" applyBorder="1" applyAlignment="1">
      <alignment horizontal="center" vertical="center" wrapText="1"/>
    </xf>
    <xf numFmtId="0" fontId="15" fillId="0" borderId="84" xfId="0" quotePrefix="1" applyNumberFormat="1" applyFont="1" applyBorder="1" applyAlignment="1">
      <alignment horizontal="center" vertical="center" wrapText="1"/>
    </xf>
    <xf numFmtId="0" fontId="15" fillId="0" borderId="3" xfId="0" applyNumberFormat="1" applyFont="1" applyFill="1" applyBorder="1" applyAlignment="1"/>
    <xf numFmtId="0" fontId="20" fillId="0" borderId="0" xfId="0" applyFont="1" applyFill="1" applyAlignment="1">
      <alignment horizontal="center"/>
    </xf>
    <xf numFmtId="0" fontId="17" fillId="0" borderId="68" xfId="0" applyNumberFormat="1" applyFont="1" applyFill="1" applyBorder="1" applyAlignment="1">
      <alignment vertical="center" wrapText="1"/>
    </xf>
    <xf numFmtId="178" fontId="17" fillId="0" borderId="68" xfId="0" applyNumberFormat="1" applyFont="1" applyFill="1" applyBorder="1" applyAlignment="1">
      <alignment vertical="center"/>
    </xf>
    <xf numFmtId="178" fontId="17" fillId="0" borderId="71" xfId="0" applyNumberFormat="1" applyFont="1" applyFill="1" applyBorder="1" applyAlignment="1">
      <alignment vertical="center"/>
    </xf>
    <xf numFmtId="178" fontId="17" fillId="0" borderId="72" xfId="0" applyNumberFormat="1" applyFont="1" applyFill="1" applyBorder="1" applyAlignment="1">
      <alignment vertical="center"/>
    </xf>
    <xf numFmtId="172" fontId="17" fillId="0" borderId="89" xfId="0" applyNumberFormat="1" applyFont="1" applyFill="1" applyBorder="1" applyAlignment="1">
      <alignment vertical="center"/>
    </xf>
    <xf numFmtId="172" fontId="17" fillId="0" borderId="90" xfId="0" applyNumberFormat="1" applyFont="1" applyFill="1" applyBorder="1" applyAlignment="1">
      <alignment vertical="center"/>
    </xf>
    <xf numFmtId="172" fontId="17" fillId="0" borderId="91" xfId="0" applyNumberFormat="1" applyFont="1" applyFill="1" applyBorder="1" applyAlignment="1">
      <alignment vertical="center"/>
    </xf>
    <xf numFmtId="0" fontId="15" fillId="0" borderId="0" xfId="0" applyFont="1" applyFill="1" applyAlignment="1">
      <alignment vertical="center"/>
    </xf>
    <xf numFmtId="0" fontId="15" fillId="0" borderId="5" xfId="0" applyNumberFormat="1" applyFont="1" applyFill="1" applyBorder="1"/>
    <xf numFmtId="178" fontId="15" fillId="0" borderId="4" xfId="0" applyNumberFormat="1" applyFont="1" applyFill="1" applyBorder="1"/>
    <xf numFmtId="178" fontId="15" fillId="0" borderId="36" xfId="0" applyNumberFormat="1" applyFont="1" applyFill="1" applyBorder="1"/>
    <xf numFmtId="178" fontId="15" fillId="0" borderId="10" xfId="0" applyNumberFormat="1" applyFont="1" applyFill="1" applyBorder="1"/>
    <xf numFmtId="0" fontId="17" fillId="0" borderId="92" xfId="0" applyFont="1" applyFill="1" applyBorder="1" applyAlignment="1">
      <alignment horizontal="center" vertical="center" wrapText="1"/>
    </xf>
    <xf numFmtId="0" fontId="19" fillId="0" borderId="11" xfId="0" applyNumberFormat="1" applyFont="1" applyBorder="1"/>
    <xf numFmtId="177" fontId="15" fillId="0" borderId="47" xfId="0" applyNumberFormat="1" applyFont="1" applyFill="1" applyBorder="1"/>
    <xf numFmtId="177" fontId="15" fillId="0" borderId="45" xfId="0" applyNumberFormat="1" applyFont="1" applyFill="1" applyBorder="1"/>
    <xf numFmtId="0" fontId="15" fillId="0" borderId="1" xfId="0" applyNumberFormat="1" applyFont="1" applyBorder="1" applyAlignment="1">
      <alignment horizontal="left" indent="1"/>
    </xf>
    <xf numFmtId="0" fontId="17" fillId="0" borderId="1" xfId="0" applyNumberFormat="1" applyFont="1" applyBorder="1"/>
    <xf numFmtId="177" fontId="17" fillId="0" borderId="51" xfId="0" applyNumberFormat="1" applyFont="1" applyFill="1" applyBorder="1"/>
    <xf numFmtId="177" fontId="17" fillId="0" borderId="50" xfId="0" applyNumberFormat="1" applyFont="1" applyFill="1" applyBorder="1"/>
    <xf numFmtId="177" fontId="17" fillId="0" borderId="48" xfId="0" applyNumberFormat="1" applyFont="1" applyFill="1" applyBorder="1"/>
    <xf numFmtId="177" fontId="17" fillId="0" borderId="63" xfId="0" applyNumberFormat="1" applyFont="1" applyFill="1" applyBorder="1"/>
    <xf numFmtId="177" fontId="17" fillId="0" borderId="60" xfId="0" applyNumberFormat="1" applyFont="1" applyFill="1" applyBorder="1"/>
    <xf numFmtId="177" fontId="17" fillId="0" borderId="61" xfId="0" applyNumberFormat="1" applyFont="1" applyFill="1" applyBorder="1"/>
    <xf numFmtId="177" fontId="17" fillId="0" borderId="62" xfId="0" applyNumberFormat="1" applyFont="1" applyFill="1" applyBorder="1"/>
    <xf numFmtId="177" fontId="17" fillId="0" borderId="59" xfId="0" applyNumberFormat="1" applyFont="1" applyFill="1" applyBorder="1"/>
    <xf numFmtId="177" fontId="17" fillId="0" borderId="47" xfId="0" applyNumberFormat="1" applyFont="1" applyFill="1" applyBorder="1"/>
    <xf numFmtId="177" fontId="17" fillId="0" borderId="3" xfId="0" applyNumberFormat="1" applyFont="1" applyFill="1" applyBorder="1"/>
    <xf numFmtId="177" fontId="17" fillId="0" borderId="0" xfId="0" applyNumberFormat="1" applyFont="1" applyFill="1" applyBorder="1"/>
    <xf numFmtId="0" fontId="15" fillId="0" borderId="5" xfId="0" applyNumberFormat="1" applyFont="1" applyBorder="1"/>
    <xf numFmtId="177" fontId="15" fillId="0" borderId="64" xfId="0" applyNumberFormat="1" applyFont="1" applyFill="1" applyBorder="1"/>
    <xf numFmtId="177" fontId="15" fillId="0" borderId="36" xfId="0" applyNumberFormat="1" applyFont="1" applyFill="1" applyBorder="1"/>
    <xf numFmtId="177" fontId="15" fillId="0" borderId="10" xfId="0" applyNumberFormat="1" applyFont="1" applyFill="1" applyBorder="1"/>
    <xf numFmtId="177" fontId="15" fillId="0" borderId="4" xfId="0" applyNumberFormat="1" applyFont="1" applyFill="1" applyBorder="1"/>
    <xf numFmtId="177" fontId="15" fillId="0" borderId="9" xfId="0" applyNumberFormat="1" applyFont="1" applyFill="1" applyBorder="1"/>
    <xf numFmtId="0" fontId="19" fillId="0" borderId="1" xfId="0" applyNumberFormat="1" applyFont="1" applyBorder="1"/>
    <xf numFmtId="0" fontId="18" fillId="0" borderId="1" xfId="0" applyNumberFormat="1" applyFont="1" applyBorder="1"/>
    <xf numFmtId="173" fontId="15" fillId="0" borderId="0" xfId="0" applyNumberFormat="1" applyFont="1"/>
    <xf numFmtId="177" fontId="15" fillId="0" borderId="43" xfId="0" applyNumberFormat="1" applyFont="1" applyFill="1" applyBorder="1"/>
    <xf numFmtId="177" fontId="15" fillId="0" borderId="7" xfId="0" applyNumberFormat="1" applyFont="1" applyFill="1" applyBorder="1"/>
    <xf numFmtId="177" fontId="15" fillId="0" borderId="12" xfId="0" applyNumberFormat="1" applyFont="1" applyFill="1" applyBorder="1"/>
    <xf numFmtId="177" fontId="15" fillId="0" borderId="6" xfId="0" applyNumberFormat="1" applyFont="1" applyFill="1" applyBorder="1"/>
    <xf numFmtId="0" fontId="15" fillId="0" borderId="5" xfId="0" applyFont="1" applyBorder="1"/>
    <xf numFmtId="0" fontId="17" fillId="0" borderId="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84" xfId="0" applyFont="1" applyFill="1" applyBorder="1" applyAlignment="1">
      <alignment horizontal="center" vertical="center" wrapText="1"/>
    </xf>
    <xf numFmtId="0" fontId="17" fillId="0" borderId="82" xfId="0" applyFont="1" applyFill="1" applyBorder="1" applyAlignment="1">
      <alignment horizontal="center" vertical="center" wrapText="1"/>
    </xf>
    <xf numFmtId="0" fontId="15" fillId="0" borderId="36" xfId="0" applyNumberFormat="1" applyFont="1" applyFill="1" applyBorder="1" applyAlignment="1">
      <alignment horizontal="center" vertical="center"/>
    </xf>
    <xf numFmtId="178" fontId="17" fillId="0" borderId="1" xfId="0" applyNumberFormat="1" applyFont="1" applyBorder="1" applyAlignment="1">
      <alignment horizontal="center"/>
    </xf>
    <xf numFmtId="178" fontId="15" fillId="0" borderId="44" xfId="0" applyNumberFormat="1" applyFont="1" applyBorder="1"/>
    <xf numFmtId="178" fontId="15" fillId="0" borderId="88" xfId="0" applyNumberFormat="1" applyFont="1" applyBorder="1"/>
    <xf numFmtId="0" fontId="12" fillId="0" borderId="0" xfId="0" applyFont="1" applyFill="1" applyBorder="1" applyAlignment="1">
      <alignment horizontal="left"/>
    </xf>
    <xf numFmtId="178" fontId="17" fillId="0" borderId="43" xfId="0" applyNumberFormat="1" applyFont="1" applyFill="1" applyBorder="1" applyAlignment="1">
      <alignment horizontal="center"/>
    </xf>
    <xf numFmtId="178" fontId="17" fillId="0" borderId="6" xfId="0" applyNumberFormat="1" applyFont="1" applyFill="1" applyBorder="1" applyAlignment="1">
      <alignment horizontal="center"/>
    </xf>
    <xf numFmtId="178" fontId="15" fillId="0" borderId="42" xfId="0" applyNumberFormat="1" applyFont="1" applyFill="1" applyBorder="1" applyAlignment="1">
      <alignment horizontal="right"/>
    </xf>
    <xf numFmtId="178" fontId="15" fillId="0" borderId="0" xfId="0" applyNumberFormat="1" applyFont="1" applyFill="1" applyBorder="1" applyAlignment="1">
      <alignment horizontal="right"/>
    </xf>
    <xf numFmtId="178" fontId="15" fillId="0" borderId="3" xfId="0" applyNumberFormat="1" applyFont="1" applyFill="1" applyBorder="1" applyAlignment="1">
      <alignment horizontal="right"/>
    </xf>
    <xf numFmtId="178" fontId="15" fillId="0" borderId="8" xfId="0" applyNumberFormat="1" applyFont="1" applyFill="1" applyBorder="1" applyAlignment="1">
      <alignment horizontal="right"/>
    </xf>
    <xf numFmtId="178" fontId="17" fillId="0" borderId="42" xfId="0" applyNumberFormat="1" applyFont="1" applyFill="1" applyBorder="1" applyAlignment="1">
      <alignment horizontal="right"/>
    </xf>
    <xf numFmtId="178" fontId="17" fillId="0" borderId="0" xfId="0" applyNumberFormat="1" applyFont="1" applyFill="1" applyBorder="1" applyAlignment="1">
      <alignment horizontal="right"/>
    </xf>
    <xf numFmtId="178" fontId="17" fillId="0" borderId="3" xfId="0" applyNumberFormat="1" applyFont="1" applyFill="1" applyBorder="1" applyAlignment="1">
      <alignment horizontal="right"/>
    </xf>
    <xf numFmtId="178" fontId="17" fillId="0" borderId="8" xfId="0" applyNumberFormat="1" applyFont="1" applyFill="1" applyBorder="1" applyAlignment="1">
      <alignment horizontal="right"/>
    </xf>
    <xf numFmtId="0" fontId="17" fillId="0" borderId="12" xfId="0" applyNumberFormat="1" applyFont="1" applyFill="1" applyBorder="1"/>
    <xf numFmtId="0" fontId="15" fillId="0" borderId="43" xfId="0" applyNumberFormat="1" applyFont="1" applyFill="1" applyBorder="1" applyAlignment="1">
      <alignment horizontal="center"/>
    </xf>
    <xf numFmtId="0" fontId="17" fillId="0" borderId="43" xfId="0" applyNumberFormat="1" applyFont="1" applyFill="1" applyBorder="1" applyAlignment="1">
      <alignment horizontal="center"/>
    </xf>
    <xf numFmtId="179" fontId="17" fillId="0" borderId="43" xfId="1" applyNumberFormat="1" applyFont="1" applyFill="1" applyBorder="1" applyAlignment="1">
      <alignment horizontal="center"/>
    </xf>
    <xf numFmtId="0" fontId="20" fillId="0" borderId="43" xfId="0" applyNumberFormat="1" applyFont="1" applyFill="1" applyBorder="1" applyAlignment="1">
      <alignment horizontal="center"/>
    </xf>
    <xf numFmtId="0" fontId="20" fillId="0" borderId="6" xfId="0" applyNumberFormat="1" applyFont="1" applyFill="1" applyBorder="1" applyAlignment="1">
      <alignment horizontal="center"/>
    </xf>
    <xf numFmtId="0" fontId="17" fillId="0" borderId="6" xfId="0" applyNumberFormat="1" applyFont="1" applyBorder="1" applyAlignment="1">
      <alignment horizontal="center"/>
    </xf>
    <xf numFmtId="0" fontId="17" fillId="0" borderId="75" xfId="0" applyNumberFormat="1" applyFont="1" applyBorder="1" applyAlignment="1">
      <alignment horizontal="center"/>
    </xf>
    <xf numFmtId="179" fontId="17" fillId="0" borderId="42" xfId="1" applyNumberFormat="1" applyFont="1" applyFill="1" applyBorder="1" applyAlignment="1">
      <alignment horizontal="center"/>
    </xf>
    <xf numFmtId="0" fontId="20" fillId="0" borderId="42" xfId="0" applyNumberFormat="1" applyFont="1" applyFill="1" applyBorder="1" applyAlignment="1">
      <alignment horizontal="center"/>
    </xf>
    <xf numFmtId="0" fontId="20" fillId="0" borderId="0" xfId="0" applyNumberFormat="1" applyFont="1" applyFill="1" applyBorder="1" applyAlignment="1">
      <alignment horizontal="center"/>
    </xf>
    <xf numFmtId="0" fontId="17" fillId="0" borderId="0" xfId="0" applyNumberFormat="1" applyFont="1" applyBorder="1" applyAlignment="1">
      <alignment horizontal="center"/>
    </xf>
    <xf numFmtId="0" fontId="20" fillId="0" borderId="3" xfId="0" applyNumberFormat="1" applyFont="1" applyFill="1" applyBorder="1"/>
    <xf numFmtId="0" fontId="15" fillId="0" borderId="76" xfId="0" applyNumberFormat="1" applyFont="1" applyBorder="1"/>
    <xf numFmtId="0" fontId="15" fillId="0" borderId="42" xfId="0" applyNumberFormat="1" applyFont="1" applyFill="1" applyBorder="1"/>
    <xf numFmtId="0" fontId="17" fillId="0" borderId="80" xfId="0" applyFont="1" applyFill="1" applyBorder="1" applyAlignment="1">
      <alignment horizontal="center" vertical="center" wrapText="1"/>
    </xf>
    <xf numFmtId="0" fontId="17" fillId="0" borderId="6" xfId="1" applyNumberFormat="1" applyFont="1" applyFill="1" applyBorder="1" applyAlignment="1">
      <alignment horizontal="center"/>
    </xf>
    <xf numFmtId="178" fontId="17" fillId="0" borderId="66" xfId="0" applyNumberFormat="1" applyFont="1" applyFill="1" applyBorder="1" applyAlignment="1">
      <alignment horizontal="center"/>
    </xf>
    <xf numFmtId="178" fontId="17" fillId="0" borderId="12" xfId="0" applyNumberFormat="1" applyFont="1" applyFill="1" applyBorder="1" applyAlignment="1">
      <alignment horizontal="center"/>
    </xf>
    <xf numFmtId="178" fontId="17" fillId="0" borderId="7" xfId="0" applyNumberFormat="1" applyFont="1" applyFill="1" applyBorder="1" applyAlignment="1">
      <alignment horizontal="center"/>
    </xf>
    <xf numFmtId="0" fontId="17" fillId="0" borderId="0" xfId="1" applyNumberFormat="1" applyFont="1" applyFill="1" applyBorder="1" applyAlignment="1">
      <alignment horizontal="center"/>
    </xf>
    <xf numFmtId="178" fontId="17" fillId="0" borderId="42" xfId="0" applyNumberFormat="1" applyFont="1" applyFill="1" applyBorder="1" applyAlignment="1">
      <alignment horizontal="center"/>
    </xf>
    <xf numFmtId="178" fontId="17" fillId="0" borderId="67" xfId="0" applyNumberFormat="1" applyFont="1" applyFill="1" applyBorder="1" applyAlignment="1">
      <alignment horizontal="center"/>
    </xf>
    <xf numFmtId="178" fontId="17" fillId="0" borderId="3" xfId="0" applyNumberFormat="1" applyFont="1" applyFill="1" applyBorder="1" applyAlignment="1">
      <alignment horizontal="center"/>
    </xf>
    <xf numFmtId="178" fontId="17" fillId="0" borderId="8" xfId="0" applyNumberFormat="1" applyFont="1" applyFill="1" applyBorder="1" applyAlignment="1">
      <alignment horizontal="center"/>
    </xf>
    <xf numFmtId="0" fontId="17" fillId="0" borderId="3" xfId="0" applyNumberFormat="1" applyFont="1" applyFill="1" applyBorder="1" applyAlignment="1">
      <alignment horizontal="left" indent="1"/>
    </xf>
    <xf numFmtId="0" fontId="15" fillId="0" borderId="42" xfId="0" applyFont="1" applyBorder="1"/>
    <xf numFmtId="180" fontId="15" fillId="0" borderId="42" xfId="1" applyNumberFormat="1" applyFont="1" applyFill="1" applyBorder="1" applyAlignment="1"/>
    <xf numFmtId="0" fontId="21" fillId="0" borderId="6" xfId="0" applyFont="1" applyBorder="1"/>
    <xf numFmtId="0" fontId="17" fillId="0" borderId="45" xfId="0" applyFont="1" applyFill="1" applyBorder="1" applyAlignment="1">
      <alignment horizontal="center" vertical="center"/>
    </xf>
    <xf numFmtId="178" fontId="17" fillId="0" borderId="42" xfId="0" applyNumberFormat="1" applyFont="1" applyBorder="1" applyAlignment="1">
      <alignment horizontal="right"/>
    </xf>
    <xf numFmtId="178" fontId="17" fillId="0" borderId="8" xfId="0" applyNumberFormat="1" applyFont="1" applyBorder="1" applyAlignment="1">
      <alignment horizontal="right"/>
    </xf>
    <xf numFmtId="178" fontId="17" fillId="0" borderId="3" xfId="0" applyNumberFormat="1" applyFont="1" applyBorder="1" applyAlignment="1">
      <alignment horizontal="right"/>
    </xf>
    <xf numFmtId="178" fontId="17" fillId="0" borderId="0" xfId="0" applyNumberFormat="1" applyFont="1" applyBorder="1" applyAlignment="1">
      <alignment horizontal="right"/>
    </xf>
    <xf numFmtId="178" fontId="17" fillId="0" borderId="47" xfId="0" applyNumberFormat="1" applyFont="1" applyBorder="1" applyAlignment="1">
      <alignment horizontal="right"/>
    </xf>
    <xf numFmtId="0" fontId="17" fillId="0" borderId="42" xfId="0" applyFont="1" applyBorder="1" applyAlignment="1">
      <alignment horizontal="center"/>
    </xf>
    <xf numFmtId="178" fontId="17" fillId="0" borderId="3" xfId="1" applyNumberFormat="1" applyFont="1" applyBorder="1" applyAlignment="1">
      <alignment horizontal="right"/>
    </xf>
    <xf numFmtId="178" fontId="17" fillId="0" borderId="8" xfId="1" applyNumberFormat="1" applyFont="1" applyBorder="1" applyAlignment="1">
      <alignment horizontal="right"/>
    </xf>
    <xf numFmtId="0" fontId="17" fillId="0" borderId="43" xfId="0" applyFont="1" applyFill="1" applyBorder="1" applyAlignment="1">
      <alignment horizontal="center" vertical="center"/>
    </xf>
    <xf numFmtId="49" fontId="17" fillId="0" borderId="45" xfId="0" applyNumberFormat="1" applyFont="1" applyFill="1" applyBorder="1" applyAlignment="1">
      <alignment horizontal="center" vertical="center" wrapText="1"/>
    </xf>
    <xf numFmtId="0" fontId="17" fillId="0" borderId="36" xfId="0" applyFont="1" applyFill="1" applyBorder="1" applyAlignment="1">
      <alignment horizontal="center" vertical="center"/>
    </xf>
    <xf numFmtId="0" fontId="17" fillId="0" borderId="37" xfId="0" applyFont="1" applyFill="1" applyBorder="1" applyAlignment="1">
      <alignment horizontal="center" vertical="center" wrapText="1"/>
    </xf>
    <xf numFmtId="0" fontId="17" fillId="0" borderId="64" xfId="0" applyFont="1" applyFill="1" applyBorder="1" applyAlignment="1">
      <alignment horizontal="center" vertical="center" wrapText="1"/>
    </xf>
    <xf numFmtId="168" fontId="15" fillId="0" borderId="2" xfId="1" applyNumberFormat="1" applyFont="1" applyBorder="1"/>
    <xf numFmtId="0" fontId="17" fillId="0" borderId="36" xfId="0" applyFont="1" applyFill="1" applyBorder="1" applyAlignment="1">
      <alignment vertical="center"/>
    </xf>
    <xf numFmtId="0" fontId="17" fillId="0" borderId="64" xfId="0" applyFont="1" applyFill="1" applyBorder="1" applyAlignment="1"/>
    <xf numFmtId="49" fontId="17" fillId="0" borderId="64" xfId="0" applyNumberFormat="1" applyFont="1" applyFill="1" applyBorder="1" applyAlignment="1">
      <alignment vertical="center" wrapText="1"/>
    </xf>
    <xf numFmtId="178" fontId="17" fillId="0" borderId="76" xfId="0" applyNumberFormat="1" applyFont="1" applyBorder="1" applyAlignment="1">
      <alignment horizontal="center"/>
    </xf>
    <xf numFmtId="0" fontId="15" fillId="0" borderId="76" xfId="0" quotePrefix="1" applyNumberFormat="1" applyFont="1" applyBorder="1" applyAlignment="1">
      <alignment horizontal="center"/>
    </xf>
    <xf numFmtId="0" fontId="8" fillId="2" borderId="9" xfId="0" applyFont="1" applyFill="1" applyBorder="1" applyAlignment="1">
      <alignment horizontal="center" vertical="center"/>
    </xf>
    <xf numFmtId="49" fontId="17" fillId="0" borderId="45" xfId="0" applyNumberFormat="1" applyFont="1" applyFill="1" applyBorder="1" applyAlignment="1">
      <alignment vertical="center" wrapText="1"/>
    </xf>
    <xf numFmtId="0" fontId="17" fillId="0" borderId="75" xfId="0" applyFont="1" applyFill="1" applyBorder="1" applyAlignment="1">
      <alignment vertical="center"/>
    </xf>
    <xf numFmtId="0" fontId="17" fillId="0" borderId="77" xfId="0" applyFont="1" applyFill="1" applyBorder="1" applyAlignment="1">
      <alignment vertical="center"/>
    </xf>
    <xf numFmtId="0" fontId="17" fillId="0" borderId="93" xfId="0" applyFont="1" applyFill="1" applyBorder="1" applyAlignment="1">
      <alignment horizontal="center" vertical="center" wrapText="1"/>
    </xf>
    <xf numFmtId="0" fontId="17" fillId="0" borderId="10" xfId="0" quotePrefix="1" applyFont="1" applyFill="1" applyBorder="1" applyAlignment="1">
      <alignment horizontal="center" vertical="center" wrapText="1"/>
    </xf>
    <xf numFmtId="49" fontId="17" fillId="0" borderId="11" xfId="0" applyNumberFormat="1" applyFont="1" applyFill="1" applyBorder="1" applyAlignment="1">
      <alignment vertical="center" wrapText="1"/>
    </xf>
    <xf numFmtId="0" fontId="17" fillId="0" borderId="11" xfId="0" applyFont="1" applyFill="1" applyBorder="1" applyAlignment="1">
      <alignment horizontal="center" vertical="center"/>
    </xf>
    <xf numFmtId="0" fontId="17" fillId="0" borderId="5" xfId="0" applyFont="1" applyFill="1" applyBorder="1" applyAlignment="1">
      <alignment horizontal="center" vertical="center" wrapText="1"/>
    </xf>
    <xf numFmtId="0" fontId="17" fillId="0" borderId="52" xfId="0" applyFont="1" applyFill="1" applyBorder="1" applyAlignment="1">
      <alignment horizontal="center" vertical="top" wrapText="1"/>
    </xf>
    <xf numFmtId="0" fontId="17" fillId="0" borderId="53" xfId="0" applyFont="1" applyFill="1" applyBorder="1" applyAlignment="1">
      <alignment horizontal="center" vertical="top" wrapText="1"/>
    </xf>
    <xf numFmtId="0" fontId="17" fillId="0" borderId="55" xfId="0" applyFont="1" applyFill="1" applyBorder="1" applyAlignment="1">
      <alignment horizontal="center" vertical="top" wrapText="1"/>
    </xf>
    <xf numFmtId="0" fontId="17" fillId="0" borderId="54" xfId="0" applyFont="1" applyFill="1" applyBorder="1" applyAlignment="1">
      <alignment horizontal="center" vertical="center" wrapText="1"/>
    </xf>
    <xf numFmtId="0" fontId="16" fillId="7" borderId="12" xfId="0" applyFont="1" applyFill="1" applyBorder="1"/>
    <xf numFmtId="0" fontId="16" fillId="7" borderId="6" xfId="0" applyFont="1" applyFill="1" applyBorder="1" applyAlignment="1">
      <alignment horizontal="left"/>
    </xf>
    <xf numFmtId="176" fontId="5" fillId="0" borderId="6" xfId="0" applyNumberFormat="1" applyFont="1" applyBorder="1"/>
    <xf numFmtId="176" fontId="5" fillId="0" borderId="0" xfId="0" applyNumberFormat="1" applyFont="1" applyBorder="1"/>
    <xf numFmtId="176" fontId="8" fillId="0" borderId="0" xfId="0" applyNumberFormat="1" applyFont="1" applyBorder="1"/>
    <xf numFmtId="176" fontId="7" fillId="0" borderId="94" xfId="0" applyNumberFormat="1" applyFont="1" applyBorder="1"/>
    <xf numFmtId="176" fontId="7" fillId="0" borderId="95" xfId="0" applyNumberFormat="1" applyFont="1" applyBorder="1"/>
    <xf numFmtId="176" fontId="5" fillId="0" borderId="94" xfId="0" applyNumberFormat="1" applyFont="1" applyBorder="1"/>
    <xf numFmtId="176" fontId="5" fillId="0" borderId="95" xfId="0" applyNumberFormat="1" applyFont="1" applyBorder="1"/>
    <xf numFmtId="176" fontId="7" fillId="0" borderId="0" xfId="0" applyNumberFormat="1" applyFont="1" applyBorder="1"/>
    <xf numFmtId="176" fontId="8" fillId="0" borderId="35" xfId="0" applyNumberFormat="1" applyFont="1" applyBorder="1"/>
    <xf numFmtId="176" fontId="8" fillId="0" borderId="94" xfId="0" applyNumberFormat="1" applyFont="1" applyBorder="1"/>
    <xf numFmtId="176" fontId="8" fillId="0" borderId="95" xfId="0" applyNumberFormat="1" applyFont="1" applyBorder="1"/>
    <xf numFmtId="176" fontId="5" fillId="0" borderId="96" xfId="0" applyNumberFormat="1" applyFont="1" applyBorder="1"/>
    <xf numFmtId="0" fontId="24" fillId="0" borderId="0" xfId="0" applyFont="1"/>
    <xf numFmtId="178" fontId="15" fillId="0" borderId="36" xfId="1" applyNumberFormat="1" applyFont="1" applyBorder="1"/>
    <xf numFmtId="178" fontId="17" fillId="0" borderId="9" xfId="0" applyNumberFormat="1" applyFont="1" applyFill="1" applyBorder="1"/>
    <xf numFmtId="178" fontId="20" fillId="0" borderId="46" xfId="0" applyNumberFormat="1" applyFont="1" applyFill="1" applyBorder="1"/>
    <xf numFmtId="178" fontId="20" fillId="0" borderId="49" xfId="0" applyNumberFormat="1" applyFont="1" applyFill="1" applyBorder="1"/>
    <xf numFmtId="178" fontId="20" fillId="0" borderId="50" xfId="0" applyNumberFormat="1" applyFont="1" applyFill="1" applyBorder="1"/>
    <xf numFmtId="178" fontId="20" fillId="0" borderId="48" xfId="0" applyNumberFormat="1" applyFont="1" applyFill="1" applyBorder="1"/>
    <xf numFmtId="178" fontId="20" fillId="0" borderId="51" xfId="0" applyNumberFormat="1" applyFont="1" applyFill="1" applyBorder="1"/>
    <xf numFmtId="168" fontId="20" fillId="0" borderId="0" xfId="1" applyNumberFormat="1" applyFont="1" applyFill="1" applyBorder="1" applyAlignment="1">
      <alignment horizontal="right"/>
    </xf>
    <xf numFmtId="0" fontId="16" fillId="7" borderId="11" xfId="0" applyFont="1" applyFill="1" applyBorder="1" applyAlignment="1">
      <alignment horizontal="left"/>
    </xf>
    <xf numFmtId="0" fontId="16" fillId="7" borderId="12" xfId="0" applyFont="1" applyFill="1" applyBorder="1" applyAlignment="1">
      <alignment horizontal="left"/>
    </xf>
    <xf numFmtId="16" fontId="5" fillId="0" borderId="1" xfId="0" quotePrefix="1" applyNumberFormat="1" applyFont="1" applyBorder="1" applyAlignment="1">
      <alignment horizontal="center"/>
    </xf>
    <xf numFmtId="0" fontId="5" fillId="0" borderId="1" xfId="0" quotePrefix="1" applyFont="1" applyBorder="1" applyAlignment="1">
      <alignment horizontal="center"/>
    </xf>
    <xf numFmtId="0" fontId="16" fillId="8" borderId="17" xfId="0" applyFont="1" applyFill="1" applyBorder="1" applyAlignment="1">
      <alignment horizontal="left"/>
    </xf>
    <xf numFmtId="0" fontId="8" fillId="8" borderId="35" xfId="0" applyFont="1" applyFill="1" applyBorder="1"/>
    <xf numFmtId="176" fontId="25" fillId="0" borderId="11" xfId="0" applyNumberFormat="1" applyFont="1" applyBorder="1"/>
    <xf numFmtId="0" fontId="15" fillId="0" borderId="0" xfId="0" applyFont="1" applyBorder="1" applyAlignment="1" applyProtection="1">
      <alignment horizontal="center"/>
      <protection locked="0"/>
    </xf>
    <xf numFmtId="0" fontId="20" fillId="0" borderId="0" xfId="0" applyFont="1" applyFill="1" applyBorder="1" applyProtection="1">
      <protection locked="0"/>
    </xf>
    <xf numFmtId="172" fontId="17" fillId="0" borderId="0" xfId="0" applyNumberFormat="1" applyFont="1" applyFill="1" applyBorder="1" applyProtection="1">
      <protection locked="0"/>
    </xf>
    <xf numFmtId="0" fontId="17" fillId="0" borderId="0" xfId="0" applyFont="1" applyBorder="1" applyProtection="1">
      <protection locked="0"/>
    </xf>
    <xf numFmtId="172" fontId="17" fillId="0" borderId="0" xfId="0" applyNumberFormat="1" applyFont="1" applyBorder="1" applyProtection="1">
      <protection locked="0"/>
    </xf>
    <xf numFmtId="0" fontId="20" fillId="0" borderId="0" xfId="0" applyFont="1" applyBorder="1" applyAlignment="1" applyProtection="1">
      <alignment horizontal="center"/>
      <protection locked="0"/>
    </xf>
    <xf numFmtId="0" fontId="20" fillId="0" borderId="0" xfId="0" applyFont="1" applyBorder="1" applyAlignment="1" applyProtection="1">
      <alignment horizontal="right"/>
      <protection locked="0"/>
    </xf>
    <xf numFmtId="168" fontId="15" fillId="0" borderId="0" xfId="1" applyNumberFormat="1" applyFont="1" applyProtection="1">
      <protection locked="0"/>
    </xf>
    <xf numFmtId="0" fontId="15" fillId="0" borderId="42" xfId="0" applyNumberFormat="1" applyFont="1" applyBorder="1" applyAlignment="1" applyProtection="1">
      <alignment horizontal="center"/>
      <protection locked="0"/>
    </xf>
    <xf numFmtId="0" fontId="15" fillId="0" borderId="53" xfId="0" applyNumberFormat="1" applyFont="1" applyBorder="1" applyAlignment="1" applyProtection="1">
      <alignment horizontal="center"/>
      <protection locked="0"/>
    </xf>
    <xf numFmtId="0" fontId="15" fillId="0" borderId="0" xfId="0" applyFont="1" applyAlignment="1" applyProtection="1">
      <alignment horizontal="center"/>
      <protection locked="0"/>
    </xf>
    <xf numFmtId="178" fontId="15" fillId="9" borderId="42" xfId="0" applyNumberFormat="1" applyFont="1" applyFill="1" applyBorder="1" applyAlignment="1" applyProtection="1">
      <alignment horizontal="right"/>
      <protection locked="0"/>
    </xf>
    <xf numFmtId="178" fontId="15" fillId="9" borderId="8" xfId="0" applyNumberFormat="1" applyFont="1" applyFill="1" applyBorder="1" applyAlignment="1" applyProtection="1">
      <alignment horizontal="right"/>
      <protection locked="0"/>
    </xf>
    <xf numFmtId="178" fontId="15" fillId="9" borderId="3" xfId="0" applyNumberFormat="1" applyFont="1" applyFill="1" applyBorder="1" applyAlignment="1" applyProtection="1">
      <alignment horizontal="right"/>
      <protection locked="0"/>
    </xf>
    <xf numFmtId="178" fontId="15" fillId="9" borderId="0" xfId="0" applyNumberFormat="1" applyFont="1" applyFill="1" applyBorder="1" applyAlignment="1" applyProtection="1">
      <alignment horizontal="right"/>
      <protection locked="0"/>
    </xf>
    <xf numFmtId="178" fontId="15" fillId="9" borderId="42" xfId="0" applyNumberFormat="1" applyFont="1" applyFill="1" applyBorder="1" applyProtection="1">
      <protection locked="0"/>
    </xf>
    <xf numFmtId="178" fontId="15" fillId="9" borderId="8" xfId="0" applyNumberFormat="1" applyFont="1" applyFill="1" applyBorder="1" applyProtection="1">
      <protection locked="0"/>
    </xf>
    <xf numFmtId="178" fontId="15" fillId="9" borderId="3" xfId="0" applyNumberFormat="1" applyFont="1" applyFill="1" applyBorder="1" applyProtection="1">
      <protection locked="0"/>
    </xf>
    <xf numFmtId="178" fontId="15" fillId="9" borderId="0" xfId="0" applyNumberFormat="1" applyFont="1" applyFill="1" applyBorder="1" applyProtection="1">
      <protection locked="0"/>
    </xf>
    <xf numFmtId="178" fontId="15" fillId="9" borderId="47" xfId="0" applyNumberFormat="1" applyFont="1" applyFill="1" applyBorder="1" applyProtection="1">
      <protection locked="0"/>
    </xf>
    <xf numFmtId="0" fontId="17" fillId="0" borderId="42" xfId="0" applyNumberFormat="1" applyFont="1" applyBorder="1" applyAlignment="1" applyProtection="1">
      <alignment horizontal="center"/>
      <protection locked="0"/>
    </xf>
    <xf numFmtId="172" fontId="18" fillId="0" borderId="0" xfId="0" applyNumberFormat="1" applyFont="1" applyBorder="1" applyProtection="1">
      <protection locked="0"/>
    </xf>
    <xf numFmtId="0" fontId="20" fillId="0" borderId="0" xfId="0" applyNumberFormat="1" applyFont="1" applyBorder="1" applyProtection="1">
      <protection locked="0"/>
    </xf>
    <xf numFmtId="0" fontId="15" fillId="0" borderId="0" xfId="0" applyFont="1" applyBorder="1" applyAlignment="1" applyProtection="1">
      <protection locked="0"/>
    </xf>
    <xf numFmtId="0" fontId="15" fillId="0" borderId="0" xfId="0" applyFont="1" applyBorder="1" applyProtection="1">
      <protection locked="0"/>
    </xf>
    <xf numFmtId="0" fontId="15" fillId="0" borderId="0" xfId="0" applyFont="1" applyFill="1" applyBorder="1" applyProtection="1">
      <protection locked="0"/>
    </xf>
    <xf numFmtId="178" fontId="15" fillId="0" borderId="42" xfId="0" applyNumberFormat="1" applyFont="1" applyFill="1" applyBorder="1" applyProtection="1"/>
    <xf numFmtId="178" fontId="15" fillId="0" borderId="8" xfId="0" applyNumberFormat="1" applyFont="1" applyFill="1" applyBorder="1" applyProtection="1"/>
    <xf numFmtId="178" fontId="15" fillId="0" borderId="3" xfId="0" applyNumberFormat="1" applyFont="1" applyFill="1" applyBorder="1" applyProtection="1"/>
    <xf numFmtId="178" fontId="15" fillId="0" borderId="0" xfId="0" applyNumberFormat="1" applyFont="1" applyFill="1" applyBorder="1" applyProtection="1"/>
    <xf numFmtId="178" fontId="15" fillId="0" borderId="47" xfId="0" applyNumberFormat="1" applyFont="1" applyFill="1" applyBorder="1" applyProtection="1"/>
    <xf numFmtId="0" fontId="22" fillId="0" borderId="0" xfId="0" applyFont="1" applyBorder="1" applyProtection="1">
      <protection locked="0"/>
    </xf>
    <xf numFmtId="178" fontId="15" fillId="0" borderId="1" xfId="0" applyNumberFormat="1" applyFont="1" applyFill="1" applyBorder="1"/>
    <xf numFmtId="178" fontId="15" fillId="0" borderId="42" xfId="0" applyNumberFormat="1" applyFont="1" applyFill="1" applyBorder="1" applyAlignment="1" applyProtection="1"/>
    <xf numFmtId="178" fontId="15" fillId="0" borderId="8" xfId="0" applyNumberFormat="1" applyFont="1" applyFill="1" applyBorder="1" applyAlignment="1" applyProtection="1"/>
    <xf numFmtId="178" fontId="15" fillId="0" borderId="3" xfId="0" applyNumberFormat="1" applyFont="1" applyFill="1" applyBorder="1" applyAlignment="1" applyProtection="1"/>
    <xf numFmtId="178" fontId="15" fillId="0" borderId="0" xfId="0" applyNumberFormat="1" applyFont="1" applyFill="1" applyBorder="1" applyAlignment="1" applyProtection="1"/>
    <xf numFmtId="178" fontId="15" fillId="0" borderId="47" xfId="0" applyNumberFormat="1" applyFont="1" applyFill="1" applyBorder="1" applyAlignment="1" applyProtection="1"/>
    <xf numFmtId="0" fontId="15" fillId="0" borderId="0" xfId="0" applyNumberFormat="1" applyFont="1" applyBorder="1" applyAlignment="1" applyProtection="1">
      <alignment horizontal="center"/>
      <protection locked="0"/>
    </xf>
    <xf numFmtId="10" fontId="15" fillId="0" borderId="0" xfId="0" applyNumberFormat="1" applyFont="1" applyProtection="1">
      <protection locked="0"/>
    </xf>
    <xf numFmtId="0" fontId="20" fillId="0" borderId="0" xfId="7" applyFont="1" applyAlignment="1" applyProtection="1">
      <alignment horizontal="center"/>
      <protection locked="0"/>
    </xf>
    <xf numFmtId="0" fontId="20" fillId="0" borderId="0" xfId="0" applyFont="1" applyProtection="1">
      <protection locked="0"/>
    </xf>
    <xf numFmtId="172" fontId="15" fillId="0" borderId="0" xfId="0" applyNumberFormat="1" applyFont="1" applyBorder="1" applyProtection="1">
      <protection locked="0"/>
    </xf>
    <xf numFmtId="166" fontId="15" fillId="0" borderId="0" xfId="1" applyFont="1" applyBorder="1" applyProtection="1">
      <protection locked="0"/>
    </xf>
    <xf numFmtId="0" fontId="20" fillId="0" borderId="0" xfId="0" applyFont="1" applyAlignment="1" applyProtection="1">
      <alignment horizontal="center"/>
      <protection locked="0"/>
    </xf>
    <xf numFmtId="0" fontId="20" fillId="0" borderId="0" xfId="0" applyNumberFormat="1" applyFont="1" applyProtection="1">
      <protection locked="0"/>
    </xf>
    <xf numFmtId="172" fontId="15" fillId="0" borderId="0" xfId="0" applyNumberFormat="1" applyFont="1" applyFill="1" applyProtection="1">
      <protection locked="0"/>
    </xf>
    <xf numFmtId="0" fontId="22" fillId="0" borderId="0" xfId="0" applyFont="1" applyBorder="1" applyAlignment="1" applyProtection="1">
      <alignment vertical="center" wrapText="1"/>
      <protection locked="0"/>
    </xf>
    <xf numFmtId="0" fontId="22" fillId="0" borderId="0" xfId="0" applyFont="1" applyFill="1" applyBorder="1" applyAlignment="1" applyProtection="1">
      <alignment horizontal="center" vertical="center" wrapText="1"/>
      <protection locked="0"/>
    </xf>
    <xf numFmtId="0" fontId="15" fillId="0" borderId="0" xfId="0" applyFont="1" applyFill="1" applyProtection="1">
      <protection locked="0"/>
    </xf>
    <xf numFmtId="0" fontId="22" fillId="0" borderId="0" xfId="0" applyFont="1" applyFill="1" applyBorder="1" applyAlignment="1" applyProtection="1">
      <alignment vertical="center" wrapText="1"/>
      <protection locked="0"/>
    </xf>
    <xf numFmtId="0" fontId="20" fillId="0" borderId="0" xfId="0" applyFont="1" applyBorder="1" applyAlignment="1" applyProtection="1">
      <alignment horizontal="left" vertical="top"/>
      <protection locked="0"/>
    </xf>
    <xf numFmtId="0" fontId="15" fillId="0" borderId="42" xfId="0" applyNumberFormat="1" applyFont="1" applyFill="1" applyBorder="1" applyAlignment="1" applyProtection="1">
      <alignment horizontal="center"/>
      <protection locked="0"/>
    </xf>
    <xf numFmtId="0" fontId="17" fillId="0" borderId="42" xfId="0" applyNumberFormat="1" applyFont="1" applyFill="1" applyBorder="1" applyAlignment="1" applyProtection="1">
      <alignment horizontal="center"/>
      <protection locked="0"/>
    </xf>
    <xf numFmtId="179" fontId="17" fillId="0" borderId="42" xfId="1" applyNumberFormat="1" applyFont="1" applyFill="1" applyBorder="1" applyAlignment="1" applyProtection="1">
      <alignment horizontal="center"/>
      <protection locked="0"/>
    </xf>
    <xf numFmtId="178" fontId="17" fillId="0" borderId="47" xfId="0" applyNumberFormat="1" applyFont="1" applyBorder="1" applyAlignment="1" applyProtection="1">
      <alignment horizontal="center"/>
      <protection locked="0"/>
    </xf>
    <xf numFmtId="178" fontId="17" fillId="0" borderId="42" xfId="0" applyNumberFormat="1" applyFont="1" applyBorder="1" applyAlignment="1" applyProtection="1">
      <alignment horizontal="center"/>
      <protection locked="0"/>
    </xf>
    <xf numFmtId="178" fontId="17" fillId="0" borderId="0" xfId="0" applyNumberFormat="1" applyFont="1" applyBorder="1" applyAlignment="1" applyProtection="1">
      <alignment horizontal="center"/>
      <protection locked="0"/>
    </xf>
    <xf numFmtId="178" fontId="17" fillId="0" borderId="3" xfId="0" applyNumberFormat="1" applyFont="1" applyBorder="1" applyAlignment="1" applyProtection="1">
      <alignment horizontal="center"/>
      <protection locked="0"/>
    </xf>
    <xf numFmtId="178" fontId="17" fillId="0" borderId="8" xfId="0" applyNumberFormat="1" applyFont="1" applyBorder="1" applyAlignment="1" applyProtection="1">
      <alignment horizontal="center"/>
      <protection locked="0"/>
    </xf>
    <xf numFmtId="0" fontId="17" fillId="0" borderId="0" xfId="0" applyNumberFormat="1" applyFont="1" applyBorder="1" applyAlignment="1" applyProtection="1">
      <alignment horizontal="center"/>
      <protection locked="0"/>
    </xf>
    <xf numFmtId="0" fontId="17" fillId="0" borderId="76" xfId="0" applyNumberFormat="1" applyFont="1" applyBorder="1" applyAlignment="1" applyProtection="1">
      <alignment horizontal="center"/>
      <protection locked="0"/>
    </xf>
    <xf numFmtId="178" fontId="17" fillId="0" borderId="43" xfId="0" applyNumberFormat="1" applyFont="1" applyBorder="1" applyAlignment="1" applyProtection="1">
      <alignment horizontal="center"/>
    </xf>
    <xf numFmtId="0" fontId="17" fillId="0" borderId="68" xfId="0" applyNumberFormat="1" applyFont="1" applyBorder="1"/>
    <xf numFmtId="0" fontId="15" fillId="0" borderId="71" xfId="0" applyNumberFormat="1" applyFont="1" applyBorder="1" applyAlignment="1">
      <alignment horizontal="center"/>
    </xf>
    <xf numFmtId="178" fontId="17" fillId="0" borderId="71" xfId="0" applyNumberFormat="1" applyFont="1" applyBorder="1" applyAlignment="1"/>
    <xf numFmtId="178" fontId="17" fillId="0" borderId="72" xfId="0" applyNumberFormat="1" applyFont="1" applyBorder="1" applyAlignment="1"/>
    <xf numFmtId="178" fontId="17" fillId="0" borderId="68" xfId="0" applyNumberFormat="1" applyFont="1" applyBorder="1" applyAlignment="1"/>
    <xf numFmtId="178" fontId="17" fillId="0" borderId="73" xfId="0" applyNumberFormat="1" applyFont="1" applyBorder="1" applyAlignment="1"/>
    <xf numFmtId="178" fontId="17" fillId="0" borderId="70" xfId="0" applyNumberFormat="1" applyFont="1" applyBorder="1" applyAlignment="1"/>
    <xf numFmtId="178" fontId="17" fillId="0" borderId="63" xfId="0" applyNumberFormat="1" applyFont="1" applyFill="1" applyBorder="1"/>
    <xf numFmtId="178" fontId="17" fillId="0" borderId="10" xfId="0" applyNumberFormat="1" applyFont="1" applyFill="1" applyBorder="1"/>
    <xf numFmtId="178" fontId="17" fillId="0" borderId="4" xfId="0" applyNumberFormat="1" applyFont="1" applyFill="1" applyBorder="1"/>
    <xf numFmtId="178" fontId="15" fillId="0" borderId="46" xfId="0" applyNumberFormat="1" applyFont="1" applyFill="1" applyBorder="1" applyProtection="1"/>
    <xf numFmtId="178" fontId="15" fillId="0" borderId="51" xfId="0" applyNumberFormat="1" applyFont="1" applyFill="1" applyBorder="1" applyProtection="1"/>
    <xf numFmtId="0" fontId="15" fillId="0" borderId="68" xfId="0" applyNumberFormat="1" applyFont="1" applyBorder="1" applyAlignment="1">
      <alignment horizontal="left" vertical="top" wrapText="1" indent="1"/>
    </xf>
    <xf numFmtId="0" fontId="15" fillId="0" borderId="68" xfId="0" applyNumberFormat="1" applyFont="1" applyFill="1" applyBorder="1" applyAlignment="1" applyProtection="1">
      <alignment horizontal="left" vertical="top" wrapText="1" indent="1"/>
    </xf>
    <xf numFmtId="168" fontId="15" fillId="0" borderId="97" xfId="1" applyNumberFormat="1" applyFont="1" applyFill="1" applyBorder="1" applyAlignment="1" applyProtection="1">
      <alignment horizontal="left" vertical="top" wrapText="1"/>
    </xf>
    <xf numFmtId="2" fontId="15" fillId="0" borderId="68" xfId="1" applyNumberFormat="1" applyFont="1" applyFill="1" applyBorder="1" applyAlignment="1" applyProtection="1">
      <alignment horizontal="center" vertical="top" wrapText="1"/>
    </xf>
    <xf numFmtId="2" fontId="15" fillId="0" borderId="71" xfId="1" applyNumberFormat="1" applyFont="1" applyFill="1" applyBorder="1" applyAlignment="1" applyProtection="1">
      <alignment horizontal="center" vertical="top" wrapText="1"/>
    </xf>
    <xf numFmtId="2" fontId="15" fillId="0" borderId="69" xfId="1" applyNumberFormat="1" applyFont="1" applyFill="1" applyBorder="1" applyAlignment="1" applyProtection="1">
      <alignment horizontal="center" vertical="top" wrapText="1"/>
    </xf>
    <xf numFmtId="2" fontId="15" fillId="0" borderId="98" xfId="1" applyNumberFormat="1" applyFont="1" applyFill="1" applyBorder="1" applyAlignment="1" applyProtection="1">
      <alignment horizontal="center" vertical="top" wrapText="1"/>
    </xf>
    <xf numFmtId="2" fontId="15" fillId="0" borderId="73" xfId="1" applyNumberFormat="1" applyFont="1" applyFill="1" applyBorder="1" applyAlignment="1" applyProtection="1">
      <alignment horizontal="center" vertical="top" wrapText="1"/>
    </xf>
    <xf numFmtId="2" fontId="15" fillId="0" borderId="72" xfId="1" applyNumberFormat="1" applyFont="1" applyFill="1" applyBorder="1" applyAlignment="1" applyProtection="1">
      <alignment horizontal="center" vertical="top" wrapText="1"/>
    </xf>
    <xf numFmtId="0" fontId="12" fillId="0" borderId="9" xfId="0" applyFont="1" applyFill="1" applyBorder="1" applyAlignment="1" applyProtection="1">
      <alignment horizontal="left"/>
    </xf>
    <xf numFmtId="0" fontId="10" fillId="0" borderId="0" xfId="0" applyFont="1" applyProtection="1"/>
    <xf numFmtId="0" fontId="17" fillId="0" borderId="41" xfId="0" applyFont="1" applyFill="1" applyBorder="1" applyAlignment="1" applyProtection="1">
      <alignment horizontal="center" vertical="center" wrapText="1"/>
    </xf>
    <xf numFmtId="0" fontId="17" fillId="0" borderId="40" xfId="0" applyFont="1" applyFill="1" applyBorder="1" applyAlignment="1" applyProtection="1">
      <alignment horizontal="center" vertical="center" wrapText="1"/>
    </xf>
    <xf numFmtId="0" fontId="17" fillId="0" borderId="36"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17" fillId="0" borderId="4" xfId="0" applyFont="1" applyFill="1" applyBorder="1" applyAlignment="1" applyProtection="1">
      <alignment horizontal="center" vertical="center" wrapText="1"/>
    </xf>
    <xf numFmtId="0" fontId="19" fillId="0" borderId="3" xfId="0" applyNumberFormat="1" applyFont="1" applyBorder="1" applyProtection="1"/>
    <xf numFmtId="0" fontId="15" fillId="0" borderId="42" xfId="0" applyNumberFormat="1" applyFont="1" applyFill="1" applyBorder="1" applyAlignment="1" applyProtection="1">
      <alignment horizontal="center"/>
    </xf>
    <xf numFmtId="178" fontId="17" fillId="0" borderId="42" xfId="0" applyNumberFormat="1" applyFont="1" applyFill="1" applyBorder="1" applyProtection="1"/>
    <xf numFmtId="178" fontId="17" fillId="0" borderId="8" xfId="0" applyNumberFormat="1" applyFont="1" applyFill="1" applyBorder="1" applyProtection="1"/>
    <xf numFmtId="178" fontId="17" fillId="0" borderId="3" xfId="0" applyNumberFormat="1" applyFont="1" applyFill="1" applyBorder="1" applyProtection="1"/>
    <xf numFmtId="178" fontId="17" fillId="0" borderId="0" xfId="0" applyNumberFormat="1" applyFont="1" applyFill="1" applyBorder="1" applyProtection="1"/>
    <xf numFmtId="178" fontId="17" fillId="0" borderId="47" xfId="0" applyNumberFormat="1" applyFont="1" applyFill="1" applyBorder="1" applyProtection="1"/>
    <xf numFmtId="0" fontId="23" fillId="0" borderId="3" xfId="0" applyNumberFormat="1" applyFont="1" applyBorder="1" applyAlignment="1" applyProtection="1">
      <alignment horizontal="left"/>
    </xf>
    <xf numFmtId="0" fontId="15" fillId="0" borderId="3" xfId="0" applyNumberFormat="1" applyFont="1" applyBorder="1" applyAlignment="1" applyProtection="1">
      <alignment horizontal="left" indent="1"/>
    </xf>
    <xf numFmtId="0" fontId="17" fillId="0" borderId="3" xfId="0" applyNumberFormat="1" applyFont="1" applyBorder="1" applyAlignment="1" applyProtection="1">
      <alignment horizontal="left"/>
    </xf>
    <xf numFmtId="178" fontId="17" fillId="0" borderId="46" xfId="0" applyNumberFormat="1" applyFont="1" applyFill="1" applyBorder="1" applyProtection="1"/>
    <xf numFmtId="178" fontId="17" fillId="0" borderId="51" xfId="0" applyNumberFormat="1" applyFont="1" applyFill="1" applyBorder="1" applyProtection="1"/>
    <xf numFmtId="0" fontId="15" fillId="0" borderId="68" xfId="0" applyNumberFormat="1" applyFont="1" applyBorder="1" applyProtection="1"/>
    <xf numFmtId="0" fontId="15" fillId="0" borderId="71" xfId="0" applyNumberFormat="1" applyFont="1" applyFill="1" applyBorder="1" applyAlignment="1" applyProtection="1">
      <alignment horizontal="center"/>
    </xf>
    <xf numFmtId="178" fontId="15" fillId="0" borderId="71" xfId="0" applyNumberFormat="1" applyFont="1" applyFill="1" applyBorder="1" applyProtection="1"/>
    <xf numFmtId="178" fontId="15" fillId="0" borderId="72" xfId="0" applyNumberFormat="1" applyFont="1" applyFill="1" applyBorder="1" applyProtection="1"/>
    <xf numFmtId="178" fontId="15" fillId="0" borderId="68" xfId="0" applyNumberFormat="1" applyFont="1" applyFill="1" applyBorder="1" applyProtection="1"/>
    <xf numFmtId="178" fontId="15" fillId="0" borderId="73" xfId="0" applyNumberFormat="1" applyFont="1" applyFill="1" applyBorder="1" applyProtection="1"/>
    <xf numFmtId="178" fontId="15" fillId="0" borderId="70" xfId="0" applyNumberFormat="1" applyFont="1" applyFill="1" applyBorder="1" applyProtection="1"/>
    <xf numFmtId="178" fontId="15" fillId="0" borderId="79" xfId="0" applyNumberFormat="1" applyFont="1" applyFill="1" applyBorder="1" applyProtection="1"/>
    <xf numFmtId="0" fontId="15" fillId="0" borderId="68" xfId="0" applyNumberFormat="1" applyFont="1" applyBorder="1" applyAlignment="1" applyProtection="1">
      <alignment horizontal="left" indent="1"/>
    </xf>
    <xf numFmtId="0" fontId="15" fillId="0" borderId="3" xfId="0" applyNumberFormat="1" applyFont="1" applyBorder="1" applyProtection="1"/>
    <xf numFmtId="178" fontId="15" fillId="0" borderId="76" xfId="0" applyNumberFormat="1" applyFont="1" applyFill="1" applyBorder="1" applyProtection="1"/>
    <xf numFmtId="0" fontId="15" fillId="0" borderId="36" xfId="0" applyNumberFormat="1" applyFont="1" applyFill="1" applyBorder="1" applyAlignment="1" applyProtection="1">
      <alignment horizontal="center"/>
    </xf>
    <xf numFmtId="178" fontId="17" fillId="0" borderId="53" xfId="0" applyNumberFormat="1" applyFont="1" applyFill="1" applyBorder="1" applyProtection="1"/>
    <xf numFmtId="178" fontId="17" fillId="0" borderId="55" xfId="0" applyNumberFormat="1" applyFont="1" applyFill="1" applyBorder="1" applyProtection="1"/>
    <xf numFmtId="178" fontId="17" fillId="0" borderId="52" xfId="0" applyNumberFormat="1" applyFont="1" applyFill="1" applyBorder="1" applyProtection="1"/>
    <xf numFmtId="178" fontId="17" fillId="0" borderId="54" xfId="0" applyNumberFormat="1" applyFont="1" applyFill="1" applyBorder="1" applyProtection="1"/>
    <xf numFmtId="178" fontId="17" fillId="0" borderId="56" xfId="0" applyNumberFormat="1" applyFont="1" applyFill="1" applyBorder="1" applyProtection="1"/>
    <xf numFmtId="0" fontId="21" fillId="0" borderId="0" xfId="0" applyFont="1" applyProtection="1"/>
    <xf numFmtId="0" fontId="20" fillId="0" borderId="0" xfId="0" applyFont="1" applyFill="1" applyBorder="1" applyProtection="1"/>
    <xf numFmtId="0" fontId="15" fillId="0" borderId="0" xfId="0" applyFont="1" applyFill="1" applyBorder="1" applyProtection="1"/>
    <xf numFmtId="0" fontId="17" fillId="0" borderId="5" xfId="0" applyFont="1" applyFill="1" applyBorder="1" applyAlignment="1">
      <alignment horizontal="left" vertical="center"/>
    </xf>
    <xf numFmtId="0" fontId="17" fillId="0" borderId="1" xfId="0" applyNumberFormat="1" applyFont="1" applyBorder="1" applyAlignment="1">
      <alignment wrapText="1"/>
    </xf>
    <xf numFmtId="0" fontId="15" fillId="0" borderId="1" xfId="0" applyNumberFormat="1" applyFont="1" applyBorder="1" applyAlignment="1">
      <alignment horizontal="left" wrapText="1" indent="1"/>
    </xf>
    <xf numFmtId="0" fontId="15" fillId="0" borderId="1" xfId="0" applyNumberFormat="1" applyFont="1" applyBorder="1"/>
    <xf numFmtId="0" fontId="19" fillId="0" borderId="11" xfId="0" applyFont="1" applyBorder="1"/>
    <xf numFmtId="0" fontId="15" fillId="0" borderId="1" xfId="0" applyFont="1" applyBorder="1" applyAlignment="1">
      <alignment horizontal="left" indent="1"/>
    </xf>
    <xf numFmtId="0" fontId="15" fillId="0" borderId="5" xfId="0" applyFont="1" applyFill="1" applyBorder="1"/>
    <xf numFmtId="0" fontId="8" fillId="10" borderId="0" xfId="0" applyFont="1" applyFill="1"/>
    <xf numFmtId="0" fontId="17" fillId="0" borderId="3" xfId="0" applyFont="1" applyFill="1" applyBorder="1" applyAlignment="1" applyProtection="1">
      <alignment horizontal="left" indent="1"/>
    </xf>
    <xf numFmtId="0" fontId="15" fillId="0" borderId="3" xfId="0" applyFont="1" applyFill="1" applyBorder="1" applyAlignment="1" applyProtection="1">
      <alignment horizontal="left" indent="1"/>
    </xf>
    <xf numFmtId="0" fontId="15" fillId="0" borderId="0" xfId="0" applyFont="1" applyAlignment="1">
      <alignment horizontal="left"/>
    </xf>
    <xf numFmtId="166" fontId="15" fillId="0" borderId="0" xfId="1" applyFont="1" applyFill="1" applyBorder="1" applyAlignment="1">
      <alignment horizontal="left"/>
    </xf>
    <xf numFmtId="166" fontId="15" fillId="0" borderId="0" xfId="0" applyNumberFormat="1" applyFont="1" applyAlignment="1">
      <alignment horizontal="left"/>
    </xf>
    <xf numFmtId="0" fontId="15" fillId="0" borderId="3" xfId="0" applyNumberFormat="1" applyFont="1" applyFill="1" applyBorder="1" applyAlignment="1" applyProtection="1">
      <alignment horizontal="left" indent="1"/>
    </xf>
    <xf numFmtId="179" fontId="20" fillId="0" borderId="42" xfId="1" applyNumberFormat="1" applyFont="1" applyFill="1" applyBorder="1" applyProtection="1"/>
    <xf numFmtId="179" fontId="20" fillId="0" borderId="8" xfId="1" applyNumberFormat="1" applyFont="1" applyFill="1" applyBorder="1" applyProtection="1"/>
    <xf numFmtId="179" fontId="20" fillId="0" borderId="3" xfId="1" applyNumberFormat="1" applyFont="1" applyFill="1" applyBorder="1" applyProtection="1"/>
    <xf numFmtId="179" fontId="20" fillId="0" borderId="76" xfId="1" applyNumberFormat="1" applyFont="1" applyFill="1" applyBorder="1" applyProtection="1"/>
    <xf numFmtId="179" fontId="20" fillId="0" borderId="0" xfId="1" applyNumberFormat="1" applyFont="1" applyFill="1" applyBorder="1" applyProtection="1"/>
    <xf numFmtId="0" fontId="5" fillId="0" borderId="0" xfId="0" applyFont="1" applyProtection="1"/>
    <xf numFmtId="172" fontId="17" fillId="0" borderId="42" xfId="0" applyNumberFormat="1" applyFont="1" applyBorder="1"/>
    <xf numFmtId="172" fontId="17" fillId="0" borderId="47" xfId="0" applyNumberFormat="1" applyFont="1" applyBorder="1"/>
    <xf numFmtId="0" fontId="19" fillId="0" borderId="3" xfId="0" applyFont="1" applyFill="1" applyBorder="1" applyAlignment="1">
      <alignment horizontal="left"/>
    </xf>
    <xf numFmtId="0" fontId="25" fillId="0" borderId="0" xfId="0" applyFont="1"/>
    <xf numFmtId="183" fontId="17" fillId="0" borderId="99" xfId="12" applyNumberFormat="1" applyFont="1" applyBorder="1" applyAlignment="1">
      <alignment horizontal="center"/>
    </xf>
    <xf numFmtId="0" fontId="17" fillId="0" borderId="3" xfId="0" applyFont="1" applyBorder="1" applyAlignment="1"/>
    <xf numFmtId="0" fontId="19" fillId="0" borderId="3" xfId="0" applyFont="1" applyBorder="1" applyAlignment="1"/>
    <xf numFmtId="0" fontId="15" fillId="0" borderId="42" xfId="0" applyNumberFormat="1" applyFont="1" applyBorder="1" applyAlignment="1" applyProtection="1">
      <alignment horizontal="center"/>
    </xf>
    <xf numFmtId="0" fontId="17" fillId="0" borderId="3" xfId="0" applyNumberFormat="1" applyFont="1" applyBorder="1" applyProtection="1"/>
    <xf numFmtId="0" fontId="22" fillId="0" borderId="42" xfId="0" applyNumberFormat="1" applyFont="1" applyBorder="1" applyAlignment="1" applyProtection="1">
      <alignment horizontal="center"/>
    </xf>
    <xf numFmtId="0" fontId="17" fillId="0" borderId="52" xfId="0" applyNumberFormat="1" applyFont="1" applyBorder="1" applyProtection="1"/>
    <xf numFmtId="0" fontId="15" fillId="0" borderId="53" xfId="0" applyNumberFormat="1" applyFont="1" applyBorder="1" applyAlignment="1" applyProtection="1">
      <alignment horizontal="center"/>
    </xf>
    <xf numFmtId="0" fontId="21" fillId="0" borderId="0" xfId="0" applyFont="1" applyBorder="1" applyAlignment="1" applyProtection="1">
      <alignment horizontal="left"/>
    </xf>
    <xf numFmtId="0" fontId="20" fillId="0" borderId="0" xfId="0" applyFont="1" applyBorder="1" applyAlignment="1" applyProtection="1">
      <alignment horizontal="center"/>
    </xf>
    <xf numFmtId="0" fontId="20" fillId="0" borderId="0" xfId="0" applyFont="1" applyBorder="1" applyProtection="1"/>
    <xf numFmtId="0" fontId="18" fillId="0" borderId="0" xfId="0" applyFont="1" applyBorder="1" applyProtection="1"/>
    <xf numFmtId="172" fontId="18" fillId="0" borderId="0" xfId="0" applyNumberFormat="1" applyFont="1" applyBorder="1" applyProtection="1"/>
    <xf numFmtId="0" fontId="20" fillId="0" borderId="0" xfId="0" quotePrefix="1" applyFont="1" applyBorder="1" applyProtection="1"/>
    <xf numFmtId="0" fontId="17" fillId="0" borderId="45" xfId="0" applyFont="1" applyFill="1" applyBorder="1" applyAlignment="1" applyProtection="1">
      <alignment horizontal="center" vertical="center"/>
    </xf>
    <xf numFmtId="0" fontId="17" fillId="0" borderId="43" xfId="0" applyFont="1" applyFill="1" applyBorder="1" applyAlignment="1" applyProtection="1">
      <alignment vertical="center"/>
    </xf>
    <xf numFmtId="0" fontId="17" fillId="0" borderId="4" xfId="0" applyFont="1" applyFill="1" applyBorder="1" applyAlignment="1" applyProtection="1">
      <alignment horizontal="left" vertical="center"/>
    </xf>
    <xf numFmtId="0" fontId="17" fillId="0" borderId="36" xfId="0" applyFont="1" applyFill="1" applyBorder="1" applyAlignment="1" applyProtection="1">
      <alignment vertical="center"/>
    </xf>
    <xf numFmtId="0" fontId="19" fillId="0" borderId="3" xfId="0" applyFont="1" applyBorder="1" applyProtection="1"/>
    <xf numFmtId="0" fontId="17" fillId="0" borderId="43" xfId="0" applyFont="1" applyBorder="1" applyAlignment="1" applyProtection="1">
      <alignment horizontal="center"/>
    </xf>
    <xf numFmtId="0" fontId="17" fillId="0" borderId="7" xfId="0" applyFont="1" applyBorder="1" applyAlignment="1" applyProtection="1">
      <alignment horizontal="center"/>
    </xf>
    <xf numFmtId="0" fontId="17" fillId="0" borderId="12" xfId="0" applyFont="1" applyBorder="1" applyAlignment="1" applyProtection="1">
      <alignment horizontal="center"/>
    </xf>
    <xf numFmtId="0" fontId="17" fillId="0" borderId="6" xfId="0" applyFont="1" applyBorder="1" applyAlignment="1" applyProtection="1">
      <alignment horizontal="center"/>
    </xf>
    <xf numFmtId="0" fontId="17" fillId="0" borderId="45" xfId="0" applyFont="1" applyBorder="1" applyAlignment="1" applyProtection="1">
      <alignment horizontal="center"/>
    </xf>
    <xf numFmtId="0" fontId="15" fillId="0" borderId="3" xfId="0" applyFont="1" applyBorder="1" applyAlignment="1" applyProtection="1">
      <alignment horizontal="left" indent="1"/>
    </xf>
    <xf numFmtId="178" fontId="15" fillId="0" borderId="42" xfId="0" applyNumberFormat="1" applyFont="1" applyBorder="1" applyAlignment="1" applyProtection="1">
      <alignment horizontal="right"/>
    </xf>
    <xf numFmtId="178" fontId="15" fillId="0" borderId="8" xfId="0" applyNumberFormat="1" applyFont="1" applyBorder="1" applyAlignment="1" applyProtection="1">
      <alignment horizontal="right"/>
    </xf>
    <xf numFmtId="178" fontId="15" fillId="0" borderId="3" xfId="0" applyNumberFormat="1" applyFont="1" applyBorder="1" applyAlignment="1" applyProtection="1">
      <alignment horizontal="right"/>
    </xf>
    <xf numFmtId="178" fontId="15" fillId="0" borderId="0" xfId="0" applyNumberFormat="1" applyFont="1" applyBorder="1" applyAlignment="1" applyProtection="1">
      <alignment horizontal="right"/>
    </xf>
    <xf numFmtId="178" fontId="15" fillId="0" borderId="47" xfId="0" applyNumberFormat="1" applyFont="1" applyBorder="1" applyAlignment="1" applyProtection="1">
      <alignment horizontal="right"/>
    </xf>
    <xf numFmtId="0" fontId="17" fillId="0" borderId="3" xfId="0" applyFont="1" applyBorder="1" applyAlignment="1" applyProtection="1">
      <alignment horizontal="left"/>
    </xf>
    <xf numFmtId="178" fontId="17" fillId="0" borderId="46" xfId="0" applyNumberFormat="1" applyFont="1" applyBorder="1" applyAlignment="1" applyProtection="1">
      <alignment horizontal="right"/>
    </xf>
    <xf numFmtId="178" fontId="17" fillId="0" borderId="49" xfId="0" applyNumberFormat="1" applyFont="1" applyBorder="1" applyAlignment="1" applyProtection="1">
      <alignment horizontal="right"/>
    </xf>
    <xf numFmtId="178" fontId="17" fillId="0" borderId="50" xfId="0" applyNumberFormat="1" applyFont="1" applyBorder="1" applyAlignment="1" applyProtection="1">
      <alignment horizontal="right"/>
    </xf>
    <xf numFmtId="178" fontId="17" fillId="0" borderId="48" xfId="0" applyNumberFormat="1" applyFont="1" applyBorder="1" applyAlignment="1" applyProtection="1">
      <alignment horizontal="right"/>
    </xf>
    <xf numFmtId="178" fontId="17" fillId="0" borderId="51" xfId="0" applyNumberFormat="1" applyFont="1" applyBorder="1" applyAlignment="1" applyProtection="1">
      <alignment horizontal="right"/>
    </xf>
    <xf numFmtId="0" fontId="15" fillId="0" borderId="3" xfId="0" applyFont="1" applyBorder="1" applyProtection="1"/>
    <xf numFmtId="178" fontId="15" fillId="0" borderId="42" xfId="0" applyNumberFormat="1" applyFont="1" applyBorder="1" applyProtection="1"/>
    <xf numFmtId="178" fontId="15" fillId="0" borderId="8" xfId="0" applyNumberFormat="1" applyFont="1" applyBorder="1" applyProtection="1"/>
    <xf numFmtId="178" fontId="15" fillId="0" borderId="3" xfId="0" applyNumberFormat="1" applyFont="1" applyBorder="1" applyProtection="1"/>
    <xf numFmtId="178" fontId="15" fillId="0" borderId="0" xfId="0" applyNumberFormat="1" applyFont="1" applyBorder="1" applyProtection="1"/>
    <xf numFmtId="178" fontId="15" fillId="0" borderId="47" xfId="0" applyNumberFormat="1" applyFont="1" applyBorder="1" applyProtection="1"/>
    <xf numFmtId="0" fontId="17" fillId="0" borderId="52" xfId="0" applyFont="1" applyBorder="1" applyProtection="1"/>
    <xf numFmtId="178" fontId="17" fillId="0" borderId="55" xfId="0" applyNumberFormat="1" applyFont="1" applyBorder="1" applyProtection="1"/>
    <xf numFmtId="178" fontId="17" fillId="0" borderId="52" xfId="0" applyNumberFormat="1" applyFont="1" applyBorder="1" applyProtection="1"/>
    <xf numFmtId="178" fontId="17" fillId="0" borderId="53" xfId="0" applyNumberFormat="1" applyFont="1" applyBorder="1" applyProtection="1"/>
    <xf numFmtId="178" fontId="17" fillId="0" borderId="54" xfId="0" applyNumberFormat="1" applyFont="1" applyBorder="1" applyProtection="1"/>
    <xf numFmtId="178" fontId="17" fillId="0" borderId="56" xfId="0" applyNumberFormat="1" applyFont="1" applyBorder="1" applyProtection="1"/>
    <xf numFmtId="0" fontId="21" fillId="0" borderId="0" xfId="0" applyFont="1" applyBorder="1" applyProtection="1"/>
    <xf numFmtId="0" fontId="15" fillId="0" borderId="0" xfId="0" applyFont="1" applyBorder="1" applyAlignment="1" applyProtection="1">
      <alignment horizontal="center"/>
    </xf>
    <xf numFmtId="0" fontId="17" fillId="0" borderId="0" xfId="0" applyFont="1" applyFill="1" applyBorder="1" applyProtection="1"/>
    <xf numFmtId="172" fontId="17" fillId="0" borderId="0" xfId="0" applyNumberFormat="1" applyFont="1" applyFill="1" applyBorder="1" applyProtection="1"/>
    <xf numFmtId="0" fontId="17" fillId="0" borderId="0" xfId="0" applyFont="1" applyBorder="1" applyProtection="1"/>
    <xf numFmtId="172" fontId="17" fillId="0" borderId="0" xfId="0" applyNumberFormat="1" applyFont="1" applyBorder="1" applyProtection="1"/>
    <xf numFmtId="0" fontId="20" fillId="0" borderId="0" xfId="0" applyFont="1" applyBorder="1" applyAlignment="1" applyProtection="1">
      <alignment horizontal="left"/>
    </xf>
    <xf numFmtId="0" fontId="20" fillId="0" borderId="0" xfId="0" applyFont="1" applyBorder="1" applyAlignment="1" applyProtection="1">
      <alignment horizontal="right"/>
    </xf>
    <xf numFmtId="168" fontId="15" fillId="0" borderId="0" xfId="1" applyNumberFormat="1" applyFont="1" applyProtection="1"/>
    <xf numFmtId="0" fontId="15" fillId="0" borderId="4" xfId="0" applyFont="1" applyBorder="1" applyProtection="1"/>
    <xf numFmtId="0" fontId="15" fillId="0" borderId="36" xfId="0" applyNumberFormat="1" applyFont="1" applyBorder="1" applyAlignment="1" applyProtection="1">
      <alignment horizontal="center"/>
    </xf>
    <xf numFmtId="178" fontId="15" fillId="0" borderId="36" xfId="0" applyNumberFormat="1" applyFont="1" applyBorder="1" applyProtection="1"/>
    <xf numFmtId="178" fontId="15" fillId="0" borderId="10" xfId="0" applyNumberFormat="1" applyFont="1" applyBorder="1" applyProtection="1"/>
    <xf numFmtId="178" fontId="15" fillId="0" borderId="4" xfId="0" applyNumberFormat="1" applyFont="1" applyBorder="1" applyProtection="1"/>
    <xf numFmtId="178" fontId="15" fillId="0" borderId="9" xfId="0" applyNumberFormat="1" applyFont="1" applyBorder="1" applyProtection="1"/>
    <xf numFmtId="178" fontId="15" fillId="0" borderId="64" xfId="0" applyNumberFormat="1" applyFont="1" applyBorder="1" applyProtection="1"/>
    <xf numFmtId="0" fontId="19" fillId="0" borderId="12" xfId="0" applyFont="1" applyBorder="1" applyProtection="1"/>
    <xf numFmtId="0" fontId="15" fillId="0" borderId="43" xfId="0" applyNumberFormat="1" applyFont="1" applyBorder="1" applyAlignment="1" applyProtection="1">
      <alignment horizontal="center"/>
    </xf>
    <xf numFmtId="178" fontId="15" fillId="0" borderId="43" xfId="0" applyNumberFormat="1" applyFont="1" applyBorder="1" applyProtection="1"/>
    <xf numFmtId="178" fontId="15" fillId="0" borderId="7" xfId="0" applyNumberFormat="1" applyFont="1" applyBorder="1" applyProtection="1"/>
    <xf numFmtId="178" fontId="15" fillId="0" borderId="12" xfId="0" applyNumberFormat="1" applyFont="1" applyBorder="1" applyProtection="1"/>
    <xf numFmtId="178" fontId="15" fillId="0" borderId="6" xfId="0" applyNumberFormat="1" applyFont="1" applyBorder="1" applyProtection="1"/>
    <xf numFmtId="178" fontId="15" fillId="0" borderId="45" xfId="0" applyNumberFormat="1" applyFont="1" applyBorder="1" applyProtection="1"/>
    <xf numFmtId="0" fontId="17" fillId="0" borderId="42" xfId="0" applyNumberFormat="1" applyFont="1" applyBorder="1" applyAlignment="1" applyProtection="1">
      <alignment horizontal="center"/>
    </xf>
    <xf numFmtId="178" fontId="17" fillId="0" borderId="42" xfId="0" applyNumberFormat="1" applyFont="1" applyBorder="1" applyAlignment="1" applyProtection="1">
      <alignment horizontal="right"/>
    </xf>
    <xf numFmtId="178" fontId="17" fillId="0" borderId="8" xfId="0" applyNumberFormat="1" applyFont="1" applyBorder="1" applyAlignment="1" applyProtection="1">
      <alignment horizontal="right"/>
    </xf>
    <xf numFmtId="178" fontId="17" fillId="0" borderId="3" xfId="0" applyNumberFormat="1" applyFont="1" applyBorder="1" applyAlignment="1" applyProtection="1">
      <alignment horizontal="right"/>
    </xf>
    <xf numFmtId="178" fontId="17" fillId="0" borderId="0" xfId="0" applyNumberFormat="1" applyFont="1" applyBorder="1" applyAlignment="1" applyProtection="1">
      <alignment horizontal="right"/>
    </xf>
    <xf numFmtId="178" fontId="17" fillId="0" borderId="47" xfId="0" applyNumberFormat="1" applyFont="1" applyBorder="1" applyAlignment="1" applyProtection="1">
      <alignment horizontal="right"/>
    </xf>
    <xf numFmtId="0" fontId="21" fillId="0" borderId="0" xfId="0" applyNumberFormat="1" applyFont="1" applyBorder="1" applyProtection="1"/>
    <xf numFmtId="0" fontId="20" fillId="0" borderId="0" xfId="0" applyNumberFormat="1" applyFont="1" applyBorder="1" applyProtection="1"/>
    <xf numFmtId="0" fontId="20" fillId="0" borderId="3" xfId="0" applyFont="1" applyBorder="1" applyAlignment="1" applyProtection="1">
      <alignment horizontal="right"/>
    </xf>
    <xf numFmtId="0" fontId="15" fillId="0" borderId="0" xfId="0" applyFont="1" applyBorder="1" applyProtection="1"/>
    <xf numFmtId="172" fontId="15" fillId="0" borderId="0" xfId="0" applyNumberFormat="1" applyFont="1" applyBorder="1" applyProtection="1"/>
    <xf numFmtId="0" fontId="20" fillId="0" borderId="0" xfId="0" quotePrefix="1" applyFont="1" applyBorder="1" applyAlignment="1" applyProtection="1">
      <alignment horizontal="left" wrapText="1"/>
    </xf>
    <xf numFmtId="166" fontId="15" fillId="0" borderId="0" xfId="1" applyFont="1" applyBorder="1" applyProtection="1"/>
    <xf numFmtId="178" fontId="15" fillId="0" borderId="0" xfId="1" applyNumberFormat="1" applyFont="1" applyBorder="1" applyProtection="1"/>
    <xf numFmtId="0" fontId="20" fillId="0" borderId="0" xfId="0" applyFont="1" applyFill="1" applyBorder="1" applyAlignment="1" applyProtection="1">
      <alignment horizontal="right"/>
    </xf>
    <xf numFmtId="0" fontId="18" fillId="0" borderId="3" xfId="0" applyNumberFormat="1" applyFont="1" applyFill="1" applyBorder="1" applyAlignment="1" applyProtection="1">
      <alignment horizontal="left" indent="1"/>
    </xf>
    <xf numFmtId="0" fontId="15" fillId="0" borderId="3" xfId="0" applyNumberFormat="1" applyFont="1" applyFill="1" applyBorder="1" applyAlignment="1" applyProtection="1">
      <alignment horizontal="left" indent="2"/>
    </xf>
    <xf numFmtId="178" fontId="15" fillId="0" borderId="47" xfId="0" applyNumberFormat="1" applyFont="1" applyBorder="1" applyAlignment="1">
      <alignment horizontal="right"/>
    </xf>
    <xf numFmtId="178" fontId="15" fillId="0" borderId="76" xfId="0" applyNumberFormat="1" applyFont="1" applyBorder="1" applyAlignment="1">
      <alignment horizontal="right"/>
    </xf>
    <xf numFmtId="0" fontId="15" fillId="0" borderId="74" xfId="0" applyFont="1" applyBorder="1" applyAlignment="1">
      <alignment horizontal="center"/>
    </xf>
    <xf numFmtId="178" fontId="17" fillId="0" borderId="74" xfId="0" applyNumberFormat="1" applyFont="1" applyBorder="1" applyAlignment="1">
      <alignment horizontal="right"/>
    </xf>
    <xf numFmtId="178" fontId="17" fillId="0" borderId="35" xfId="0" applyNumberFormat="1" applyFont="1" applyBorder="1"/>
    <xf numFmtId="178" fontId="17" fillId="0" borderId="17" xfId="0" applyNumberFormat="1" applyFont="1" applyBorder="1"/>
    <xf numFmtId="178" fontId="17" fillId="0" borderId="74" xfId="0" applyNumberFormat="1" applyFont="1" applyBorder="1"/>
    <xf numFmtId="178" fontId="17" fillId="0" borderId="34" xfId="0" applyNumberFormat="1" applyFont="1" applyBorder="1"/>
    <xf numFmtId="0" fontId="15" fillId="0" borderId="3" xfId="0" applyFont="1" applyFill="1" applyBorder="1" applyAlignment="1">
      <alignment horizontal="left" indent="2"/>
    </xf>
    <xf numFmtId="178" fontId="17" fillId="0" borderId="53" xfId="0" applyNumberFormat="1" applyFont="1" applyBorder="1" applyAlignment="1">
      <alignment vertical="top"/>
    </xf>
    <xf numFmtId="178" fontId="17" fillId="0" borderId="88" xfId="0" applyNumberFormat="1" applyFont="1" applyBorder="1" applyAlignment="1">
      <alignment vertical="top"/>
    </xf>
    <xf numFmtId="0" fontId="17" fillId="0" borderId="0" xfId="0" applyNumberFormat="1" applyFont="1" applyBorder="1" applyAlignment="1">
      <alignment vertical="center" wrapText="1"/>
    </xf>
    <xf numFmtId="0" fontId="15" fillId="0" borderId="0" xfId="0" quotePrefix="1" applyNumberFormat="1" applyFont="1" applyBorder="1" applyAlignment="1">
      <alignment horizontal="center" vertical="center" wrapText="1"/>
    </xf>
    <xf numFmtId="0" fontId="17" fillId="0" borderId="3" xfId="0" applyNumberFormat="1" applyFont="1" applyBorder="1" applyAlignment="1">
      <alignment vertical="center" wrapText="1"/>
    </xf>
    <xf numFmtId="0" fontId="15" fillId="0" borderId="76" xfId="0" quotePrefix="1" applyNumberFormat="1" applyFont="1" applyBorder="1" applyAlignment="1">
      <alignment horizontal="center" vertical="center" wrapText="1"/>
    </xf>
    <xf numFmtId="0" fontId="15" fillId="0" borderId="79" xfId="0" quotePrefix="1" applyNumberFormat="1" applyFont="1" applyBorder="1" applyAlignment="1">
      <alignment horizontal="center" vertical="center" wrapText="1"/>
    </xf>
    <xf numFmtId="0" fontId="17" fillId="0" borderId="47" xfId="0" applyFont="1" applyBorder="1"/>
    <xf numFmtId="0" fontId="20" fillId="0" borderId="3" xfId="0" applyNumberFormat="1" applyFont="1" applyBorder="1" applyAlignment="1">
      <alignment horizontal="left" indent="2"/>
    </xf>
    <xf numFmtId="178" fontId="15" fillId="0" borderId="42" xfId="0" applyNumberFormat="1" applyFont="1" applyFill="1" applyBorder="1" applyProtection="1">
      <protection locked="0"/>
    </xf>
    <xf numFmtId="178" fontId="15" fillId="0" borderId="47" xfId="0" applyNumberFormat="1" applyFont="1" applyFill="1" applyBorder="1" applyProtection="1">
      <protection locked="0"/>
    </xf>
    <xf numFmtId="178" fontId="20" fillId="0" borderId="46" xfId="0" applyNumberFormat="1" applyFont="1" applyFill="1" applyBorder="1" applyProtection="1"/>
    <xf numFmtId="178" fontId="20" fillId="0" borderId="49" xfId="0" applyNumberFormat="1" applyFont="1" applyFill="1" applyBorder="1" applyProtection="1"/>
    <xf numFmtId="178" fontId="20" fillId="0" borderId="50" xfId="0" applyNumberFormat="1" applyFont="1" applyFill="1" applyBorder="1" applyProtection="1"/>
    <xf numFmtId="178" fontId="20" fillId="0" borderId="48" xfId="0" applyNumberFormat="1" applyFont="1" applyFill="1" applyBorder="1" applyProtection="1"/>
    <xf numFmtId="178" fontId="20" fillId="0" borderId="51" xfId="0" applyNumberFormat="1" applyFont="1" applyFill="1" applyBorder="1" applyProtection="1"/>
    <xf numFmtId="178" fontId="17" fillId="0" borderId="43" xfId="0" applyNumberFormat="1" applyFont="1" applyBorder="1"/>
    <xf numFmtId="178" fontId="17" fillId="0" borderId="7" xfId="0" applyNumberFormat="1" applyFont="1" applyBorder="1"/>
    <xf numFmtId="178" fontId="17" fillId="0" borderId="12" xfId="0" applyNumberFormat="1" applyFont="1" applyBorder="1"/>
    <xf numFmtId="178" fontId="17" fillId="0" borderId="6" xfId="0" applyNumberFormat="1" applyFont="1" applyBorder="1"/>
    <xf numFmtId="178" fontId="17" fillId="0" borderId="45" xfId="0" applyNumberFormat="1" applyFont="1" applyBorder="1"/>
    <xf numFmtId="0" fontId="19" fillId="0" borderId="3" xfId="0" applyNumberFormat="1" applyFont="1" applyFill="1" applyBorder="1" applyAlignment="1">
      <alignment horizontal="left" indent="1"/>
    </xf>
    <xf numFmtId="179" fontId="17" fillId="0" borderId="100" xfId="1" applyNumberFormat="1" applyFont="1" applyBorder="1"/>
    <xf numFmtId="179" fontId="17" fillId="0" borderId="56" xfId="1" applyNumberFormat="1" applyFont="1" applyBorder="1"/>
    <xf numFmtId="179" fontId="17" fillId="0" borderId="101" xfId="1" applyNumberFormat="1" applyFont="1" applyBorder="1"/>
    <xf numFmtId="183" fontId="15" fillId="0" borderId="43" xfId="12" applyNumberFormat="1" applyFont="1" applyBorder="1" applyAlignment="1">
      <alignment horizontal="center"/>
    </xf>
    <xf numFmtId="183" fontId="15" fillId="0" borderId="75" xfId="12" applyNumberFormat="1" applyFont="1" applyBorder="1" applyAlignment="1">
      <alignment horizontal="center"/>
    </xf>
    <xf numFmtId="183" fontId="15" fillId="0" borderId="3" xfId="12" applyNumberFormat="1" applyFont="1" applyBorder="1" applyAlignment="1">
      <alignment horizontal="center"/>
    </xf>
    <xf numFmtId="183" fontId="15" fillId="0" borderId="42" xfId="12" applyNumberFormat="1" applyFont="1" applyBorder="1" applyAlignment="1">
      <alignment horizontal="center"/>
    </xf>
    <xf numFmtId="183" fontId="15" fillId="0" borderId="76" xfId="12" applyNumberFormat="1" applyFont="1" applyBorder="1" applyAlignment="1">
      <alignment horizontal="center"/>
    </xf>
    <xf numFmtId="183" fontId="15" fillId="0" borderId="0" xfId="12" applyNumberFormat="1" applyFont="1" applyBorder="1" applyAlignment="1">
      <alignment horizontal="center"/>
    </xf>
    <xf numFmtId="183" fontId="15" fillId="0" borderId="8" xfId="12" applyNumberFormat="1" applyFont="1" applyBorder="1" applyAlignment="1">
      <alignment horizontal="center"/>
    </xf>
    <xf numFmtId="0" fontId="15" fillId="0" borderId="4" xfId="0" applyNumberFormat="1" applyFont="1" applyBorder="1" applyAlignment="1">
      <alignment horizontal="left" indent="1"/>
    </xf>
    <xf numFmtId="0" fontId="15" fillId="0" borderId="4" xfId="0" applyFont="1" applyBorder="1" applyAlignment="1">
      <alignment horizontal="left" indent="1"/>
    </xf>
    <xf numFmtId="178" fontId="15" fillId="0" borderId="51" xfId="0" applyNumberFormat="1" applyFont="1" applyFill="1" applyBorder="1"/>
    <xf numFmtId="178" fontId="15" fillId="0" borderId="80" xfId="0" applyNumberFormat="1" applyFont="1" applyFill="1" applyBorder="1"/>
    <xf numFmtId="178" fontId="15" fillId="0" borderId="79" xfId="0" applyNumberFormat="1" applyFont="1" applyFill="1" applyBorder="1"/>
    <xf numFmtId="178" fontId="15" fillId="0" borderId="48" xfId="0" applyNumberFormat="1" applyFont="1" applyFill="1" applyBorder="1"/>
    <xf numFmtId="178" fontId="15" fillId="0" borderId="63" xfId="0" applyNumberFormat="1" applyFont="1" applyFill="1" applyBorder="1"/>
    <xf numFmtId="178" fontId="15" fillId="0" borderId="60" xfId="0" applyNumberFormat="1" applyFont="1" applyFill="1" applyBorder="1"/>
    <xf numFmtId="178" fontId="15" fillId="0" borderId="102" xfId="0" applyNumberFormat="1" applyFont="1" applyFill="1" applyBorder="1"/>
    <xf numFmtId="178" fontId="15" fillId="0" borderId="86" xfId="0" applyNumberFormat="1" applyFont="1" applyFill="1" applyBorder="1"/>
    <xf numFmtId="178" fontId="15" fillId="0" borderId="59" xfId="0" applyNumberFormat="1" applyFont="1" applyFill="1" applyBorder="1"/>
    <xf numFmtId="178" fontId="15" fillId="0" borderId="70" xfId="0" applyNumberFormat="1" applyFont="1" applyFill="1" applyBorder="1"/>
    <xf numFmtId="178" fontId="15" fillId="0" borderId="71" xfId="0" applyNumberFormat="1" applyFont="1" applyFill="1" applyBorder="1"/>
    <xf numFmtId="178" fontId="15" fillId="0" borderId="69" xfId="0" applyNumberFormat="1" applyFont="1" applyFill="1" applyBorder="1"/>
    <xf numFmtId="178" fontId="15" fillId="0" borderId="97" xfId="0" applyNumberFormat="1" applyFont="1" applyFill="1" applyBorder="1"/>
    <xf numFmtId="178" fontId="15" fillId="0" borderId="73" xfId="0" applyNumberFormat="1" applyFont="1" applyFill="1" applyBorder="1"/>
    <xf numFmtId="0" fontId="15" fillId="0" borderId="47" xfId="0" applyNumberFormat="1" applyFont="1" applyFill="1" applyBorder="1" applyAlignment="1" applyProtection="1">
      <alignment horizontal="left" indent="2"/>
    </xf>
    <xf numFmtId="178" fontId="15" fillId="0" borderId="8" xfId="0" applyNumberFormat="1" applyFont="1" applyFill="1" applyBorder="1" applyProtection="1">
      <protection locked="0"/>
    </xf>
    <xf numFmtId="178" fontId="15" fillId="0" borderId="3" xfId="0" applyNumberFormat="1" applyFont="1" applyFill="1" applyBorder="1" applyProtection="1">
      <protection locked="0"/>
    </xf>
    <xf numFmtId="178" fontId="15" fillId="0" borderId="0" xfId="0" applyNumberFormat="1" applyFont="1" applyFill="1" applyBorder="1" applyProtection="1">
      <protection locked="0"/>
    </xf>
    <xf numFmtId="0" fontId="17" fillId="0" borderId="103" xfId="0" applyFont="1" applyBorder="1" applyAlignment="1">
      <alignment horizontal="center"/>
    </xf>
    <xf numFmtId="0" fontId="15" fillId="0" borderId="70" xfId="0" applyNumberFormat="1" applyFont="1" applyBorder="1" applyAlignment="1" applyProtection="1">
      <alignment horizontal="left" indent="1"/>
    </xf>
    <xf numFmtId="0" fontId="19" fillId="0" borderId="47" xfId="0" applyNumberFormat="1" applyFont="1" applyBorder="1" applyProtection="1"/>
    <xf numFmtId="0" fontId="17" fillId="0" borderId="68" xfId="0" applyNumberFormat="1" applyFont="1" applyBorder="1" applyProtection="1"/>
    <xf numFmtId="178" fontId="17" fillId="0" borderId="60" xfId="0" applyNumberFormat="1" applyFont="1" applyFill="1" applyBorder="1" applyProtection="1"/>
    <xf numFmtId="178" fontId="17" fillId="0" borderId="61" xfId="0" applyNumberFormat="1" applyFont="1" applyFill="1" applyBorder="1" applyProtection="1"/>
    <xf numFmtId="178" fontId="17" fillId="0" borderId="62" xfId="0" applyNumberFormat="1" applyFont="1" applyFill="1" applyBorder="1" applyProtection="1"/>
    <xf numFmtId="178" fontId="17" fillId="0" borderId="59" xfId="0" applyNumberFormat="1" applyFont="1" applyFill="1" applyBorder="1" applyProtection="1"/>
    <xf numFmtId="178" fontId="17" fillId="0" borderId="63" xfId="0" applyNumberFormat="1" applyFont="1" applyFill="1" applyBorder="1" applyProtection="1"/>
    <xf numFmtId="178" fontId="15" fillId="0" borderId="63" xfId="0" applyNumberFormat="1" applyFont="1" applyFill="1" applyBorder="1" applyAlignment="1">
      <alignment vertical="top"/>
    </xf>
    <xf numFmtId="178" fontId="15" fillId="0" borderId="60" xfId="0" applyNumberFormat="1" applyFont="1" applyFill="1" applyBorder="1" applyAlignment="1">
      <alignment vertical="top"/>
    </xf>
    <xf numFmtId="178" fontId="15" fillId="0" borderId="102" xfId="0" applyNumberFormat="1" applyFont="1" applyFill="1" applyBorder="1" applyAlignment="1">
      <alignment vertical="top"/>
    </xf>
    <xf numFmtId="178" fontId="15" fillId="0" borderId="86" xfId="0" applyNumberFormat="1" applyFont="1" applyFill="1" applyBorder="1" applyAlignment="1">
      <alignment vertical="top"/>
    </xf>
    <xf numFmtId="178" fontId="15" fillId="0" borderId="59" xfId="0" applyNumberFormat="1" applyFont="1" applyFill="1" applyBorder="1" applyAlignment="1">
      <alignment vertical="top"/>
    </xf>
    <xf numFmtId="0" fontId="15" fillId="0" borderId="1" xfId="0" applyFont="1" applyFill="1" applyBorder="1" applyAlignment="1">
      <alignment horizontal="left" indent="2"/>
    </xf>
    <xf numFmtId="0" fontId="15" fillId="0" borderId="101" xfId="0" applyNumberFormat="1" applyFont="1" applyBorder="1" applyAlignment="1">
      <alignment horizontal="center" vertical="center"/>
    </xf>
    <xf numFmtId="178" fontId="17" fillId="0" borderId="46" xfId="0" applyNumberFormat="1" applyFont="1" applyFill="1" applyBorder="1" applyAlignment="1">
      <alignment horizontal="center"/>
    </xf>
    <xf numFmtId="178" fontId="17" fillId="0" borderId="49" xfId="0" applyNumberFormat="1" applyFont="1" applyFill="1" applyBorder="1" applyAlignment="1">
      <alignment horizontal="right"/>
    </xf>
    <xf numFmtId="178" fontId="17" fillId="0" borderId="50" xfId="0" applyNumberFormat="1" applyFont="1" applyFill="1" applyBorder="1" applyAlignment="1">
      <alignment horizontal="right"/>
    </xf>
    <xf numFmtId="178" fontId="17" fillId="0" borderId="46" xfId="0" applyNumberFormat="1" applyFont="1" applyFill="1" applyBorder="1" applyAlignment="1">
      <alignment horizontal="right"/>
    </xf>
    <xf numFmtId="178" fontId="17" fillId="0" borderId="48" xfId="0" applyNumberFormat="1" applyFont="1" applyFill="1" applyBorder="1" applyAlignment="1">
      <alignment horizontal="right"/>
    </xf>
    <xf numFmtId="0" fontId="15" fillId="0" borderId="67" xfId="0" applyFont="1" applyFill="1" applyBorder="1" applyAlignment="1">
      <alignment horizontal="left" vertical="top" wrapText="1"/>
    </xf>
    <xf numFmtId="172" fontId="15" fillId="0" borderId="6" xfId="0" applyNumberFormat="1" applyFont="1" applyBorder="1"/>
    <xf numFmtId="0" fontId="15" fillId="0" borderId="51" xfId="0" applyNumberFormat="1" applyFont="1" applyBorder="1" applyAlignment="1">
      <alignment horizontal="center"/>
    </xf>
    <xf numFmtId="0" fontId="15" fillId="0" borderId="80" xfId="0" applyNumberFormat="1" applyFont="1" applyBorder="1" applyAlignment="1">
      <alignment horizontal="center"/>
    </xf>
    <xf numFmtId="184" fontId="15" fillId="0" borderId="79" xfId="0" applyNumberFormat="1" applyFont="1" applyBorder="1" applyAlignment="1">
      <alignment horizontal="center"/>
    </xf>
    <xf numFmtId="0" fontId="17" fillId="0" borderId="64" xfId="0" applyFont="1" applyBorder="1" applyAlignment="1">
      <alignment vertical="center" wrapText="1"/>
    </xf>
    <xf numFmtId="178" fontId="15" fillId="0" borderId="51" xfId="0" applyNumberFormat="1" applyFont="1" applyFill="1" applyBorder="1" applyAlignment="1">
      <alignment vertical="top"/>
    </xf>
    <xf numFmtId="178" fontId="15" fillId="0" borderId="46" xfId="0" applyNumberFormat="1" applyFont="1" applyFill="1" applyBorder="1" applyAlignment="1">
      <alignment vertical="top"/>
    </xf>
    <xf numFmtId="178" fontId="15" fillId="0" borderId="80" xfId="0" applyNumberFormat="1" applyFont="1" applyFill="1" applyBorder="1" applyAlignment="1">
      <alignment vertical="top"/>
    </xf>
    <xf numFmtId="178" fontId="15" fillId="0" borderId="79" xfId="0" applyNumberFormat="1" applyFont="1" applyFill="1" applyBorder="1" applyAlignment="1">
      <alignment vertical="top"/>
    </xf>
    <xf numFmtId="178" fontId="15" fillId="0" borderId="48" xfId="0" applyNumberFormat="1" applyFont="1" applyFill="1" applyBorder="1" applyAlignment="1">
      <alignment vertical="top"/>
    </xf>
    <xf numFmtId="0" fontId="17" fillId="0" borderId="62" xfId="0" applyNumberFormat="1" applyFont="1" applyBorder="1" applyProtection="1"/>
    <xf numFmtId="0" fontId="15" fillId="0" borderId="60" xfId="0" applyNumberFormat="1" applyFont="1" applyBorder="1" applyAlignment="1" applyProtection="1">
      <alignment horizontal="center"/>
    </xf>
    <xf numFmtId="0" fontId="17" fillId="0" borderId="62" xfId="0" applyFont="1" applyBorder="1" applyAlignment="1" applyProtection="1">
      <alignment horizontal="left"/>
    </xf>
    <xf numFmtId="178" fontId="17" fillId="0" borderId="60" xfId="0" applyNumberFormat="1" applyFont="1" applyBorder="1" applyAlignment="1" applyProtection="1">
      <alignment horizontal="right"/>
    </xf>
    <xf numFmtId="178" fontId="17" fillId="0" borderId="61" xfId="0" applyNumberFormat="1" applyFont="1" applyBorder="1" applyAlignment="1" applyProtection="1">
      <alignment horizontal="right"/>
    </xf>
    <xf numFmtId="178" fontId="17" fillId="0" borderId="62" xfId="0" applyNumberFormat="1" applyFont="1" applyBorder="1" applyAlignment="1" applyProtection="1">
      <alignment horizontal="right"/>
    </xf>
    <xf numFmtId="178" fontId="17" fillId="0" borderId="59" xfId="0" applyNumberFormat="1" applyFont="1" applyBorder="1" applyAlignment="1" applyProtection="1">
      <alignment horizontal="right"/>
    </xf>
    <xf numFmtId="178" fontId="17" fillId="0" borderId="63" xfId="0" applyNumberFormat="1" applyFont="1" applyBorder="1" applyAlignment="1" applyProtection="1">
      <alignment horizontal="right"/>
    </xf>
    <xf numFmtId="178" fontId="17" fillId="0" borderId="60" xfId="0" applyNumberFormat="1" applyFont="1" applyBorder="1" applyProtection="1"/>
    <xf numFmtId="178" fontId="17" fillId="0" borderId="61" xfId="0" applyNumberFormat="1" applyFont="1" applyBorder="1" applyProtection="1"/>
    <xf numFmtId="178" fontId="17" fillId="0" borderId="62" xfId="0" applyNumberFormat="1" applyFont="1" applyBorder="1" applyProtection="1"/>
    <xf numFmtId="178" fontId="17" fillId="0" borderId="59" xfId="0" applyNumberFormat="1" applyFont="1" applyBorder="1" applyProtection="1"/>
    <xf numFmtId="178" fontId="17" fillId="0" borderId="63" xfId="0" applyNumberFormat="1" applyFont="1" applyBorder="1" applyProtection="1"/>
    <xf numFmtId="0" fontId="17" fillId="0" borderId="62" xfId="0" applyNumberFormat="1" applyFont="1" applyBorder="1" applyAlignment="1">
      <alignment horizontal="left" vertical="top" wrapText="1"/>
    </xf>
    <xf numFmtId="0" fontId="15" fillId="0" borderId="60" xfId="0" applyFont="1" applyBorder="1" applyAlignment="1">
      <alignment horizontal="center" vertical="top"/>
    </xf>
    <xf numFmtId="178" fontId="17" fillId="0" borderId="60" xfId="0" applyNumberFormat="1" applyFont="1" applyBorder="1" applyAlignment="1">
      <alignment vertical="top"/>
    </xf>
    <xf numFmtId="178" fontId="17" fillId="0" borderId="61" xfId="0" applyNumberFormat="1" applyFont="1" applyBorder="1" applyAlignment="1">
      <alignment vertical="top"/>
    </xf>
    <xf numFmtId="178" fontId="17" fillId="0" borderId="62" xfId="0" applyNumberFormat="1" applyFont="1" applyBorder="1" applyAlignment="1">
      <alignment vertical="top"/>
    </xf>
    <xf numFmtId="178" fontId="17" fillId="0" borderId="63" xfId="0" applyNumberFormat="1" applyFont="1" applyBorder="1" applyAlignment="1">
      <alignment vertical="top"/>
    </xf>
    <xf numFmtId="0" fontId="17" fillId="0" borderId="62" xfId="0" applyNumberFormat="1" applyFont="1" applyBorder="1" applyAlignment="1">
      <alignment vertical="top"/>
    </xf>
    <xf numFmtId="178" fontId="17" fillId="0" borderId="104" xfId="0" applyNumberFormat="1" applyFont="1" applyBorder="1"/>
    <xf numFmtId="0" fontId="15" fillId="0" borderId="86" xfId="0" applyFont="1" applyBorder="1" applyAlignment="1">
      <alignment horizontal="center"/>
    </xf>
    <xf numFmtId="0" fontId="27" fillId="0" borderId="0" xfId="11"/>
    <xf numFmtId="0" fontId="5" fillId="0" borderId="0" xfId="0" applyFont="1" applyProtection="1">
      <protection locked="0"/>
    </xf>
    <xf numFmtId="0" fontId="5" fillId="0" borderId="0" xfId="0" applyFont="1" applyAlignment="1" applyProtection="1">
      <alignment horizontal="center"/>
      <protection locked="0"/>
    </xf>
    <xf numFmtId="0" fontId="5" fillId="0" borderId="1" xfId="0" applyFont="1" applyBorder="1" applyAlignment="1" applyProtection="1">
      <alignment horizontal="center"/>
      <protection locked="0"/>
    </xf>
    <xf numFmtId="0" fontId="5" fillId="0" borderId="0" xfId="0" applyFont="1" applyBorder="1" applyProtection="1">
      <protection locked="0"/>
    </xf>
    <xf numFmtId="0" fontId="5" fillId="0" borderId="8" xfId="0" applyFont="1" applyBorder="1" applyProtection="1">
      <protection locked="0"/>
    </xf>
    <xf numFmtId="0" fontId="5" fillId="0" borderId="8" xfId="0" applyFont="1" applyBorder="1" applyAlignment="1" applyProtection="1">
      <alignment horizontal="center"/>
      <protection locked="0"/>
    </xf>
    <xf numFmtId="0" fontId="5" fillId="0" borderId="3" xfId="0" applyFont="1" applyBorder="1" applyProtection="1">
      <protection locked="0"/>
    </xf>
    <xf numFmtId="0" fontId="5" fillId="0" borderId="0" xfId="0" quotePrefix="1" applyFont="1" applyBorder="1" applyProtection="1">
      <protection locked="0"/>
    </xf>
    <xf numFmtId="0" fontId="5" fillId="0" borderId="5" xfId="0" applyFont="1" applyBorder="1" applyAlignment="1" applyProtection="1">
      <alignment horizontal="center"/>
      <protection locked="0"/>
    </xf>
    <xf numFmtId="0" fontId="5" fillId="0" borderId="4" xfId="0" applyFont="1" applyBorder="1" applyProtection="1">
      <protection locked="0"/>
    </xf>
    <xf numFmtId="0" fontId="5" fillId="0" borderId="9" xfId="0" applyFont="1" applyBorder="1" applyProtection="1">
      <protection locked="0"/>
    </xf>
    <xf numFmtId="0" fontId="5" fillId="0" borderId="10"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0" xfId="0" applyFont="1" applyBorder="1" applyAlignment="1" applyProtection="1">
      <alignment horizontal="center"/>
      <protection locked="0"/>
    </xf>
    <xf numFmtId="0" fontId="8" fillId="0" borderId="0" xfId="0" applyFont="1" applyFill="1" applyBorder="1" applyAlignment="1" applyProtection="1">
      <alignment horizontal="center"/>
      <protection locked="0"/>
    </xf>
    <xf numFmtId="0" fontId="5" fillId="0" borderId="7" xfId="0" applyFont="1" applyBorder="1" applyProtection="1">
      <protection locked="0"/>
    </xf>
    <xf numFmtId="0" fontId="5" fillId="0" borderId="3" xfId="0" applyFont="1" applyBorder="1" applyAlignment="1" applyProtection="1">
      <alignment horizontal="center"/>
      <protection locked="0"/>
    </xf>
    <xf numFmtId="0" fontId="5" fillId="0" borderId="10" xfId="0" applyFont="1" applyBorder="1" applyProtection="1">
      <protection locked="0"/>
    </xf>
    <xf numFmtId="0" fontId="5" fillId="0" borderId="7" xfId="0" applyFont="1" applyBorder="1" applyAlignment="1" applyProtection="1">
      <alignment horizontal="center"/>
      <protection locked="0"/>
    </xf>
    <xf numFmtId="0" fontId="5" fillId="0" borderId="8" xfId="0" applyFont="1" applyBorder="1" applyAlignment="1" applyProtection="1">
      <alignment horizontal="center" wrapText="1"/>
      <protection locked="0"/>
    </xf>
    <xf numFmtId="0" fontId="5" fillId="0" borderId="6" xfId="0" applyFont="1" applyBorder="1" applyAlignment="1" applyProtection="1">
      <alignment horizontal="center"/>
      <protection locked="0"/>
    </xf>
    <xf numFmtId="0" fontId="20" fillId="0" borderId="0" xfId="0" applyFont="1" applyFill="1" applyBorder="1" applyAlignment="1" applyProtection="1">
      <alignment horizontal="left"/>
    </xf>
    <xf numFmtId="178" fontId="17" fillId="0" borderId="67" xfId="0" applyNumberFormat="1" applyFont="1" applyFill="1" applyBorder="1" applyProtection="1"/>
    <xf numFmtId="178" fontId="17" fillId="0" borderId="76" xfId="0" applyNumberFormat="1" applyFont="1" applyFill="1" applyBorder="1" applyProtection="1"/>
    <xf numFmtId="178" fontId="17" fillId="0" borderId="99" xfId="0" applyNumberFormat="1" applyFont="1" applyFill="1" applyBorder="1" applyProtection="1"/>
    <xf numFmtId="178" fontId="20" fillId="0" borderId="0" xfId="0" applyNumberFormat="1" applyFont="1" applyBorder="1" applyAlignment="1" applyProtection="1">
      <alignment horizontal="right"/>
    </xf>
    <xf numFmtId="178" fontId="20" fillId="0" borderId="0" xfId="1" applyNumberFormat="1" applyFont="1" applyBorder="1" applyAlignment="1" applyProtection="1">
      <alignment horizontal="right"/>
    </xf>
    <xf numFmtId="0" fontId="20" fillId="0" borderId="0" xfId="0" applyFont="1" applyProtection="1"/>
    <xf numFmtId="0" fontId="20" fillId="0" borderId="0" xfId="0" quotePrefix="1" applyNumberFormat="1" applyFont="1" applyBorder="1" applyProtection="1"/>
    <xf numFmtId="0" fontId="20" fillId="0" borderId="0" xfId="7" applyFont="1" applyAlignment="1" applyProtection="1"/>
    <xf numFmtId="0" fontId="20" fillId="0" borderId="0" xfId="0" applyNumberFormat="1" applyFont="1" applyProtection="1"/>
    <xf numFmtId="0" fontId="21" fillId="0" borderId="0" xfId="0" applyNumberFormat="1" applyFont="1" applyProtection="1"/>
    <xf numFmtId="0" fontId="21" fillId="0" borderId="0" xfId="0" applyNumberFormat="1" applyFont="1" applyBorder="1" applyAlignment="1" applyProtection="1">
      <alignment vertical="center" wrapText="1"/>
    </xf>
    <xf numFmtId="0" fontId="21" fillId="0" borderId="0" xfId="0" applyFont="1" applyFill="1" applyBorder="1" applyAlignment="1" applyProtection="1">
      <alignment vertical="center" wrapText="1"/>
    </xf>
    <xf numFmtId="0" fontId="21" fillId="0" borderId="0" xfId="0" applyNumberFormat="1" applyFont="1" applyFill="1" applyBorder="1" applyAlignment="1" applyProtection="1">
      <alignment vertical="center" wrapText="1"/>
    </xf>
    <xf numFmtId="178" fontId="15" fillId="0" borderId="80" xfId="0" applyNumberFormat="1" applyFont="1" applyFill="1" applyBorder="1" applyProtection="1"/>
    <xf numFmtId="178" fontId="15" fillId="0" borderId="104" xfId="0" applyNumberFormat="1" applyFont="1" applyFill="1" applyBorder="1" applyProtection="1"/>
    <xf numFmtId="178" fontId="15" fillId="0" borderId="67" xfId="0" applyNumberFormat="1" applyFont="1" applyFill="1" applyBorder="1" applyProtection="1"/>
    <xf numFmtId="178" fontId="15" fillId="0" borderId="99" xfId="0" applyNumberFormat="1" applyFont="1" applyFill="1" applyBorder="1" applyProtection="1"/>
    <xf numFmtId="0" fontId="20" fillId="0" borderId="0" xfId="0" applyNumberFormat="1" applyFont="1" applyBorder="1" applyAlignment="1" applyProtection="1">
      <alignment horizontal="left" vertical="top"/>
    </xf>
    <xf numFmtId="0" fontId="20" fillId="0" borderId="3" xfId="0" applyNumberFormat="1" applyFont="1" applyFill="1" applyBorder="1" applyAlignment="1" applyProtection="1">
      <alignment horizontal="left" indent="1"/>
    </xf>
    <xf numFmtId="0" fontId="20" fillId="0" borderId="42" xfId="0" applyNumberFormat="1" applyFont="1" applyFill="1" applyBorder="1" applyAlignment="1" applyProtection="1">
      <alignment horizontal="center"/>
    </xf>
    <xf numFmtId="0" fontId="20" fillId="0" borderId="0" xfId="0" applyNumberFormat="1" applyFont="1" applyFill="1" applyBorder="1" applyAlignment="1" applyProtection="1">
      <alignment horizontal="center"/>
    </xf>
    <xf numFmtId="0" fontId="17" fillId="0" borderId="64" xfId="0" applyFont="1" applyFill="1" applyBorder="1" applyAlignment="1">
      <alignment horizontal="left" vertical="center"/>
    </xf>
    <xf numFmtId="0" fontId="15" fillId="0" borderId="47" xfId="0" applyNumberFormat="1" applyFont="1" applyFill="1" applyBorder="1" applyAlignment="1">
      <alignment horizontal="left" indent="2"/>
    </xf>
    <xf numFmtId="0" fontId="15" fillId="0" borderId="47" xfId="0" applyNumberFormat="1" applyFont="1" applyBorder="1" applyAlignment="1">
      <alignment horizontal="left" indent="2"/>
    </xf>
    <xf numFmtId="0" fontId="15" fillId="0" borderId="47" xfId="0" applyFont="1" applyBorder="1"/>
    <xf numFmtId="0" fontId="17" fillId="0" borderId="4" xfId="0" applyNumberFormat="1" applyFont="1" applyBorder="1" applyAlignment="1" applyProtection="1">
      <alignment wrapText="1"/>
    </xf>
    <xf numFmtId="0" fontId="15" fillId="0" borderId="12" xfId="0" applyNumberFormat="1" applyFont="1" applyBorder="1" applyAlignment="1">
      <alignment horizontal="center"/>
    </xf>
    <xf numFmtId="0" fontId="30" fillId="0" borderId="9" xfId="0" applyFont="1" applyFill="1" applyBorder="1" applyAlignment="1" applyProtection="1">
      <alignment horizontal="left"/>
    </xf>
    <xf numFmtId="0" fontId="4" fillId="0" borderId="0" xfId="0" applyFont="1" applyProtection="1">
      <protection hidden="1"/>
    </xf>
    <xf numFmtId="0" fontId="4" fillId="0" borderId="0" xfId="0" applyFont="1" applyProtection="1"/>
    <xf numFmtId="0" fontId="4" fillId="0" borderId="0" xfId="0" applyFont="1"/>
    <xf numFmtId="0" fontId="4" fillId="0" borderId="0" xfId="0" applyFont="1" applyBorder="1" applyProtection="1">
      <protection hidden="1"/>
    </xf>
    <xf numFmtId="0" fontId="6" fillId="0" borderId="0" xfId="0" applyFont="1" applyBorder="1" applyAlignment="1" applyProtection="1">
      <alignment horizontal="left" vertical="center" wrapText="1"/>
    </xf>
    <xf numFmtId="0" fontId="6" fillId="0" borderId="0" xfId="0" applyFont="1" applyFill="1" applyBorder="1" applyAlignment="1" applyProtection="1">
      <alignment horizontal="left" vertical="center" wrapText="1"/>
    </xf>
    <xf numFmtId="0" fontId="6" fillId="0" borderId="0" xfId="0" quotePrefix="1" applyNumberFormat="1" applyFont="1" applyProtection="1"/>
    <xf numFmtId="0" fontId="31" fillId="0" borderId="0" xfId="0" applyFont="1" applyProtection="1"/>
    <xf numFmtId="0" fontId="31" fillId="0" borderId="0" xfId="0" applyNumberFormat="1" applyFont="1" applyProtection="1"/>
    <xf numFmtId="0" fontId="4" fillId="0" borderId="0" xfId="0" applyFont="1" applyAlignment="1" applyProtection="1">
      <alignment vertical="center"/>
      <protection hidden="1"/>
    </xf>
    <xf numFmtId="0" fontId="31" fillId="0" borderId="0" xfId="0" applyFont="1" applyAlignment="1" applyProtection="1">
      <alignment vertical="center"/>
    </xf>
    <xf numFmtId="0" fontId="4" fillId="0" borderId="0" xfId="0" applyFont="1" applyAlignment="1">
      <alignment vertical="center"/>
    </xf>
    <xf numFmtId="0" fontId="6" fillId="0" borderId="0" xfId="0" applyFont="1" applyAlignment="1" applyProtection="1">
      <alignment vertical="center"/>
    </xf>
    <xf numFmtId="0" fontId="6" fillId="0" borderId="0" xfId="0" applyFont="1" applyProtection="1"/>
    <xf numFmtId="0" fontId="0" fillId="0" borderId="0" xfId="0" applyProtection="1"/>
    <xf numFmtId="0" fontId="6" fillId="0" borderId="0" xfId="0" applyFont="1" applyBorder="1" applyProtection="1"/>
    <xf numFmtId="0" fontId="6"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14" fillId="0" borderId="0" xfId="0" applyFont="1" applyProtection="1"/>
    <xf numFmtId="0" fontId="14" fillId="0" borderId="0" xfId="0" applyFont="1" applyProtection="1">
      <protection hidden="1"/>
    </xf>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0" fontId="31" fillId="0" borderId="0" xfId="0" applyFont="1" applyFill="1" applyProtection="1"/>
    <xf numFmtId="0" fontId="15" fillId="0" borderId="0" xfId="0" applyFont="1" applyFill="1" applyProtection="1"/>
    <xf numFmtId="178" fontId="15" fillId="0" borderId="42" xfId="1" applyNumberFormat="1" applyFont="1" applyFill="1" applyBorder="1" applyProtection="1"/>
    <xf numFmtId="178" fontId="15" fillId="0" borderId="8" xfId="1" applyNumberFormat="1" applyFont="1" applyFill="1" applyBorder="1" applyProtection="1"/>
    <xf numFmtId="178" fontId="15" fillId="0" borderId="3" xfId="1" applyNumberFormat="1" applyFont="1" applyFill="1" applyBorder="1" applyProtection="1"/>
    <xf numFmtId="178" fontId="15" fillId="0" borderId="0" xfId="1" applyNumberFormat="1" applyFont="1" applyFill="1" applyBorder="1" applyProtection="1"/>
    <xf numFmtId="178" fontId="15" fillId="0" borderId="47" xfId="1" applyNumberFormat="1" applyFont="1" applyFill="1" applyBorder="1" applyProtection="1"/>
    <xf numFmtId="178" fontId="17" fillId="0" borderId="47" xfId="0" applyNumberFormat="1" applyFont="1" applyFill="1" applyBorder="1"/>
    <xf numFmtId="0" fontId="20" fillId="0" borderId="3" xfId="0" applyNumberFormat="1" applyFont="1" applyFill="1" applyBorder="1" applyAlignment="1">
      <alignment horizontal="left" indent="2"/>
    </xf>
    <xf numFmtId="178" fontId="15" fillId="0" borderId="42" xfId="0" applyNumberFormat="1" applyFont="1" applyFill="1" applyBorder="1" applyAlignment="1" applyProtection="1">
      <alignment horizontal="right"/>
    </xf>
    <xf numFmtId="178" fontId="15" fillId="0" borderId="0" xfId="0" applyNumberFormat="1" applyFont="1" applyFill="1" applyBorder="1" applyAlignment="1" applyProtection="1">
      <alignment horizontal="right"/>
    </xf>
    <xf numFmtId="178" fontId="15" fillId="0" borderId="46" xfId="0" applyNumberFormat="1" applyFont="1" applyFill="1" applyBorder="1" applyAlignment="1">
      <alignment horizontal="right"/>
    </xf>
    <xf numFmtId="178" fontId="15" fillId="0" borderId="48" xfId="0" applyNumberFormat="1" applyFont="1" applyFill="1" applyBorder="1" applyAlignment="1">
      <alignment horizontal="right"/>
    </xf>
    <xf numFmtId="178" fontId="15" fillId="0" borderId="50" xfId="0" applyNumberFormat="1" applyFont="1" applyFill="1" applyBorder="1" applyAlignment="1">
      <alignment horizontal="right"/>
    </xf>
    <xf numFmtId="178" fontId="15" fillId="0" borderId="49" xfId="0" applyNumberFormat="1" applyFont="1" applyFill="1" applyBorder="1" applyAlignment="1">
      <alignment horizontal="right"/>
    </xf>
    <xf numFmtId="0" fontId="5" fillId="0" borderId="1" xfId="0" applyFont="1" applyBorder="1" applyAlignment="1" applyProtection="1">
      <alignment horizontal="center"/>
    </xf>
    <xf numFmtId="0" fontId="5" fillId="0" borderId="0" xfId="0" applyFont="1" applyBorder="1" applyProtection="1"/>
    <xf numFmtId="0" fontId="5" fillId="0" borderId="8" xfId="0" applyFont="1" applyBorder="1" applyAlignment="1" applyProtection="1">
      <alignment horizontal="center"/>
    </xf>
    <xf numFmtId="0" fontId="5" fillId="0" borderId="3" xfId="0" applyFont="1" applyBorder="1" applyProtection="1"/>
    <xf numFmtId="0" fontId="5" fillId="0" borderId="3" xfId="0" quotePrefix="1" applyFont="1" applyBorder="1" applyProtection="1"/>
    <xf numFmtId="0" fontId="5" fillId="0" borderId="12" xfId="0" applyFont="1" applyBorder="1" applyAlignment="1" applyProtection="1">
      <alignment horizontal="center"/>
    </xf>
    <xf numFmtId="0" fontId="5" fillId="0" borderId="7" xfId="0" applyFont="1" applyBorder="1" applyProtection="1"/>
    <xf numFmtId="0" fontId="5" fillId="0" borderId="8" xfId="0" applyFont="1" applyBorder="1" applyProtection="1"/>
    <xf numFmtId="0" fontId="5" fillId="0" borderId="10" xfId="0" applyFont="1" applyBorder="1" applyProtection="1"/>
    <xf numFmtId="0" fontId="5" fillId="0" borderId="0" xfId="0" applyFont="1" applyAlignment="1" applyProtection="1">
      <alignment horizontal="center"/>
    </xf>
    <xf numFmtId="0" fontId="8" fillId="6" borderId="2" xfId="0" applyFont="1" applyFill="1" applyBorder="1" applyAlignment="1" applyProtection="1">
      <alignment horizontal="center"/>
    </xf>
    <xf numFmtId="0" fontId="8" fillId="11" borderId="34" xfId="0" applyFont="1" applyFill="1" applyBorder="1" applyAlignment="1" applyProtection="1">
      <alignment horizontal="center"/>
    </xf>
    <xf numFmtId="0" fontId="8" fillId="11" borderId="2" xfId="0" applyFont="1" applyFill="1" applyBorder="1" applyAlignment="1" applyProtection="1">
      <alignment horizontal="center"/>
    </xf>
    <xf numFmtId="0" fontId="5" fillId="0" borderId="0" xfId="0" applyFont="1" applyFill="1" applyBorder="1" applyProtection="1"/>
    <xf numFmtId="0" fontId="7" fillId="0" borderId="0" xfId="0" applyFont="1" applyBorder="1" applyProtection="1"/>
    <xf numFmtId="0" fontId="5" fillId="0" borderId="9" xfId="0" applyFont="1" applyBorder="1" applyProtection="1"/>
    <xf numFmtId="0" fontId="5" fillId="0" borderId="5" xfId="0" applyFont="1" applyBorder="1" applyAlignment="1" applyProtection="1">
      <alignment horizontal="center"/>
    </xf>
    <xf numFmtId="0" fontId="8" fillId="6" borderId="34" xfId="0" applyFont="1" applyFill="1" applyBorder="1" applyAlignment="1" applyProtection="1">
      <alignment horizontal="center"/>
    </xf>
    <xf numFmtId="0" fontId="5" fillId="0" borderId="11" xfId="0" applyFont="1" applyBorder="1" applyAlignment="1" applyProtection="1">
      <alignment horizontal="center"/>
    </xf>
    <xf numFmtId="0" fontId="5" fillId="0" borderId="6" xfId="0" applyFont="1" applyBorder="1" applyProtection="1"/>
    <xf numFmtId="0" fontId="16" fillId="12" borderId="17" xfId="0" applyFont="1" applyFill="1" applyBorder="1" applyAlignment="1" applyProtection="1"/>
    <xf numFmtId="0" fontId="16" fillId="12" borderId="17" xfId="0" applyFont="1" applyFill="1" applyBorder="1" applyAlignment="1" applyProtection="1">
      <alignment horizontal="center"/>
    </xf>
    <xf numFmtId="0" fontId="16" fillId="12" borderId="2" xfId="0" applyFont="1" applyFill="1" applyBorder="1" applyAlignment="1" applyProtection="1">
      <alignment horizontal="center"/>
    </xf>
    <xf numFmtId="0" fontId="5" fillId="0" borderId="3" xfId="0" applyFont="1" applyBorder="1" applyAlignment="1" applyProtection="1">
      <alignment horizontal="center"/>
    </xf>
    <xf numFmtId="0" fontId="5" fillId="0" borderId="12" xfId="0" applyFont="1" applyBorder="1" applyAlignment="1" applyProtection="1">
      <alignment horizontal="left"/>
    </xf>
    <xf numFmtId="0" fontId="5" fillId="0" borderId="3" xfId="0" applyFont="1" applyBorder="1" applyAlignment="1" applyProtection="1">
      <alignment horizontal="left"/>
    </xf>
    <xf numFmtId="0" fontId="5" fillId="0" borderId="4" xfId="0" applyFont="1" applyBorder="1" applyAlignment="1" applyProtection="1">
      <alignment horizontal="left"/>
    </xf>
    <xf numFmtId="0" fontId="5" fillId="0" borderId="10" xfId="0" applyFont="1" applyBorder="1" applyAlignment="1" applyProtection="1">
      <alignment horizontal="center"/>
    </xf>
    <xf numFmtId="178" fontId="17" fillId="0" borderId="102" xfId="0" applyNumberFormat="1" applyFont="1" applyFill="1" applyBorder="1" applyProtection="1"/>
    <xf numFmtId="178" fontId="17" fillId="0" borderId="86" xfId="0" applyNumberFormat="1" applyFont="1" applyFill="1" applyBorder="1" applyProtection="1"/>
    <xf numFmtId="178" fontId="17" fillId="0" borderId="105" xfId="0" applyNumberFormat="1" applyFont="1" applyFill="1" applyBorder="1" applyProtection="1"/>
    <xf numFmtId="178" fontId="17" fillId="0" borderId="80" xfId="0" applyNumberFormat="1" applyFont="1" applyFill="1" applyBorder="1" applyProtection="1"/>
    <xf numFmtId="178" fontId="17" fillId="0" borderId="79" xfId="0" applyNumberFormat="1" applyFont="1" applyFill="1" applyBorder="1" applyProtection="1"/>
    <xf numFmtId="178" fontId="17" fillId="0" borderId="104" xfId="0" applyNumberFormat="1" applyFont="1" applyFill="1" applyBorder="1" applyProtection="1"/>
    <xf numFmtId="178" fontId="15" fillId="0" borderId="42" xfId="0" applyNumberFormat="1" applyFont="1" applyFill="1" applyBorder="1" applyAlignment="1" applyProtection="1">
      <alignment horizontal="center"/>
    </xf>
    <xf numFmtId="178" fontId="15" fillId="0" borderId="8" xfId="0" applyNumberFormat="1" applyFont="1" applyFill="1" applyBorder="1" applyAlignment="1" applyProtection="1">
      <alignment horizontal="right"/>
    </xf>
    <xf numFmtId="178" fontId="15" fillId="0" borderId="3" xfId="0" applyNumberFormat="1" applyFont="1" applyFill="1" applyBorder="1" applyAlignment="1" applyProtection="1">
      <alignment horizontal="right"/>
    </xf>
    <xf numFmtId="0" fontId="20" fillId="0" borderId="0" xfId="0" applyNumberFormat="1" applyFont="1" applyFill="1" applyBorder="1" applyProtection="1"/>
    <xf numFmtId="178" fontId="17" fillId="0" borderId="80" xfId="0" applyNumberFormat="1" applyFont="1" applyFill="1" applyBorder="1"/>
    <xf numFmtId="178" fontId="17" fillId="0" borderId="79" xfId="0" applyNumberFormat="1" applyFont="1" applyFill="1" applyBorder="1"/>
    <xf numFmtId="178" fontId="17" fillId="0" borderId="104"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4" fillId="0" borderId="0" xfId="0" applyFont="1" applyFill="1" applyProtection="1"/>
    <xf numFmtId="0" fontId="29" fillId="0" borderId="0" xfId="0" applyFont="1" applyFill="1" applyProtection="1"/>
    <xf numFmtId="0" fontId="17" fillId="13" borderId="5" xfId="0" applyFont="1" applyFill="1" applyBorder="1" applyAlignment="1" applyProtection="1">
      <alignment horizontal="left" vertical="top" wrapText="1"/>
      <protection locked="0"/>
    </xf>
    <xf numFmtId="0" fontId="32" fillId="0" borderId="0" xfId="0" applyFont="1" applyAlignment="1">
      <alignment wrapText="1"/>
    </xf>
    <xf numFmtId="0" fontId="17" fillId="13" borderId="2" xfId="0" applyFont="1" applyFill="1" applyBorder="1" applyAlignment="1" applyProtection="1">
      <alignment horizontal="left" vertical="top" wrapText="1"/>
      <protection locked="0"/>
    </xf>
    <xf numFmtId="0" fontId="17" fillId="14" borderId="2" xfId="0" applyFont="1" applyFill="1" applyBorder="1" applyAlignment="1" applyProtection="1">
      <alignment horizontal="left" vertical="top" wrapText="1" indent="1"/>
      <protection locked="0"/>
    </xf>
    <xf numFmtId="0" fontId="17" fillId="15" borderId="2" xfId="0" applyFont="1" applyFill="1" applyBorder="1" applyAlignment="1" applyProtection="1">
      <alignment horizontal="left" vertical="top" wrapText="1" indent="2"/>
      <protection locked="0"/>
    </xf>
    <xf numFmtId="0" fontId="15" fillId="0" borderId="1" xfId="0" applyFont="1" applyFill="1" applyBorder="1" applyAlignment="1">
      <alignment horizontal="left" indent="1"/>
    </xf>
    <xf numFmtId="0" fontId="15" fillId="0" borderId="1" xfId="0" applyNumberFormat="1" applyFont="1" applyBorder="1" applyAlignment="1">
      <alignment horizontal="left" vertical="top" indent="1"/>
    </xf>
    <xf numFmtId="0" fontId="19" fillId="0" borderId="1" xfId="0" applyFont="1" applyFill="1" applyBorder="1" applyAlignment="1">
      <alignment horizontal="left" indent="1"/>
    </xf>
    <xf numFmtId="0" fontId="26" fillId="0" borderId="0" xfId="0" applyFont="1"/>
    <xf numFmtId="0" fontId="26" fillId="0" borderId="36" xfId="0" applyFont="1" applyBorder="1" applyAlignment="1"/>
    <xf numFmtId="0" fontId="17" fillId="0" borderId="88" xfId="0" applyNumberFormat="1" applyFont="1" applyBorder="1" applyAlignment="1">
      <alignment horizontal="left"/>
    </xf>
    <xf numFmtId="0" fontId="17" fillId="0" borderId="42" xfId="0" applyNumberFormat="1" applyFont="1" applyBorder="1" applyAlignment="1">
      <alignment horizontal="center"/>
    </xf>
    <xf numFmtId="0" fontId="22" fillId="0" borderId="3" xfId="0" applyFont="1" applyFill="1" applyBorder="1" applyAlignment="1">
      <alignment horizontal="left" indent="1"/>
    </xf>
    <xf numFmtId="0" fontId="20" fillId="0" borderId="3" xfId="0" applyFont="1" applyFill="1" applyBorder="1" applyAlignment="1">
      <alignment horizontal="left" indent="2"/>
    </xf>
    <xf numFmtId="0" fontId="18" fillId="0" borderId="3" xfId="0" applyFont="1" applyBorder="1" applyAlignment="1">
      <alignment horizontal="right" indent="1"/>
    </xf>
    <xf numFmtId="0" fontId="20" fillId="0" borderId="3" xfId="0" applyNumberFormat="1" applyFont="1" applyBorder="1" applyAlignment="1" applyProtection="1">
      <alignment horizontal="right" indent="1"/>
    </xf>
    <xf numFmtId="0" fontId="17" fillId="0" borderId="47" xfId="0" applyNumberFormat="1" applyFont="1" applyBorder="1"/>
    <xf numFmtId="0" fontId="19" fillId="0" borderId="47" xfId="0" applyNumberFormat="1" applyFont="1" applyBorder="1" applyAlignment="1">
      <alignment horizontal="left" indent="1"/>
    </xf>
    <xf numFmtId="0" fontId="20" fillId="0" borderId="47" xfId="0" applyNumberFormat="1" applyFont="1" applyFill="1" applyBorder="1" applyAlignment="1">
      <alignment horizontal="left" indent="2"/>
    </xf>
    <xf numFmtId="0" fontId="15" fillId="0" borderId="47" xfId="0" applyFont="1" applyBorder="1" applyAlignment="1">
      <alignment horizontal="left" indent="2"/>
    </xf>
    <xf numFmtId="0" fontId="17" fillId="0" borderId="56" xfId="0" applyFont="1" applyBorder="1"/>
    <xf numFmtId="0" fontId="17" fillId="0" borderId="12" xfId="0" applyFont="1" applyBorder="1"/>
    <xf numFmtId="0" fontId="17" fillId="0" borderId="17" xfId="0" applyFont="1" applyBorder="1"/>
    <xf numFmtId="0" fontId="17" fillId="0" borderId="3" xfId="0" applyFont="1" applyFill="1" applyBorder="1" applyAlignment="1">
      <alignment horizontal="left" indent="1"/>
    </xf>
    <xf numFmtId="0" fontId="17" fillId="2" borderId="7" xfId="0" applyFont="1" applyFill="1" applyBorder="1" applyAlignment="1">
      <alignment horizontal="center" vertical="top" wrapText="1"/>
    </xf>
    <xf numFmtId="0" fontId="17" fillId="2" borderId="11" xfId="0" applyFont="1" applyFill="1" applyBorder="1" applyAlignment="1">
      <alignment horizontal="center" vertical="top" wrapText="1"/>
    </xf>
    <xf numFmtId="0" fontId="14" fillId="0" borderId="47" xfId="0" applyFont="1" applyFill="1" applyBorder="1" applyAlignment="1">
      <alignment horizontal="left" vertical="top" wrapText="1" indent="3"/>
    </xf>
    <xf numFmtId="0" fontId="15" fillId="0" borderId="0" xfId="0" applyFont="1" applyFill="1" applyAlignment="1">
      <alignment horizontal="right"/>
    </xf>
    <xf numFmtId="170" fontId="15" fillId="0" borderId="0" xfId="0" applyNumberFormat="1" applyFont="1" applyFill="1"/>
    <xf numFmtId="0" fontId="15" fillId="0" borderId="0" xfId="0" applyFont="1" applyFill="1" applyBorder="1" applyAlignment="1" applyProtection="1">
      <protection locked="0"/>
    </xf>
    <xf numFmtId="0" fontId="26" fillId="0" borderId="0" xfId="0" applyFont="1" applyFill="1"/>
    <xf numFmtId="0" fontId="15" fillId="0" borderId="0" xfId="0" applyFont="1" applyFill="1" applyAlignment="1">
      <alignment vertical="top"/>
    </xf>
    <xf numFmtId="0" fontId="15" fillId="0" borderId="0" xfId="0" applyFont="1" applyFill="1" applyAlignment="1"/>
    <xf numFmtId="0" fontId="15" fillId="0" borderId="0" xfId="0" applyFont="1" applyFill="1" applyAlignment="1">
      <alignment wrapText="1"/>
    </xf>
    <xf numFmtId="178" fontId="15" fillId="0" borderId="0" xfId="0" applyNumberFormat="1" applyFont="1" applyFill="1" applyProtection="1">
      <protection locked="0"/>
    </xf>
    <xf numFmtId="0" fontId="17" fillId="0" borderId="0" xfId="0" applyNumberFormat="1" applyFont="1" applyBorder="1"/>
    <xf numFmtId="0" fontId="19" fillId="0" borderId="12" xfId="0" applyFont="1" applyBorder="1"/>
    <xf numFmtId="0" fontId="15" fillId="0" borderId="11" xfId="0" applyFont="1" applyBorder="1" applyAlignment="1">
      <alignment horizontal="center"/>
    </xf>
    <xf numFmtId="178" fontId="17" fillId="0" borderId="75" xfId="0" applyNumberFormat="1" applyFont="1" applyBorder="1"/>
    <xf numFmtId="0" fontId="15" fillId="0" borderId="1" xfId="0" applyFont="1" applyBorder="1" applyAlignment="1">
      <alignment horizontal="center"/>
    </xf>
    <xf numFmtId="0" fontId="15" fillId="0" borderId="5" xfId="0" applyFont="1" applyBorder="1" applyAlignment="1">
      <alignment horizontal="center"/>
    </xf>
    <xf numFmtId="178" fontId="17" fillId="0" borderId="104" xfId="0" applyNumberFormat="1" applyFont="1" applyBorder="1" applyAlignment="1">
      <alignment horizontal="right"/>
    </xf>
    <xf numFmtId="178" fontId="17" fillId="0" borderId="79" xfId="0" applyNumberFormat="1" applyFont="1" applyBorder="1" applyAlignment="1">
      <alignment horizontal="right"/>
    </xf>
    <xf numFmtId="178" fontId="17" fillId="0" borderId="44" xfId="0" applyNumberFormat="1" applyFont="1" applyBorder="1" applyAlignment="1">
      <alignment horizontal="right"/>
    </xf>
    <xf numFmtId="178" fontId="17" fillId="0" borderId="84" xfId="0" applyNumberFormat="1" applyFont="1" applyBorder="1" applyAlignment="1">
      <alignment horizontal="right"/>
    </xf>
    <xf numFmtId="178" fontId="17" fillId="0" borderId="88" xfId="0" applyNumberFormat="1" applyFont="1" applyBorder="1" applyAlignment="1">
      <alignment horizontal="right"/>
    </xf>
    <xf numFmtId="0" fontId="17" fillId="0" borderId="62" xfId="0" applyNumberFormat="1" applyFont="1" applyFill="1" applyBorder="1" applyAlignment="1">
      <alignment wrapText="1"/>
    </xf>
    <xf numFmtId="174" fontId="15" fillId="0" borderId="99" xfId="12" applyNumberFormat="1" applyFont="1" applyFill="1" applyBorder="1" applyAlignment="1">
      <alignment horizontal="center"/>
    </xf>
    <xf numFmtId="0" fontId="15" fillId="0" borderId="8" xfId="0" applyFont="1" applyBorder="1"/>
    <xf numFmtId="0" fontId="19" fillId="0" borderId="0" xfId="0" applyFont="1" applyBorder="1"/>
    <xf numFmtId="0" fontId="15" fillId="0" borderId="0" xfId="0" applyFont="1" applyFill="1" applyBorder="1" applyAlignment="1"/>
    <xf numFmtId="0" fontId="15" fillId="0" borderId="1" xfId="0" applyFont="1" applyBorder="1"/>
    <xf numFmtId="171" fontId="15" fillId="0" borderId="1" xfId="13" applyNumberFormat="1" applyFont="1" applyBorder="1" applyAlignment="1"/>
    <xf numFmtId="171" fontId="15" fillId="0" borderId="1" xfId="13" applyNumberFormat="1" applyFont="1" applyBorder="1"/>
    <xf numFmtId="10" fontId="15" fillId="0" borderId="1" xfId="13" applyNumberFormat="1" applyFont="1" applyFill="1" applyBorder="1" applyProtection="1"/>
    <xf numFmtId="0" fontId="15" fillId="0" borderId="0" xfId="0" applyFont="1" applyBorder="1" applyAlignment="1">
      <alignment wrapText="1"/>
    </xf>
    <xf numFmtId="178" fontId="15" fillId="0" borderId="1" xfId="0" applyNumberFormat="1" applyFont="1" applyBorder="1" applyAlignment="1">
      <alignment horizontal="left" wrapText="1"/>
    </xf>
    <xf numFmtId="178" fontId="15" fillId="0" borderId="11" xfId="0" applyNumberFormat="1" applyFont="1" applyBorder="1" applyAlignment="1">
      <alignment horizontal="left" wrapText="1"/>
    </xf>
    <xf numFmtId="0" fontId="15" fillId="0" borderId="7" xfId="0" applyFont="1" applyBorder="1" applyAlignment="1">
      <alignment horizontal="center"/>
    </xf>
    <xf numFmtId="0" fontId="19" fillId="0" borderId="7" xfId="0" applyFont="1" applyBorder="1"/>
    <xf numFmtId="0" fontId="15" fillId="0" borderId="11" xfId="0" applyFont="1" applyBorder="1"/>
    <xf numFmtId="0" fontId="15" fillId="0" borderId="9" xfId="0" applyFont="1" applyBorder="1"/>
    <xf numFmtId="0" fontId="15" fillId="0" borderId="10" xfId="0" applyFont="1" applyBorder="1"/>
    <xf numFmtId="171" fontId="15" fillId="0" borderId="5" xfId="13" applyNumberFormat="1" applyFont="1" applyBorder="1"/>
    <xf numFmtId="175" fontId="15" fillId="0" borderId="5" xfId="0" applyNumberFormat="1" applyFont="1" applyBorder="1"/>
    <xf numFmtId="0" fontId="15" fillId="0" borderId="9" xfId="0" applyFont="1" applyFill="1" applyBorder="1" applyAlignment="1"/>
    <xf numFmtId="178" fontId="15" fillId="0" borderId="5" xfId="0" applyNumberFormat="1" applyFont="1" applyFill="1" applyBorder="1"/>
    <xf numFmtId="0" fontId="15" fillId="0" borderId="76" xfId="0" applyFont="1" applyBorder="1"/>
    <xf numFmtId="174" fontId="15" fillId="0" borderId="36" xfId="0" applyNumberFormat="1" applyFont="1" applyBorder="1" applyAlignment="1">
      <alignment horizontal="center"/>
    </xf>
    <xf numFmtId="174" fontId="15" fillId="0" borderId="42" xfId="0" quotePrefix="1" applyNumberFormat="1" applyFont="1" applyBorder="1" applyAlignment="1">
      <alignment horizontal="center"/>
    </xf>
    <xf numFmtId="0" fontId="15" fillId="0" borderId="43" xfId="0" applyFont="1" applyBorder="1"/>
    <xf numFmtId="178" fontId="15" fillId="0" borderId="36" xfId="0" quotePrefix="1" applyNumberFormat="1" applyFont="1" applyBorder="1" applyAlignment="1">
      <alignment horizontal="center"/>
    </xf>
    <xf numFmtId="0" fontId="15" fillId="0" borderId="106" xfId="0" applyFont="1" applyBorder="1"/>
    <xf numFmtId="178" fontId="15" fillId="0" borderId="76" xfId="0" applyNumberFormat="1" applyFont="1" applyBorder="1" applyAlignment="1">
      <alignment horizontal="center"/>
    </xf>
    <xf numFmtId="0" fontId="15" fillId="0" borderId="99" xfId="0" applyFont="1" applyBorder="1"/>
    <xf numFmtId="174" fontId="15" fillId="0" borderId="77" xfId="0" applyNumberFormat="1" applyFont="1" applyBorder="1" applyAlignment="1">
      <alignment horizontal="center"/>
    </xf>
    <xf numFmtId="174" fontId="15" fillId="0" borderId="76" xfId="0" quotePrefix="1" applyNumberFormat="1" applyFont="1" applyBorder="1" applyAlignment="1">
      <alignment horizontal="center"/>
    </xf>
    <xf numFmtId="178" fontId="15" fillId="0" borderId="77" xfId="0" quotePrefix="1" applyNumberFormat="1" applyFont="1" applyBorder="1" applyAlignment="1">
      <alignment horizontal="center"/>
    </xf>
    <xf numFmtId="0" fontId="5" fillId="17" borderId="11" xfId="0" applyFont="1" applyFill="1" applyBorder="1" applyAlignment="1" applyProtection="1">
      <alignment horizontal="center"/>
      <protection locked="0"/>
    </xf>
    <xf numFmtId="17" fontId="5" fillId="17" borderId="6" xfId="0" quotePrefix="1" applyNumberFormat="1" applyFont="1" applyFill="1" applyBorder="1" applyProtection="1">
      <protection locked="0"/>
    </xf>
    <xf numFmtId="0" fontId="5" fillId="17" borderId="6" xfId="0" applyFont="1" applyFill="1" applyBorder="1" applyProtection="1">
      <protection locked="0"/>
    </xf>
    <xf numFmtId="0" fontId="5" fillId="17" borderId="7" xfId="0" applyFont="1" applyFill="1" applyBorder="1" applyProtection="1">
      <protection locked="0"/>
    </xf>
    <xf numFmtId="0" fontId="5" fillId="17" borderId="1" xfId="0" applyFont="1" applyFill="1" applyBorder="1" applyAlignment="1" applyProtection="1">
      <alignment horizontal="center"/>
      <protection locked="0"/>
    </xf>
    <xf numFmtId="0" fontId="5" fillId="17" borderId="0" xfId="0" quotePrefix="1" applyFont="1" applyFill="1" applyBorder="1" applyProtection="1">
      <protection locked="0"/>
    </xf>
    <xf numFmtId="0" fontId="5" fillId="17" borderId="0" xfId="0" applyFont="1" applyFill="1" applyBorder="1" applyProtection="1">
      <protection locked="0"/>
    </xf>
    <xf numFmtId="0" fontId="5" fillId="17" borderId="8" xfId="0" applyFont="1" applyFill="1" applyBorder="1" applyProtection="1">
      <protection locked="0"/>
    </xf>
    <xf numFmtId="0" fontId="5" fillId="17" borderId="0" xfId="0" applyFont="1" applyFill="1" applyAlignment="1" applyProtection="1">
      <alignment horizontal="center"/>
      <protection locked="0"/>
    </xf>
    <xf numFmtId="0" fontId="5" fillId="17" borderId="0" xfId="0" applyFont="1" applyFill="1" applyAlignment="1" applyProtection="1">
      <alignment wrapText="1"/>
      <protection locked="0"/>
    </xf>
    <xf numFmtId="0" fontId="5" fillId="17" borderId="0" xfId="0" applyFont="1" applyFill="1" applyProtection="1">
      <protection locked="0"/>
    </xf>
    <xf numFmtId="0" fontId="5" fillId="17" borderId="0" xfId="0" applyFont="1" applyFill="1" applyAlignment="1" applyProtection="1">
      <alignment horizontal="left"/>
      <protection locked="0"/>
    </xf>
    <xf numFmtId="178" fontId="15" fillId="17" borderId="42" xfId="0" applyNumberFormat="1" applyFont="1" applyFill="1" applyBorder="1" applyProtection="1">
      <protection locked="0"/>
    </xf>
    <xf numFmtId="178" fontId="15" fillId="17" borderId="67" xfId="0" applyNumberFormat="1" applyFont="1" applyFill="1" applyBorder="1" applyProtection="1">
      <protection locked="0"/>
    </xf>
    <xf numFmtId="178" fontId="15" fillId="17" borderId="47" xfId="0" applyNumberFormat="1" applyFont="1" applyFill="1" applyBorder="1" applyProtection="1">
      <protection locked="0"/>
    </xf>
    <xf numFmtId="178" fontId="15" fillId="17" borderId="76" xfId="0" applyNumberFormat="1" applyFont="1" applyFill="1" applyBorder="1" applyProtection="1">
      <protection locked="0"/>
    </xf>
    <xf numFmtId="178" fontId="15" fillId="17" borderId="99" xfId="0" applyNumberFormat="1" applyFont="1" applyFill="1" applyBorder="1" applyProtection="1">
      <protection locked="0"/>
    </xf>
    <xf numFmtId="178" fontId="15" fillId="17" borderId="46" xfId="0" applyNumberFormat="1" applyFont="1" applyFill="1" applyBorder="1" applyProtection="1">
      <protection locked="0"/>
    </xf>
    <xf numFmtId="178" fontId="15" fillId="17" borderId="80" xfId="0" applyNumberFormat="1" applyFont="1" applyFill="1" applyBorder="1" applyProtection="1">
      <protection locked="0"/>
    </xf>
    <xf numFmtId="178" fontId="15" fillId="17" borderId="51" xfId="0" applyNumberFormat="1" applyFont="1" applyFill="1" applyBorder="1" applyProtection="1">
      <protection locked="0"/>
    </xf>
    <xf numFmtId="178" fontId="15" fillId="17" borderId="79" xfId="0" applyNumberFormat="1" applyFont="1" applyFill="1" applyBorder="1" applyProtection="1">
      <protection locked="0"/>
    </xf>
    <xf numFmtId="178" fontId="17" fillId="17" borderId="46" xfId="0" applyNumberFormat="1" applyFont="1" applyFill="1" applyBorder="1" applyProtection="1">
      <protection locked="0"/>
    </xf>
    <xf numFmtId="178" fontId="17" fillId="17" borderId="80" xfId="0" applyNumberFormat="1" applyFont="1" applyFill="1" applyBorder="1" applyProtection="1">
      <protection locked="0"/>
    </xf>
    <xf numFmtId="178" fontId="17" fillId="17" borderId="79" xfId="0" applyNumberFormat="1" applyFont="1" applyFill="1" applyBorder="1" applyProtection="1">
      <protection locked="0"/>
    </xf>
    <xf numFmtId="178" fontId="17" fillId="17" borderId="104" xfId="0" applyNumberFormat="1" applyFont="1" applyFill="1" applyBorder="1" applyProtection="1">
      <protection locked="0"/>
    </xf>
    <xf numFmtId="178" fontId="15" fillId="17" borderId="42" xfId="0" applyNumberFormat="1" applyFont="1" applyFill="1" applyBorder="1" applyAlignment="1" applyProtection="1">
      <alignment horizontal="right"/>
      <protection locked="0"/>
    </xf>
    <xf numFmtId="178" fontId="15" fillId="17" borderId="8" xfId="0" applyNumberFormat="1" applyFont="1" applyFill="1" applyBorder="1" applyAlignment="1" applyProtection="1">
      <alignment horizontal="right"/>
      <protection locked="0"/>
    </xf>
    <xf numFmtId="178" fontId="15" fillId="17" borderId="3" xfId="0" applyNumberFormat="1" applyFont="1" applyFill="1" applyBorder="1" applyAlignment="1" applyProtection="1">
      <alignment horizontal="right"/>
      <protection locked="0"/>
    </xf>
    <xf numFmtId="178" fontId="15" fillId="17" borderId="0" xfId="0" applyNumberFormat="1" applyFont="1" applyFill="1" applyBorder="1" applyAlignment="1" applyProtection="1">
      <alignment horizontal="right"/>
      <protection locked="0"/>
    </xf>
    <xf numFmtId="178" fontId="15" fillId="17" borderId="47" xfId="0" applyNumberFormat="1" applyFont="1" applyFill="1" applyBorder="1" applyAlignment="1" applyProtection="1">
      <alignment horizontal="right"/>
      <protection locked="0"/>
    </xf>
    <xf numFmtId="178" fontId="15" fillId="17" borderId="76" xfId="0" applyNumberFormat="1" applyFont="1" applyFill="1" applyBorder="1" applyAlignment="1" applyProtection="1">
      <alignment horizontal="right"/>
      <protection locked="0"/>
    </xf>
    <xf numFmtId="0" fontId="15" fillId="17" borderId="3" xfId="0" applyFont="1" applyFill="1" applyBorder="1" applyAlignment="1" applyProtection="1">
      <alignment horizontal="left" indent="1"/>
      <protection locked="0"/>
    </xf>
    <xf numFmtId="178" fontId="15" fillId="17" borderId="8" xfId="0" applyNumberFormat="1" applyFont="1" applyFill="1" applyBorder="1" applyProtection="1">
      <protection locked="0"/>
    </xf>
    <xf numFmtId="178" fontId="15" fillId="17" borderId="3" xfId="0" applyNumberFormat="1" applyFont="1" applyFill="1" applyBorder="1" applyProtection="1">
      <protection locked="0"/>
    </xf>
    <xf numFmtId="178" fontId="15" fillId="17" borderId="0" xfId="0" applyNumberFormat="1" applyFont="1" applyFill="1" applyBorder="1" applyProtection="1">
      <protection locked="0"/>
    </xf>
    <xf numFmtId="178" fontId="15" fillId="17" borderId="42" xfId="1" applyNumberFormat="1" applyFont="1" applyFill="1" applyBorder="1" applyProtection="1">
      <protection locked="0"/>
    </xf>
    <xf numFmtId="178" fontId="15" fillId="17" borderId="8" xfId="1" applyNumberFormat="1" applyFont="1" applyFill="1" applyBorder="1" applyProtection="1">
      <protection locked="0"/>
    </xf>
    <xf numFmtId="178" fontId="15" fillId="17" borderId="3" xfId="1" applyNumberFormat="1" applyFont="1" applyFill="1" applyBorder="1" applyProtection="1">
      <protection locked="0"/>
    </xf>
    <xf numFmtId="178" fontId="15" fillId="17" borderId="0" xfId="1" applyNumberFormat="1" applyFont="1" applyFill="1" applyBorder="1" applyProtection="1">
      <protection locked="0"/>
    </xf>
    <xf numFmtId="178" fontId="15" fillId="17" borderId="47" xfId="1" applyNumberFormat="1" applyFont="1" applyFill="1" applyBorder="1" applyProtection="1">
      <protection locked="0"/>
    </xf>
    <xf numFmtId="178" fontId="17" fillId="17" borderId="3" xfId="1" applyNumberFormat="1" applyFont="1" applyFill="1" applyBorder="1" applyProtection="1">
      <protection locked="0"/>
    </xf>
    <xf numFmtId="178" fontId="17" fillId="17" borderId="42" xfId="1" applyNumberFormat="1" applyFont="1" applyFill="1" applyBorder="1" applyProtection="1">
      <protection locked="0"/>
    </xf>
    <xf numFmtId="178" fontId="17" fillId="17" borderId="8" xfId="1" applyNumberFormat="1" applyFont="1" applyFill="1" applyBorder="1" applyProtection="1">
      <protection locked="0"/>
    </xf>
    <xf numFmtId="178" fontId="17" fillId="17" borderId="47" xfId="1" applyNumberFormat="1" applyFont="1" applyFill="1" applyBorder="1" applyProtection="1">
      <protection locked="0"/>
    </xf>
    <xf numFmtId="178" fontId="15" fillId="17" borderId="76" xfId="1" applyNumberFormat="1" applyFont="1" applyFill="1" applyBorder="1" applyProtection="1">
      <protection locked="0"/>
    </xf>
    <xf numFmtId="178" fontId="17" fillId="17" borderId="42" xfId="0" applyNumberFormat="1" applyFont="1" applyFill="1" applyBorder="1" applyProtection="1">
      <protection locked="0"/>
    </xf>
    <xf numFmtId="178" fontId="17" fillId="17" borderId="8" xfId="0" applyNumberFormat="1" applyFont="1" applyFill="1" applyBorder="1" applyProtection="1">
      <protection locked="0"/>
    </xf>
    <xf numFmtId="178" fontId="17" fillId="17" borderId="3" xfId="0" applyNumberFormat="1" applyFont="1" applyFill="1" applyBorder="1" applyProtection="1">
      <protection locked="0"/>
    </xf>
    <xf numFmtId="178" fontId="17" fillId="17" borderId="0" xfId="0" applyNumberFormat="1" applyFont="1" applyFill="1" applyBorder="1" applyProtection="1">
      <protection locked="0"/>
    </xf>
    <xf numFmtId="178" fontId="17" fillId="17" borderId="71" xfId="0" applyNumberFormat="1" applyFont="1" applyFill="1" applyBorder="1" applyProtection="1">
      <protection locked="0"/>
    </xf>
    <xf numFmtId="178" fontId="17" fillId="17" borderId="47" xfId="0" applyNumberFormat="1" applyFont="1" applyFill="1" applyBorder="1" applyProtection="1">
      <protection locked="0"/>
    </xf>
    <xf numFmtId="0" fontId="15" fillId="17" borderId="0" xfId="0" applyFont="1" applyFill="1" applyProtection="1">
      <protection locked="0"/>
    </xf>
    <xf numFmtId="0" fontId="22" fillId="17" borderId="0" xfId="0" applyFont="1" applyFill="1" applyProtection="1">
      <protection locked="0"/>
    </xf>
    <xf numFmtId="178" fontId="15" fillId="17" borderId="71" xfId="0" applyNumberFormat="1" applyFont="1" applyFill="1" applyBorder="1" applyProtection="1">
      <protection locked="0"/>
    </xf>
    <xf numFmtId="178" fontId="15" fillId="17" borderId="72" xfId="0" applyNumberFormat="1" applyFont="1" applyFill="1" applyBorder="1" applyProtection="1">
      <protection locked="0"/>
    </xf>
    <xf numFmtId="178" fontId="15" fillId="17" borderId="68" xfId="0" applyNumberFormat="1" applyFont="1" applyFill="1" applyBorder="1" applyProtection="1">
      <protection locked="0"/>
    </xf>
    <xf numFmtId="178" fontId="15" fillId="17" borderId="73" xfId="0" applyNumberFormat="1" applyFont="1" applyFill="1" applyBorder="1" applyProtection="1">
      <protection locked="0"/>
    </xf>
    <xf numFmtId="178" fontId="15" fillId="17" borderId="97" xfId="0" applyNumberFormat="1" applyFont="1" applyFill="1" applyBorder="1" applyProtection="1">
      <protection locked="0"/>
    </xf>
    <xf numFmtId="179" fontId="15" fillId="17" borderId="42" xfId="0" applyNumberFormat="1" applyFont="1" applyFill="1" applyBorder="1" applyProtection="1">
      <protection locked="0"/>
    </xf>
    <xf numFmtId="179" fontId="15" fillId="17" borderId="8" xfId="0" applyNumberFormat="1" applyFont="1" applyFill="1" applyBorder="1" applyProtection="1">
      <protection locked="0"/>
    </xf>
    <xf numFmtId="179" fontId="15" fillId="17" borderId="3" xfId="1" applyNumberFormat="1" applyFont="1" applyFill="1" applyBorder="1" applyProtection="1">
      <protection locked="0"/>
    </xf>
    <xf numFmtId="179" fontId="15" fillId="17" borderId="0" xfId="0" applyNumberFormat="1" applyFont="1" applyFill="1" applyBorder="1" applyProtection="1">
      <protection locked="0"/>
    </xf>
    <xf numFmtId="179" fontId="15" fillId="17" borderId="47" xfId="0" applyNumberFormat="1" applyFont="1" applyFill="1" applyBorder="1" applyProtection="1">
      <protection locked="0"/>
    </xf>
    <xf numFmtId="179" fontId="15" fillId="17" borderId="42" xfId="1" applyNumberFormat="1" applyFont="1" applyFill="1" applyBorder="1" applyProtection="1">
      <protection locked="0"/>
    </xf>
    <xf numFmtId="179" fontId="15" fillId="17" borderId="8" xfId="1" applyNumberFormat="1" applyFont="1" applyFill="1" applyBorder="1" applyProtection="1">
      <protection locked="0"/>
    </xf>
    <xf numFmtId="179" fontId="15" fillId="17" borderId="0" xfId="1" applyNumberFormat="1" applyFont="1" applyFill="1" applyBorder="1" applyProtection="1">
      <protection locked="0"/>
    </xf>
    <xf numFmtId="179" fontId="15" fillId="17" borderId="71" xfId="0" applyNumberFormat="1" applyFont="1" applyFill="1" applyBorder="1" applyProtection="1">
      <protection locked="0"/>
    </xf>
    <xf numFmtId="179" fontId="15" fillId="17" borderId="72" xfId="0" applyNumberFormat="1" applyFont="1" applyFill="1" applyBorder="1" applyProtection="1">
      <protection locked="0"/>
    </xf>
    <xf numFmtId="179" fontId="15" fillId="17" borderId="70" xfId="0" applyNumberFormat="1" applyFont="1" applyFill="1" applyBorder="1" applyProtection="1">
      <protection locked="0"/>
    </xf>
    <xf numFmtId="172" fontId="15" fillId="17" borderId="42" xfId="0" applyNumberFormat="1" applyFont="1" applyFill="1" applyBorder="1" applyProtection="1">
      <protection locked="0"/>
    </xf>
    <xf numFmtId="172" fontId="15" fillId="17" borderId="8" xfId="0" applyNumberFormat="1" applyFont="1" applyFill="1" applyBorder="1" applyProtection="1">
      <protection locked="0"/>
    </xf>
    <xf numFmtId="172" fontId="15" fillId="17" borderId="0" xfId="0" applyNumberFormat="1" applyFont="1" applyFill="1" applyBorder="1" applyProtection="1">
      <protection locked="0"/>
    </xf>
    <xf numFmtId="172" fontId="15" fillId="17" borderId="47" xfId="0" applyNumberFormat="1" applyFont="1" applyFill="1" applyBorder="1" applyProtection="1">
      <protection locked="0"/>
    </xf>
    <xf numFmtId="172" fontId="15" fillId="17" borderId="71" xfId="0" applyNumberFormat="1" applyFont="1" applyFill="1" applyBorder="1" applyProtection="1">
      <protection locked="0"/>
    </xf>
    <xf numFmtId="172" fontId="15" fillId="17" borderId="72" xfId="0" applyNumberFormat="1" applyFont="1" applyFill="1" applyBorder="1" applyProtection="1">
      <protection locked="0"/>
    </xf>
    <xf numFmtId="172" fontId="15" fillId="17" borderId="70" xfId="0" applyNumberFormat="1" applyFont="1" applyFill="1" applyBorder="1" applyProtection="1">
      <protection locked="0"/>
    </xf>
    <xf numFmtId="172" fontId="17" fillId="17" borderId="42" xfId="0" applyNumberFormat="1" applyFont="1" applyFill="1" applyBorder="1" applyProtection="1">
      <protection locked="0"/>
    </xf>
    <xf numFmtId="172" fontId="17" fillId="17" borderId="8" xfId="0" applyNumberFormat="1" applyFont="1" applyFill="1" applyBorder="1" applyProtection="1">
      <protection locked="0"/>
    </xf>
    <xf numFmtId="172" fontId="17" fillId="17" borderId="47" xfId="0" applyNumberFormat="1" applyFont="1" applyFill="1" applyBorder="1" applyProtection="1">
      <protection locked="0"/>
    </xf>
    <xf numFmtId="0" fontId="20" fillId="17" borderId="3" xfId="0" applyFont="1" applyFill="1" applyBorder="1" applyAlignment="1" applyProtection="1">
      <alignment horizontal="left" indent="1"/>
      <protection locked="0"/>
    </xf>
    <xf numFmtId="0" fontId="15" fillId="17" borderId="4" xfId="0" applyFont="1" applyFill="1" applyBorder="1" applyProtection="1">
      <protection locked="0"/>
    </xf>
    <xf numFmtId="178" fontId="15" fillId="17" borderId="43" xfId="0" applyNumberFormat="1" applyFont="1" applyFill="1" applyBorder="1" applyProtection="1">
      <protection locked="0"/>
    </xf>
    <xf numFmtId="178" fontId="15" fillId="17" borderId="7" xfId="0" applyNumberFormat="1" applyFont="1" applyFill="1" applyBorder="1" applyProtection="1">
      <protection locked="0"/>
    </xf>
    <xf numFmtId="178" fontId="15" fillId="17" borderId="12" xfId="0" applyNumberFormat="1" applyFont="1" applyFill="1" applyBorder="1" applyProtection="1">
      <protection locked="0"/>
    </xf>
    <xf numFmtId="178" fontId="15" fillId="17" borderId="6" xfId="0" applyNumberFormat="1" applyFont="1" applyFill="1" applyBorder="1" applyProtection="1">
      <protection locked="0"/>
    </xf>
    <xf numFmtId="178" fontId="15" fillId="17" borderId="45" xfId="0" applyNumberFormat="1" applyFont="1" applyFill="1" applyBorder="1" applyProtection="1">
      <protection locked="0"/>
    </xf>
    <xf numFmtId="178" fontId="15" fillId="17" borderId="36" xfId="0" applyNumberFormat="1" applyFont="1" applyFill="1" applyBorder="1" applyProtection="1">
      <protection locked="0"/>
    </xf>
    <xf numFmtId="178" fontId="15" fillId="17" borderId="10" xfId="0" applyNumberFormat="1" applyFont="1" applyFill="1" applyBorder="1" applyProtection="1">
      <protection locked="0"/>
    </xf>
    <xf numFmtId="178" fontId="15" fillId="17" borderId="4" xfId="0" applyNumberFormat="1" applyFont="1" applyFill="1" applyBorder="1" applyProtection="1">
      <protection locked="0"/>
    </xf>
    <xf numFmtId="178" fontId="15" fillId="17" borderId="9" xfId="0" applyNumberFormat="1" applyFont="1" applyFill="1" applyBorder="1" applyProtection="1">
      <protection locked="0"/>
    </xf>
    <xf numFmtId="178" fontId="15" fillId="17" borderId="64" xfId="0" applyNumberFormat="1" applyFont="1" applyFill="1" applyBorder="1" applyProtection="1">
      <protection locked="0"/>
    </xf>
    <xf numFmtId="0" fontId="15" fillId="17" borderId="3" xfId="0" applyFont="1" applyFill="1" applyBorder="1" applyAlignment="1" applyProtection="1">
      <alignment vertical="top" wrapText="1"/>
      <protection locked="0"/>
    </xf>
    <xf numFmtId="0" fontId="15" fillId="17" borderId="42" xfId="0" applyFont="1" applyFill="1" applyBorder="1" applyAlignment="1" applyProtection="1">
      <alignment vertical="top" wrapText="1"/>
      <protection locked="0"/>
    </xf>
    <xf numFmtId="178" fontId="15" fillId="17" borderId="42" xfId="0" applyNumberFormat="1" applyFont="1" applyFill="1" applyBorder="1" applyAlignment="1" applyProtection="1">
      <alignment vertical="top" wrapText="1"/>
      <protection locked="0"/>
    </xf>
    <xf numFmtId="178" fontId="15" fillId="17" borderId="8" xfId="0" applyNumberFormat="1" applyFont="1" applyFill="1" applyBorder="1" applyAlignment="1" applyProtection="1">
      <alignment vertical="top" wrapText="1"/>
      <protection locked="0"/>
    </xf>
    <xf numFmtId="178" fontId="15" fillId="17" borderId="3" xfId="0" applyNumberFormat="1" applyFont="1" applyFill="1" applyBorder="1" applyAlignment="1" applyProtection="1">
      <alignment vertical="top" wrapText="1"/>
      <protection locked="0"/>
    </xf>
    <xf numFmtId="178" fontId="15" fillId="17" borderId="0" xfId="0" applyNumberFormat="1" applyFont="1" applyFill="1" applyBorder="1" applyAlignment="1" applyProtection="1">
      <alignment vertical="top" wrapText="1"/>
      <protection locked="0"/>
    </xf>
    <xf numFmtId="178" fontId="15" fillId="17" borderId="47" xfId="0" applyNumberFormat="1" applyFont="1" applyFill="1" applyBorder="1" applyAlignment="1" applyProtection="1">
      <alignment vertical="top" wrapText="1"/>
      <protection locked="0"/>
    </xf>
    <xf numFmtId="0" fontId="17" fillId="17" borderId="42" xfId="0" applyFont="1" applyFill="1" applyBorder="1" applyAlignment="1" applyProtection="1">
      <alignment horizontal="center" vertical="top" wrapText="1"/>
      <protection locked="0"/>
    </xf>
    <xf numFmtId="0" fontId="17" fillId="17" borderId="8" xfId="0" applyFont="1" applyFill="1" applyBorder="1" applyAlignment="1" applyProtection="1">
      <alignment horizontal="left" vertical="top" wrapText="1"/>
      <protection locked="0"/>
    </xf>
    <xf numFmtId="171" fontId="15" fillId="17" borderId="8" xfId="12" applyNumberFormat="1" applyFont="1" applyFill="1" applyBorder="1" applyAlignment="1" applyProtection="1">
      <alignment horizontal="center" vertical="top" wrapText="1"/>
      <protection locked="0"/>
    </xf>
    <xf numFmtId="171" fontId="15" fillId="17" borderId="1" xfId="12" applyNumberFormat="1" applyFont="1" applyFill="1" applyBorder="1" applyAlignment="1" applyProtection="1">
      <alignment horizontal="center" vertical="top" wrapText="1"/>
      <protection locked="0"/>
    </xf>
    <xf numFmtId="171" fontId="15" fillId="17" borderId="11" xfId="12" applyNumberFormat="1" applyFont="1" applyFill="1" applyBorder="1" applyAlignment="1" applyProtection="1">
      <alignment horizontal="center" vertical="top" wrapText="1"/>
      <protection locked="0"/>
    </xf>
    <xf numFmtId="0" fontId="15" fillId="17" borderId="1" xfId="0" applyFont="1" applyFill="1" applyBorder="1" applyAlignment="1" applyProtection="1">
      <alignment horizontal="left" vertical="top" wrapText="1"/>
      <protection locked="0"/>
    </xf>
    <xf numFmtId="0" fontId="15" fillId="17" borderId="8" xfId="0" applyFont="1" applyFill="1" applyBorder="1" applyAlignment="1" applyProtection="1">
      <alignment horizontal="left" vertical="top" wrapText="1"/>
      <protection locked="0"/>
    </xf>
    <xf numFmtId="0" fontId="20" fillId="17" borderId="5" xfId="0" applyFont="1" applyFill="1" applyBorder="1" applyAlignment="1" applyProtection="1">
      <alignment horizontal="left" wrapText="1"/>
      <protection locked="0"/>
    </xf>
    <xf numFmtId="0" fontId="17" fillId="17" borderId="5" xfId="0" applyFont="1" applyFill="1" applyBorder="1" applyAlignment="1" applyProtection="1">
      <alignment horizontal="left" vertical="top" wrapText="1"/>
      <protection locked="0"/>
    </xf>
    <xf numFmtId="0" fontId="15" fillId="17" borderId="44" xfId="0" applyFont="1" applyFill="1" applyBorder="1" applyAlignment="1" applyProtection="1">
      <alignment horizontal="left" vertical="top" wrapText="1"/>
      <protection locked="0"/>
    </xf>
    <xf numFmtId="171" fontId="15" fillId="17" borderId="49" xfId="12" applyNumberFormat="1" applyFont="1" applyFill="1" applyBorder="1" applyAlignment="1" applyProtection="1">
      <alignment horizontal="center" vertical="top" wrapText="1"/>
      <protection locked="0"/>
    </xf>
    <xf numFmtId="171" fontId="15" fillId="17" borderId="44" xfId="12" applyNumberFormat="1" applyFont="1" applyFill="1" applyBorder="1" applyAlignment="1" applyProtection="1">
      <alignment horizontal="center" vertical="top" wrapText="1"/>
      <protection locked="0"/>
    </xf>
    <xf numFmtId="0" fontId="17" fillId="17" borderId="44" xfId="0" applyFont="1" applyFill="1" applyBorder="1" applyAlignment="1" applyProtection="1">
      <alignment horizontal="left" vertical="top" wrapText="1"/>
      <protection locked="0"/>
    </xf>
    <xf numFmtId="0" fontId="17" fillId="17" borderId="2" xfId="0" applyFont="1" applyFill="1" applyBorder="1" applyAlignment="1" applyProtection="1">
      <alignment horizontal="left" vertical="top" wrapText="1"/>
      <protection locked="0"/>
    </xf>
    <xf numFmtId="0" fontId="15" fillId="17" borderId="5" xfId="0" applyFont="1" applyFill="1" applyBorder="1" applyAlignment="1" applyProtection="1">
      <alignment horizontal="left" vertical="top" wrapText="1"/>
      <protection locked="0"/>
    </xf>
    <xf numFmtId="171" fontId="15" fillId="17" borderId="10" xfId="12" applyNumberFormat="1" applyFont="1" applyFill="1" applyBorder="1" applyAlignment="1" applyProtection="1">
      <alignment horizontal="center" vertical="top" wrapText="1"/>
      <protection locked="0"/>
    </xf>
    <xf numFmtId="171" fontId="15" fillId="17" borderId="5" xfId="12" applyNumberFormat="1" applyFont="1" applyFill="1" applyBorder="1" applyAlignment="1" applyProtection="1">
      <alignment horizontal="center" vertical="top" wrapText="1"/>
      <protection locked="0"/>
    </xf>
    <xf numFmtId="0" fontId="17" fillId="17" borderId="2" xfId="0" applyFont="1" applyFill="1" applyBorder="1" applyAlignment="1" applyProtection="1">
      <alignment horizontal="left" wrapText="1" indent="1"/>
      <protection locked="0"/>
    </xf>
    <xf numFmtId="179" fontId="15" fillId="17" borderId="99" xfId="12" applyNumberFormat="1" applyFont="1" applyFill="1" applyBorder="1" applyAlignment="1" applyProtection="1">
      <alignment horizontal="center" vertical="top" wrapText="1"/>
      <protection locked="0"/>
    </xf>
    <xf numFmtId="179" fontId="15" fillId="17" borderId="42" xfId="12" applyNumberFormat="1" applyFont="1" applyFill="1" applyBorder="1" applyAlignment="1" applyProtection="1">
      <alignment horizontal="center" vertical="top" wrapText="1"/>
      <protection locked="0"/>
    </xf>
    <xf numFmtId="179" fontId="15" fillId="17" borderId="8" xfId="12" applyNumberFormat="1" applyFont="1" applyFill="1" applyBorder="1" applyAlignment="1" applyProtection="1">
      <alignment horizontal="center" vertical="top" wrapText="1"/>
      <protection locked="0"/>
    </xf>
    <xf numFmtId="179" fontId="15" fillId="17" borderId="3" xfId="12" applyNumberFormat="1" applyFont="1" applyFill="1" applyBorder="1" applyAlignment="1" applyProtection="1">
      <alignment horizontal="center" vertical="top" wrapText="1"/>
      <protection locked="0"/>
    </xf>
    <xf numFmtId="179" fontId="15" fillId="17" borderId="0" xfId="12" applyNumberFormat="1" applyFont="1" applyFill="1" applyBorder="1" applyAlignment="1" applyProtection="1">
      <alignment horizontal="center" vertical="top" wrapText="1"/>
      <protection locked="0"/>
    </xf>
    <xf numFmtId="179" fontId="15" fillId="17" borderId="45" xfId="12" applyNumberFormat="1" applyFont="1" applyFill="1" applyBorder="1" applyAlignment="1" applyProtection="1">
      <alignment horizontal="center" vertical="top" wrapText="1"/>
      <protection locked="0"/>
    </xf>
    <xf numFmtId="0" fontId="20" fillId="17" borderId="2" xfId="0" applyFont="1" applyFill="1" applyBorder="1" applyAlignment="1" applyProtection="1">
      <alignment horizontal="left" wrapText="1" indent="1"/>
      <protection locked="0"/>
    </xf>
    <xf numFmtId="179" fontId="15" fillId="17" borderId="47" xfId="12" applyNumberFormat="1" applyFont="1" applyFill="1" applyBorder="1" applyAlignment="1" applyProtection="1">
      <alignment horizontal="center" vertical="top" wrapText="1"/>
      <protection locked="0"/>
    </xf>
    <xf numFmtId="0" fontId="20" fillId="17" borderId="11" xfId="0" applyFont="1" applyFill="1" applyBorder="1" applyAlignment="1" applyProtection="1">
      <alignment horizontal="left" wrapText="1" indent="1"/>
      <protection locked="0"/>
    </xf>
    <xf numFmtId="0" fontId="15" fillId="17" borderId="7" xfId="0" applyFont="1" applyFill="1" applyBorder="1" applyAlignment="1" applyProtection="1">
      <alignment horizontal="left" vertical="top" wrapText="1"/>
      <protection locked="0"/>
    </xf>
    <xf numFmtId="179" fontId="15" fillId="17" borderId="103" xfId="12" applyNumberFormat="1" applyFont="1" applyFill="1" applyBorder="1" applyAlignment="1" applyProtection="1">
      <alignment horizontal="center" vertical="top" wrapText="1"/>
      <protection locked="0"/>
    </xf>
    <xf numFmtId="179" fontId="15" fillId="17" borderId="43" xfId="12" applyNumberFormat="1" applyFont="1" applyFill="1" applyBorder="1" applyAlignment="1" applyProtection="1">
      <alignment horizontal="center" vertical="top" wrapText="1"/>
      <protection locked="0"/>
    </xf>
    <xf numFmtId="179" fontId="15" fillId="17" borderId="7" xfId="12" applyNumberFormat="1" applyFont="1" applyFill="1" applyBorder="1" applyAlignment="1" applyProtection="1">
      <alignment horizontal="center" vertical="top" wrapText="1"/>
      <protection locked="0"/>
    </xf>
    <xf numFmtId="179" fontId="15" fillId="17" borderId="12" xfId="12" applyNumberFormat="1" applyFont="1" applyFill="1" applyBorder="1" applyAlignment="1" applyProtection="1">
      <alignment horizontal="center" vertical="top" wrapText="1"/>
      <protection locked="0"/>
    </xf>
    <xf numFmtId="179" fontId="15" fillId="17" borderId="6" xfId="12" applyNumberFormat="1" applyFont="1" applyFill="1" applyBorder="1" applyAlignment="1" applyProtection="1">
      <alignment horizontal="center" vertical="top" wrapText="1"/>
      <protection locked="0"/>
    </xf>
    <xf numFmtId="0" fontId="15" fillId="17" borderId="8" xfId="0" applyFont="1" applyFill="1" applyBorder="1" applyAlignment="1" applyProtection="1">
      <alignment horizontal="left" wrapText="1"/>
      <protection locked="0"/>
    </xf>
    <xf numFmtId="179" fontId="15" fillId="17" borderId="99" xfId="0" applyNumberFormat="1" applyFont="1" applyFill="1" applyBorder="1" applyAlignment="1" applyProtection="1">
      <alignment horizontal="center" vertical="top" wrapText="1"/>
      <protection locked="0"/>
    </xf>
    <xf numFmtId="179" fontId="15" fillId="17" borderId="42" xfId="0" applyNumberFormat="1" applyFont="1" applyFill="1" applyBorder="1" applyAlignment="1" applyProtection="1">
      <alignment horizontal="center" vertical="top" wrapText="1"/>
      <protection locked="0"/>
    </xf>
    <xf numFmtId="179" fontId="15" fillId="17" borderId="8" xfId="0" applyNumberFormat="1" applyFont="1" applyFill="1" applyBorder="1" applyAlignment="1" applyProtection="1">
      <alignment horizontal="center" vertical="top" wrapText="1"/>
      <protection locked="0"/>
    </xf>
    <xf numFmtId="179" fontId="15" fillId="17" borderId="3" xfId="0" applyNumberFormat="1" applyFont="1" applyFill="1" applyBorder="1" applyAlignment="1" applyProtection="1">
      <alignment horizontal="center" vertical="top" wrapText="1"/>
      <protection locked="0"/>
    </xf>
    <xf numFmtId="179" fontId="15" fillId="17" borderId="0" xfId="0" applyNumberFormat="1" applyFont="1" applyFill="1" applyBorder="1" applyAlignment="1" applyProtection="1">
      <alignment horizontal="center" vertical="top" wrapText="1"/>
      <protection locked="0"/>
    </xf>
    <xf numFmtId="179" fontId="15" fillId="17" borderId="47" xfId="0" applyNumberFormat="1" applyFont="1" applyFill="1" applyBorder="1" applyAlignment="1" applyProtection="1">
      <alignment horizontal="center" vertical="top" wrapText="1"/>
      <protection locked="0"/>
    </xf>
    <xf numFmtId="0" fontId="17" fillId="17" borderId="11" xfId="0" applyFont="1" applyFill="1" applyBorder="1" applyAlignment="1" applyProtection="1">
      <alignment horizontal="left" vertical="top" wrapText="1"/>
      <protection locked="0"/>
    </xf>
    <xf numFmtId="179" fontId="15" fillId="17" borderId="103" xfId="1" applyNumberFormat="1" applyFont="1" applyFill="1" applyBorder="1" applyAlignment="1" applyProtection="1">
      <alignment horizontal="center" vertical="top" wrapText="1"/>
      <protection locked="0"/>
    </xf>
    <xf numFmtId="179" fontId="15" fillId="17" borderId="43" xfId="1" applyNumberFormat="1" applyFont="1" applyFill="1" applyBorder="1" applyAlignment="1" applyProtection="1">
      <alignment horizontal="center" vertical="top" wrapText="1"/>
      <protection locked="0"/>
    </xf>
    <xf numFmtId="179" fontId="15" fillId="17" borderId="7" xfId="1" applyNumberFormat="1" applyFont="1" applyFill="1" applyBorder="1" applyAlignment="1" applyProtection="1">
      <alignment horizontal="center" vertical="top" wrapText="1"/>
      <protection locked="0"/>
    </xf>
    <xf numFmtId="179" fontId="15" fillId="17" borderId="12" xfId="1" applyNumberFormat="1" applyFont="1" applyFill="1" applyBorder="1" applyAlignment="1" applyProtection="1">
      <alignment horizontal="center" vertical="top" wrapText="1"/>
      <protection locked="0"/>
    </xf>
    <xf numFmtId="179" fontId="15" fillId="17" borderId="6" xfId="1" applyNumberFormat="1" applyFont="1" applyFill="1" applyBorder="1" applyAlignment="1" applyProtection="1">
      <alignment horizontal="center" vertical="top" wrapText="1"/>
      <protection locked="0"/>
    </xf>
    <xf numFmtId="179" fontId="15" fillId="17" borderId="45" xfId="1" applyNumberFormat="1" applyFont="1" applyFill="1" applyBorder="1" applyAlignment="1" applyProtection="1">
      <alignment horizontal="center" vertical="top" wrapText="1"/>
      <protection locked="0"/>
    </xf>
    <xf numFmtId="179" fontId="15" fillId="17" borderId="99" xfId="1" applyNumberFormat="1" applyFont="1" applyFill="1" applyBorder="1" applyAlignment="1" applyProtection="1">
      <alignment horizontal="center" vertical="top" wrapText="1"/>
      <protection locked="0"/>
    </xf>
    <xf numFmtId="179" fontId="15" fillId="17" borderId="42" xfId="1" applyNumberFormat="1" applyFont="1" applyFill="1" applyBorder="1" applyAlignment="1" applyProtection="1">
      <alignment horizontal="center" vertical="top" wrapText="1"/>
      <protection locked="0"/>
    </xf>
    <xf numFmtId="179" fontId="15" fillId="17" borderId="8" xfId="1" applyNumberFormat="1" applyFont="1" applyFill="1" applyBorder="1" applyAlignment="1" applyProtection="1">
      <alignment horizontal="center" vertical="top" wrapText="1"/>
      <protection locked="0"/>
    </xf>
    <xf numFmtId="179" fontId="15" fillId="17" borderId="3" xfId="1" applyNumberFormat="1" applyFont="1" applyFill="1" applyBorder="1" applyAlignment="1" applyProtection="1">
      <alignment horizontal="center" vertical="top" wrapText="1"/>
      <protection locked="0"/>
    </xf>
    <xf numFmtId="179" fontId="15" fillId="17" borderId="0" xfId="1" applyNumberFormat="1" applyFont="1" applyFill="1" applyBorder="1" applyAlignment="1" applyProtection="1">
      <alignment horizontal="center" vertical="top" wrapText="1"/>
      <protection locked="0"/>
    </xf>
    <xf numFmtId="179" fontId="15" fillId="17" borderId="47" xfId="1" applyNumberFormat="1" applyFont="1" applyFill="1" applyBorder="1" applyAlignment="1" applyProtection="1">
      <alignment horizontal="center" vertical="top" wrapText="1"/>
      <protection locked="0"/>
    </xf>
    <xf numFmtId="0" fontId="15" fillId="17" borderId="10" xfId="0" applyFont="1" applyFill="1" applyBorder="1" applyAlignment="1" applyProtection="1">
      <alignment horizontal="left" vertical="top" wrapText="1"/>
      <protection locked="0"/>
    </xf>
    <xf numFmtId="179" fontId="15" fillId="17" borderId="93" xfId="0" applyNumberFormat="1" applyFont="1" applyFill="1" applyBorder="1" applyAlignment="1" applyProtection="1">
      <alignment horizontal="center" vertical="top" wrapText="1"/>
      <protection locked="0"/>
    </xf>
    <xf numFmtId="179" fontId="15" fillId="17" borderId="36" xfId="0" applyNumberFormat="1" applyFont="1" applyFill="1" applyBorder="1" applyAlignment="1" applyProtection="1">
      <alignment horizontal="center" vertical="top" wrapText="1"/>
      <protection locked="0"/>
    </xf>
    <xf numFmtId="179" fontId="15" fillId="17" borderId="10" xfId="0" applyNumberFormat="1" applyFont="1" applyFill="1" applyBorder="1" applyAlignment="1" applyProtection="1">
      <alignment horizontal="center" vertical="top" wrapText="1"/>
      <protection locked="0"/>
    </xf>
    <xf numFmtId="179" fontId="15" fillId="17" borderId="4" xfId="0" applyNumberFormat="1" applyFont="1" applyFill="1" applyBorder="1" applyAlignment="1" applyProtection="1">
      <alignment horizontal="center" vertical="top" wrapText="1"/>
      <protection locked="0"/>
    </xf>
    <xf numFmtId="179" fontId="15" fillId="17" borderId="9" xfId="0" applyNumberFormat="1" applyFont="1" applyFill="1" applyBorder="1" applyAlignment="1" applyProtection="1">
      <alignment horizontal="center" vertical="top" wrapText="1"/>
      <protection locked="0"/>
    </xf>
    <xf numFmtId="179" fontId="15" fillId="17" borderId="64" xfId="0" applyNumberFormat="1" applyFont="1" applyFill="1" applyBorder="1" applyAlignment="1" applyProtection="1">
      <alignment horizontal="center" vertical="top" wrapText="1"/>
      <protection locked="0"/>
    </xf>
    <xf numFmtId="171" fontId="15" fillId="17" borderId="47" xfId="12" applyNumberFormat="1" applyFont="1" applyFill="1" applyBorder="1" applyAlignment="1" applyProtection="1">
      <alignment horizontal="center" vertical="top" wrapText="1"/>
      <protection locked="0"/>
    </xf>
    <xf numFmtId="171" fontId="15" fillId="17" borderId="42" xfId="12" applyNumberFormat="1" applyFont="1" applyFill="1" applyBorder="1" applyAlignment="1" applyProtection="1">
      <alignment horizontal="center" vertical="top" wrapText="1"/>
      <protection locked="0"/>
    </xf>
    <xf numFmtId="171" fontId="15" fillId="17" borderId="3" xfId="12" applyNumberFormat="1" applyFont="1" applyFill="1" applyBorder="1" applyAlignment="1" applyProtection="1">
      <alignment horizontal="center" vertical="top" wrapText="1"/>
      <protection locked="0"/>
    </xf>
    <xf numFmtId="171" fontId="15" fillId="17" borderId="0" xfId="12" applyNumberFormat="1" applyFont="1" applyFill="1" applyBorder="1" applyAlignment="1" applyProtection="1">
      <alignment horizontal="center" vertical="top" wrapText="1"/>
      <protection locked="0"/>
    </xf>
    <xf numFmtId="171" fontId="15" fillId="17" borderId="47" xfId="0" applyNumberFormat="1" applyFont="1" applyFill="1" applyBorder="1" applyAlignment="1" applyProtection="1">
      <alignment horizontal="center" vertical="top" wrapText="1"/>
      <protection locked="0"/>
    </xf>
    <xf numFmtId="171" fontId="15" fillId="17" borderId="42" xfId="0" applyNumberFormat="1" applyFont="1" applyFill="1" applyBorder="1" applyAlignment="1" applyProtection="1">
      <alignment horizontal="center" vertical="top" wrapText="1"/>
      <protection locked="0"/>
    </xf>
    <xf numFmtId="171" fontId="15" fillId="17" borderId="8" xfId="0" applyNumberFormat="1" applyFont="1" applyFill="1" applyBorder="1" applyAlignment="1" applyProtection="1">
      <alignment horizontal="center" vertical="top" wrapText="1"/>
      <protection locked="0"/>
    </xf>
    <xf numFmtId="171" fontId="15" fillId="17" borderId="3" xfId="0" applyNumberFormat="1" applyFont="1" applyFill="1" applyBorder="1" applyAlignment="1" applyProtection="1">
      <alignment horizontal="center" vertical="top" wrapText="1"/>
      <protection locked="0"/>
    </xf>
    <xf numFmtId="171" fontId="15" fillId="17" borderId="0" xfId="0" applyNumberFormat="1" applyFont="1" applyFill="1" applyBorder="1" applyAlignment="1" applyProtection="1">
      <alignment horizontal="center" vertical="top" wrapText="1"/>
      <protection locked="0"/>
    </xf>
    <xf numFmtId="171" fontId="15" fillId="17" borderId="2" xfId="0" applyNumberFormat="1" applyFont="1" applyFill="1" applyBorder="1" applyAlignment="1" applyProtection="1">
      <alignment horizontal="center"/>
      <protection locked="0"/>
    </xf>
    <xf numFmtId="178" fontId="15" fillId="17" borderId="76" xfId="1" applyNumberFormat="1" applyFont="1" applyFill="1" applyBorder="1" applyAlignment="1" applyProtection="1">
      <alignment horizontal="left" vertical="top" wrapText="1"/>
      <protection locked="0"/>
    </xf>
    <xf numFmtId="178" fontId="15" fillId="17" borderId="3" xfId="0" applyNumberFormat="1" applyFont="1" applyFill="1" applyBorder="1" applyAlignment="1" applyProtection="1">
      <alignment horizontal="center" vertical="top" wrapText="1"/>
      <protection locked="0"/>
    </xf>
    <xf numFmtId="178" fontId="15" fillId="17" borderId="42" xfId="0" applyNumberFormat="1" applyFont="1" applyFill="1" applyBorder="1" applyAlignment="1" applyProtection="1">
      <alignment horizontal="center" vertical="top" wrapText="1"/>
      <protection locked="0"/>
    </xf>
    <xf numFmtId="178" fontId="15" fillId="17" borderId="67" xfId="0" applyNumberFormat="1" applyFont="1" applyFill="1" applyBorder="1" applyAlignment="1" applyProtection="1">
      <alignment horizontal="center" vertical="top" wrapText="1"/>
      <protection locked="0"/>
    </xf>
    <xf numFmtId="178" fontId="15" fillId="17" borderId="1" xfId="0" applyNumberFormat="1" applyFont="1" applyFill="1" applyBorder="1" applyAlignment="1" applyProtection="1">
      <alignment horizontal="center" vertical="top" wrapText="1"/>
      <protection locked="0"/>
    </xf>
    <xf numFmtId="178" fontId="15" fillId="17" borderId="0" xfId="0" applyNumberFormat="1" applyFont="1" applyFill="1" applyBorder="1" applyAlignment="1" applyProtection="1">
      <alignment horizontal="center" vertical="top" wrapText="1"/>
      <protection locked="0"/>
    </xf>
    <xf numFmtId="178" fontId="15" fillId="17" borderId="8" xfId="0" applyNumberFormat="1" applyFont="1" applyFill="1" applyBorder="1" applyAlignment="1" applyProtection="1">
      <alignment horizontal="center" vertical="top" wrapText="1"/>
      <protection locked="0"/>
    </xf>
    <xf numFmtId="178" fontId="15" fillId="17" borderId="3" xfId="12" applyNumberFormat="1" applyFont="1" applyFill="1" applyBorder="1" applyAlignment="1" applyProtection="1">
      <alignment horizontal="center" vertical="top" wrapText="1"/>
      <protection locked="0"/>
    </xf>
    <xf numFmtId="178" fontId="15" fillId="17" borderId="42" xfId="12" applyNumberFormat="1" applyFont="1" applyFill="1" applyBorder="1" applyAlignment="1" applyProtection="1">
      <alignment horizontal="center" vertical="top" wrapText="1"/>
      <protection locked="0"/>
    </xf>
    <xf numFmtId="178" fontId="15" fillId="17" borderId="67" xfId="12" applyNumberFormat="1" applyFont="1" applyFill="1" applyBorder="1" applyAlignment="1" applyProtection="1">
      <alignment horizontal="center" vertical="top" wrapText="1"/>
      <protection locked="0"/>
    </xf>
    <xf numFmtId="178" fontId="15" fillId="17" borderId="1" xfId="12" applyNumberFormat="1" applyFont="1" applyFill="1" applyBorder="1" applyAlignment="1" applyProtection="1">
      <alignment horizontal="center" vertical="top" wrapText="1"/>
      <protection locked="0"/>
    </xf>
    <xf numFmtId="178" fontId="15" fillId="17" borderId="0" xfId="12" applyNumberFormat="1" applyFont="1" applyFill="1" applyBorder="1" applyAlignment="1" applyProtection="1">
      <alignment horizontal="center" vertical="top" wrapText="1"/>
      <protection locked="0"/>
    </xf>
    <xf numFmtId="178" fontId="15" fillId="17" borderId="8" xfId="12" applyNumberFormat="1" applyFont="1" applyFill="1" applyBorder="1" applyAlignment="1" applyProtection="1">
      <alignment horizontal="center" vertical="top" wrapText="1"/>
      <protection locked="0"/>
    </xf>
    <xf numFmtId="178" fontId="15" fillId="17" borderId="97" xfId="12" applyNumberFormat="1" applyFont="1" applyFill="1" applyBorder="1" applyAlignment="1" applyProtection="1">
      <alignment horizontal="center" vertical="top" wrapText="1"/>
      <protection locked="0"/>
    </xf>
    <xf numFmtId="178" fontId="15" fillId="17" borderId="68" xfId="12" applyNumberFormat="1" applyFont="1" applyFill="1" applyBorder="1" applyAlignment="1" applyProtection="1">
      <alignment horizontal="center" vertical="top" wrapText="1"/>
      <protection locked="0"/>
    </xf>
    <xf numFmtId="178" fontId="15" fillId="17" borderId="71" xfId="12" applyNumberFormat="1" applyFont="1" applyFill="1" applyBorder="1" applyAlignment="1" applyProtection="1">
      <alignment horizontal="center" vertical="top" wrapText="1"/>
      <protection locked="0"/>
    </xf>
    <xf numFmtId="178" fontId="15" fillId="17" borderId="69" xfId="12" applyNumberFormat="1" applyFont="1" applyFill="1" applyBorder="1" applyAlignment="1" applyProtection="1">
      <alignment horizontal="center" vertical="top" wrapText="1"/>
      <protection locked="0"/>
    </xf>
    <xf numFmtId="178" fontId="15" fillId="17" borderId="98" xfId="12" applyNumberFormat="1" applyFont="1" applyFill="1" applyBorder="1" applyAlignment="1" applyProtection="1">
      <alignment horizontal="center" vertical="top" wrapText="1"/>
      <protection locked="0"/>
    </xf>
    <xf numFmtId="178" fontId="15" fillId="17" borderId="73" xfId="12" applyNumberFormat="1" applyFont="1" applyFill="1" applyBorder="1" applyAlignment="1" applyProtection="1">
      <alignment horizontal="center" vertical="top" wrapText="1"/>
      <protection locked="0"/>
    </xf>
    <xf numFmtId="178" fontId="15" fillId="17" borderId="72" xfId="12" applyNumberFormat="1" applyFont="1" applyFill="1" applyBorder="1" applyAlignment="1" applyProtection="1">
      <alignment horizontal="center" vertical="top" wrapText="1"/>
      <protection locked="0"/>
    </xf>
    <xf numFmtId="0" fontId="15" fillId="17" borderId="3" xfId="0" applyNumberFormat="1" applyFont="1" applyFill="1" applyBorder="1" applyAlignment="1" applyProtection="1">
      <alignment horizontal="left" vertical="top" wrapText="1" indent="1"/>
      <protection locked="0"/>
    </xf>
    <xf numFmtId="179" fontId="15" fillId="17" borderId="76" xfId="1" applyNumberFormat="1" applyFont="1" applyFill="1" applyBorder="1" applyAlignment="1" applyProtection="1">
      <alignment horizontal="left" vertical="top" wrapText="1"/>
      <protection locked="0"/>
    </xf>
    <xf numFmtId="179" fontId="15" fillId="17" borderId="67" xfId="12" applyNumberFormat="1" applyFont="1" applyFill="1" applyBorder="1" applyAlignment="1" applyProtection="1">
      <alignment horizontal="center" vertical="top" wrapText="1"/>
      <protection locked="0"/>
    </xf>
    <xf numFmtId="179" fontId="15" fillId="17" borderId="1" xfId="12" applyNumberFormat="1" applyFont="1" applyFill="1" applyBorder="1" applyAlignment="1" applyProtection="1">
      <alignment horizontal="center" vertical="top" wrapText="1"/>
      <protection locked="0"/>
    </xf>
    <xf numFmtId="0" fontId="15" fillId="17" borderId="68" xfId="0" applyNumberFormat="1" applyFont="1" applyFill="1" applyBorder="1" applyAlignment="1" applyProtection="1">
      <alignment horizontal="left" vertical="top" wrapText="1" indent="1"/>
      <protection locked="0"/>
    </xf>
    <xf numFmtId="179" fontId="15" fillId="17" borderId="97" xfId="1" applyNumberFormat="1" applyFont="1" applyFill="1" applyBorder="1" applyAlignment="1" applyProtection="1">
      <alignment horizontal="left" vertical="top" wrapText="1"/>
      <protection locked="0"/>
    </xf>
    <xf numFmtId="179" fontId="15" fillId="17" borderId="68" xfId="0" applyNumberFormat="1" applyFont="1" applyFill="1" applyBorder="1" applyAlignment="1" applyProtection="1">
      <alignment horizontal="center" vertical="top" wrapText="1"/>
      <protection locked="0"/>
    </xf>
    <xf numFmtId="179" fontId="15" fillId="17" borderId="71" xfId="0" applyNumberFormat="1" applyFont="1" applyFill="1" applyBorder="1" applyAlignment="1" applyProtection="1">
      <alignment horizontal="center" vertical="top" wrapText="1"/>
      <protection locked="0"/>
    </xf>
    <xf numFmtId="179" fontId="15" fillId="17" borderId="69" xfId="0" applyNumberFormat="1" applyFont="1" applyFill="1" applyBorder="1" applyAlignment="1" applyProtection="1">
      <alignment horizontal="center" vertical="top" wrapText="1"/>
      <protection locked="0"/>
    </xf>
    <xf numFmtId="179" fontId="15" fillId="17" borderId="98" xfId="0" applyNumberFormat="1" applyFont="1" applyFill="1" applyBorder="1" applyAlignment="1" applyProtection="1">
      <alignment horizontal="center" vertical="top" wrapText="1"/>
      <protection locked="0"/>
    </xf>
    <xf numFmtId="179" fontId="15" fillId="17" borderId="73" xfId="0" applyNumberFormat="1" applyFont="1" applyFill="1" applyBorder="1" applyAlignment="1" applyProtection="1">
      <alignment horizontal="center" vertical="top" wrapText="1"/>
      <protection locked="0"/>
    </xf>
    <xf numFmtId="179" fontId="15" fillId="17" borderId="72" xfId="0" applyNumberFormat="1" applyFont="1" applyFill="1" applyBorder="1" applyAlignment="1" applyProtection="1">
      <alignment horizontal="center" vertical="top" wrapText="1"/>
      <protection locked="0"/>
    </xf>
    <xf numFmtId="168" fontId="15" fillId="17" borderId="76" xfId="1" applyNumberFormat="1" applyFont="1" applyFill="1" applyBorder="1" applyAlignment="1" applyProtection="1">
      <alignment horizontal="left" vertical="top" wrapText="1"/>
      <protection locked="0"/>
    </xf>
    <xf numFmtId="2" fontId="15" fillId="17" borderId="3" xfId="1" applyNumberFormat="1" applyFont="1" applyFill="1" applyBorder="1" applyAlignment="1" applyProtection="1">
      <alignment horizontal="center" vertical="top" wrapText="1"/>
      <protection locked="0"/>
    </xf>
    <xf numFmtId="2" fontId="15" fillId="17" borderId="42" xfId="1" applyNumberFormat="1" applyFont="1" applyFill="1" applyBorder="1" applyAlignment="1" applyProtection="1">
      <alignment horizontal="center" vertical="top" wrapText="1"/>
      <protection locked="0"/>
    </xf>
    <xf numFmtId="2" fontId="15" fillId="17" borderId="67" xfId="1" applyNumberFormat="1" applyFont="1" applyFill="1" applyBorder="1" applyAlignment="1" applyProtection="1">
      <alignment horizontal="center" vertical="top" wrapText="1"/>
      <protection locked="0"/>
    </xf>
    <xf numFmtId="2" fontId="15" fillId="17" borderId="1" xfId="1" applyNumberFormat="1" applyFont="1" applyFill="1" applyBorder="1" applyAlignment="1" applyProtection="1">
      <alignment horizontal="center" vertical="top" wrapText="1"/>
      <protection locked="0"/>
    </xf>
    <xf numFmtId="2" fontId="15" fillId="17" borderId="0" xfId="1" applyNumberFormat="1" applyFont="1" applyFill="1" applyBorder="1" applyAlignment="1" applyProtection="1">
      <alignment horizontal="center" vertical="top" wrapText="1"/>
      <protection locked="0"/>
    </xf>
    <xf numFmtId="2" fontId="15" fillId="17" borderId="8" xfId="1" applyNumberFormat="1" applyFont="1" applyFill="1" applyBorder="1" applyAlignment="1" applyProtection="1">
      <alignment horizontal="center" vertical="top" wrapText="1"/>
      <protection locked="0"/>
    </xf>
    <xf numFmtId="178" fontId="15" fillId="17" borderId="1" xfId="0" applyNumberFormat="1" applyFont="1" applyFill="1" applyBorder="1" applyProtection="1">
      <protection locked="0"/>
    </xf>
    <xf numFmtId="168" fontId="15" fillId="17" borderId="97" xfId="1" applyNumberFormat="1" applyFont="1" applyFill="1" applyBorder="1" applyAlignment="1" applyProtection="1">
      <alignment horizontal="left" vertical="top" wrapText="1"/>
      <protection locked="0"/>
    </xf>
    <xf numFmtId="168" fontId="15" fillId="17" borderId="71" xfId="1" applyNumberFormat="1" applyFont="1" applyFill="1" applyBorder="1" applyProtection="1">
      <protection locked="0"/>
    </xf>
    <xf numFmtId="168" fontId="15" fillId="17" borderId="69" xfId="1" applyNumberFormat="1" applyFont="1" applyFill="1" applyBorder="1" applyProtection="1">
      <protection locked="0"/>
    </xf>
    <xf numFmtId="168" fontId="15" fillId="17" borderId="98" xfId="1" applyNumberFormat="1" applyFont="1" applyFill="1" applyBorder="1" applyProtection="1">
      <protection locked="0"/>
    </xf>
    <xf numFmtId="168" fontId="15" fillId="17" borderId="107" xfId="1" applyNumberFormat="1" applyFont="1" applyFill="1" applyBorder="1" applyProtection="1">
      <protection locked="0"/>
    </xf>
    <xf numFmtId="168" fontId="15" fillId="17" borderId="97" xfId="1" applyNumberFormat="1" applyFont="1" applyFill="1" applyBorder="1" applyProtection="1">
      <protection locked="0"/>
    </xf>
    <xf numFmtId="168" fontId="15" fillId="17" borderId="3" xfId="1" applyNumberFormat="1" applyFont="1" applyFill="1" applyBorder="1" applyAlignment="1" applyProtection="1">
      <alignment horizontal="center" vertical="top" wrapText="1"/>
      <protection locked="0"/>
    </xf>
    <xf numFmtId="168" fontId="15" fillId="17" borderId="42" xfId="1" applyNumberFormat="1" applyFont="1" applyFill="1" applyBorder="1" applyAlignment="1" applyProtection="1">
      <alignment horizontal="center" vertical="top" wrapText="1"/>
      <protection locked="0"/>
    </xf>
    <xf numFmtId="168" fontId="15" fillId="17" borderId="67" xfId="1" applyNumberFormat="1" applyFont="1" applyFill="1" applyBorder="1" applyAlignment="1" applyProtection="1">
      <alignment horizontal="center" vertical="top" wrapText="1"/>
      <protection locked="0"/>
    </xf>
    <xf numFmtId="168" fontId="15" fillId="17" borderId="1" xfId="1" applyNumberFormat="1" applyFont="1" applyFill="1" applyBorder="1" applyAlignment="1" applyProtection="1">
      <alignment horizontal="center" vertical="top" wrapText="1"/>
      <protection locked="0"/>
    </xf>
    <xf numFmtId="168" fontId="15" fillId="17" borderId="0" xfId="1" applyNumberFormat="1" applyFont="1" applyFill="1" applyBorder="1" applyAlignment="1" applyProtection="1">
      <alignment horizontal="center" vertical="top" wrapText="1"/>
      <protection locked="0"/>
    </xf>
    <xf numFmtId="168" fontId="15" fillId="17" borderId="8" xfId="1" applyNumberFormat="1" applyFont="1" applyFill="1" applyBorder="1" applyAlignment="1" applyProtection="1">
      <alignment horizontal="center" vertical="top" wrapText="1"/>
      <protection locked="0"/>
    </xf>
    <xf numFmtId="168" fontId="15" fillId="17" borderId="98" xfId="1" applyNumberFormat="1" applyFont="1" applyFill="1" applyBorder="1" applyAlignment="1" applyProtection="1">
      <alignment horizontal="left" vertical="top" wrapText="1"/>
      <protection locked="0"/>
    </xf>
    <xf numFmtId="168" fontId="15" fillId="17" borderId="68" xfId="1" applyNumberFormat="1" applyFont="1" applyFill="1" applyBorder="1" applyAlignment="1" applyProtection="1">
      <alignment horizontal="center" vertical="top" wrapText="1"/>
      <protection locked="0"/>
    </xf>
    <xf numFmtId="168" fontId="15" fillId="17" borderId="71" xfId="1" applyNumberFormat="1" applyFont="1" applyFill="1" applyBorder="1" applyAlignment="1" applyProtection="1">
      <alignment horizontal="center" vertical="top" wrapText="1"/>
      <protection locked="0"/>
    </xf>
    <xf numFmtId="168" fontId="15" fillId="17" borderId="69" xfId="1" applyNumberFormat="1" applyFont="1" applyFill="1" applyBorder="1" applyAlignment="1" applyProtection="1">
      <alignment horizontal="center" vertical="top" wrapText="1"/>
      <protection locked="0"/>
    </xf>
    <xf numFmtId="168" fontId="15" fillId="17" borderId="98" xfId="1" applyNumberFormat="1" applyFont="1" applyFill="1" applyBorder="1" applyAlignment="1" applyProtection="1">
      <alignment horizontal="center" vertical="top" wrapText="1"/>
      <protection locked="0"/>
    </xf>
    <xf numFmtId="168" fontId="15" fillId="17" borderId="73" xfId="1" applyNumberFormat="1" applyFont="1" applyFill="1" applyBorder="1" applyAlignment="1" applyProtection="1">
      <alignment horizontal="center" vertical="top" wrapText="1"/>
      <protection locked="0"/>
    </xf>
    <xf numFmtId="168" fontId="15" fillId="17" borderId="72" xfId="1" applyNumberFormat="1" applyFont="1" applyFill="1" applyBorder="1" applyAlignment="1" applyProtection="1">
      <alignment horizontal="center" vertical="top" wrapText="1"/>
      <protection locked="0"/>
    </xf>
    <xf numFmtId="168" fontId="15" fillId="17" borderId="1" xfId="1" applyNumberFormat="1" applyFont="1" applyFill="1" applyBorder="1" applyAlignment="1" applyProtection="1">
      <alignment horizontal="left" vertical="top" wrapText="1"/>
      <protection locked="0"/>
    </xf>
    <xf numFmtId="171" fontId="15" fillId="17" borderId="67" xfId="0" applyNumberFormat="1" applyFont="1" applyFill="1" applyBorder="1" applyAlignment="1" applyProtection="1">
      <alignment horizontal="center" vertical="top" wrapText="1"/>
      <protection locked="0"/>
    </xf>
    <xf numFmtId="171" fontId="15" fillId="17" borderId="1" xfId="0" applyNumberFormat="1" applyFont="1" applyFill="1" applyBorder="1" applyAlignment="1" applyProtection="1">
      <alignment horizontal="center" vertical="top" wrapText="1"/>
      <protection locked="0"/>
    </xf>
    <xf numFmtId="171" fontId="15" fillId="17" borderId="3" xfId="1" applyNumberFormat="1" applyFont="1" applyFill="1" applyBorder="1" applyAlignment="1" applyProtection="1">
      <alignment horizontal="center" vertical="top" wrapText="1"/>
      <protection locked="0"/>
    </xf>
    <xf numFmtId="171" fontId="15" fillId="17" borderId="42" xfId="1" applyNumberFormat="1" applyFont="1" applyFill="1" applyBorder="1" applyAlignment="1" applyProtection="1">
      <alignment horizontal="center" vertical="top" wrapText="1"/>
      <protection locked="0"/>
    </xf>
    <xf numFmtId="171" fontId="15" fillId="17" borderId="67" xfId="1" applyNumberFormat="1" applyFont="1" applyFill="1" applyBorder="1" applyAlignment="1" applyProtection="1">
      <alignment horizontal="center" vertical="top" wrapText="1"/>
      <protection locked="0"/>
    </xf>
    <xf numFmtId="171" fontId="15" fillId="17" borderId="0" xfId="1" applyNumberFormat="1" applyFont="1" applyFill="1" applyBorder="1" applyAlignment="1" applyProtection="1">
      <alignment horizontal="center" vertical="top" wrapText="1"/>
      <protection locked="0"/>
    </xf>
    <xf numFmtId="171" fontId="15" fillId="17" borderId="8" xfId="1" applyNumberFormat="1" applyFont="1" applyFill="1" applyBorder="1" applyAlignment="1" applyProtection="1">
      <alignment horizontal="center" vertical="top" wrapText="1"/>
      <protection locked="0"/>
    </xf>
    <xf numFmtId="0" fontId="20" fillId="17" borderId="0" xfId="0" applyFont="1" applyFill="1" applyProtection="1">
      <protection locked="0"/>
    </xf>
    <xf numFmtId="0" fontId="15" fillId="17" borderId="0" xfId="0" applyNumberFormat="1" applyFont="1" applyFill="1" applyBorder="1" applyAlignment="1" applyProtection="1">
      <alignment horizontal="center"/>
      <protection locked="0"/>
    </xf>
    <xf numFmtId="0" fontId="15" fillId="17" borderId="42" xfId="0" applyNumberFormat="1" applyFont="1" applyFill="1" applyBorder="1" applyAlignment="1" applyProtection="1">
      <alignment horizontal="center"/>
      <protection locked="0"/>
    </xf>
    <xf numFmtId="0" fontId="15" fillId="17" borderId="76" xfId="0" applyNumberFormat="1" applyFont="1" applyFill="1" applyBorder="1" applyAlignment="1" applyProtection="1">
      <alignment horizontal="center"/>
      <protection locked="0"/>
    </xf>
    <xf numFmtId="0" fontId="15" fillId="17" borderId="8" xfId="0" applyNumberFormat="1" applyFont="1" applyFill="1" applyBorder="1" applyAlignment="1" applyProtection="1">
      <alignment horizontal="center"/>
      <protection locked="0"/>
    </xf>
    <xf numFmtId="179" fontId="17" fillId="17" borderId="42" xfId="0" applyNumberFormat="1" applyFont="1" applyFill="1" applyBorder="1" applyAlignment="1" applyProtection="1">
      <protection locked="0"/>
    </xf>
    <xf numFmtId="179" fontId="15" fillId="17" borderId="0" xfId="1" applyNumberFormat="1" applyFont="1" applyFill="1" applyBorder="1" applyAlignment="1" applyProtection="1">
      <protection locked="0"/>
    </xf>
    <xf numFmtId="179" fontId="15" fillId="17" borderId="42" xfId="0" applyNumberFormat="1" applyFont="1" applyFill="1" applyBorder="1" applyAlignment="1" applyProtection="1">
      <protection locked="0"/>
    </xf>
    <xf numFmtId="179" fontId="15" fillId="17" borderId="76" xfId="0" applyNumberFormat="1" applyFont="1" applyFill="1" applyBorder="1" applyAlignment="1" applyProtection="1">
      <protection locked="0"/>
    </xf>
    <xf numFmtId="179" fontId="15" fillId="17" borderId="8" xfId="0" applyNumberFormat="1" applyFont="1" applyFill="1" applyBorder="1" applyAlignment="1" applyProtection="1">
      <protection locked="0"/>
    </xf>
    <xf numFmtId="14" fontId="15" fillId="17" borderId="42" xfId="0" applyNumberFormat="1" applyFont="1" applyFill="1" applyBorder="1" applyAlignment="1" applyProtection="1">
      <alignment horizontal="center"/>
      <protection locked="0"/>
    </xf>
    <xf numFmtId="14" fontId="15" fillId="17" borderId="8" xfId="0" applyNumberFormat="1" applyFont="1" applyFill="1" applyBorder="1" applyAlignment="1" applyProtection="1">
      <alignment horizontal="center"/>
      <protection locked="0"/>
    </xf>
    <xf numFmtId="0" fontId="17" fillId="17" borderId="42" xfId="0" applyNumberFormat="1" applyFont="1" applyFill="1" applyBorder="1" applyAlignment="1" applyProtection="1">
      <alignment horizontal="center"/>
      <protection locked="0"/>
    </xf>
    <xf numFmtId="179" fontId="15" fillId="17" borderId="3" xfId="1" applyNumberFormat="1" applyFont="1" applyFill="1" applyBorder="1" applyAlignment="1" applyProtection="1">
      <protection locked="0"/>
    </xf>
    <xf numFmtId="179" fontId="15" fillId="17" borderId="42" xfId="1" applyNumberFormat="1" applyFont="1" applyFill="1" applyBorder="1" applyAlignment="1" applyProtection="1">
      <protection locked="0"/>
    </xf>
    <xf numFmtId="179" fontId="15" fillId="17" borderId="8" xfId="1" applyNumberFormat="1" applyFont="1" applyFill="1" applyBorder="1" applyAlignment="1" applyProtection="1">
      <protection locked="0"/>
    </xf>
    <xf numFmtId="177" fontId="15" fillId="17" borderId="42" xfId="1" applyNumberFormat="1" applyFont="1" applyFill="1" applyBorder="1" applyProtection="1">
      <protection locked="0"/>
    </xf>
    <xf numFmtId="177" fontId="15" fillId="17" borderId="8" xfId="1" applyNumberFormat="1" applyFont="1" applyFill="1" applyBorder="1" applyProtection="1">
      <protection locked="0"/>
    </xf>
    <xf numFmtId="177" fontId="15" fillId="17" borderId="3" xfId="1" applyNumberFormat="1" applyFont="1" applyFill="1" applyBorder="1" applyProtection="1">
      <protection locked="0"/>
    </xf>
    <xf numFmtId="177" fontId="15" fillId="17" borderId="76" xfId="1" applyNumberFormat="1" applyFont="1" applyFill="1" applyBorder="1" applyProtection="1">
      <protection locked="0"/>
    </xf>
    <xf numFmtId="177" fontId="15" fillId="17" borderId="0" xfId="1" applyNumberFormat="1" applyFont="1" applyFill="1" applyBorder="1" applyProtection="1">
      <protection locked="0"/>
    </xf>
    <xf numFmtId="177" fontId="15" fillId="17" borderId="42" xfId="0" applyNumberFormat="1" applyFont="1" applyFill="1" applyBorder="1" applyProtection="1">
      <protection locked="0"/>
    </xf>
    <xf numFmtId="177" fontId="15" fillId="17" borderId="8" xfId="0" applyNumberFormat="1" applyFont="1" applyFill="1" applyBorder="1" applyProtection="1">
      <protection locked="0"/>
    </xf>
    <xf numFmtId="177" fontId="15" fillId="17" borderId="3" xfId="0" applyNumberFormat="1" applyFont="1" applyFill="1" applyBorder="1" applyProtection="1">
      <protection locked="0"/>
    </xf>
    <xf numFmtId="177" fontId="15" fillId="17" borderId="76" xfId="0" applyNumberFormat="1" applyFont="1" applyFill="1" applyBorder="1" applyProtection="1">
      <protection locked="0"/>
    </xf>
    <xf numFmtId="177" fontId="15" fillId="17" borderId="0" xfId="0" applyNumberFormat="1" applyFont="1" applyFill="1" applyBorder="1" applyProtection="1">
      <protection locked="0"/>
    </xf>
    <xf numFmtId="177" fontId="17" fillId="17" borderId="42" xfId="0" applyNumberFormat="1" applyFont="1" applyFill="1" applyBorder="1" applyProtection="1">
      <protection locked="0"/>
    </xf>
    <xf numFmtId="177" fontId="17" fillId="17" borderId="8" xfId="0" applyNumberFormat="1" applyFont="1" applyFill="1" applyBorder="1" applyProtection="1">
      <protection locked="0"/>
    </xf>
    <xf numFmtId="166" fontId="15" fillId="17" borderId="42" xfId="1" applyFont="1" applyFill="1" applyBorder="1" applyProtection="1">
      <protection locked="0"/>
    </xf>
    <xf numFmtId="166" fontId="15" fillId="17" borderId="8" xfId="1" applyFont="1" applyFill="1" applyBorder="1" applyProtection="1">
      <protection locked="0"/>
    </xf>
    <xf numFmtId="166" fontId="15" fillId="17" borderId="3" xfId="1" applyFont="1" applyFill="1" applyBorder="1" applyProtection="1">
      <protection locked="0"/>
    </xf>
    <xf numFmtId="166" fontId="15" fillId="17" borderId="76" xfId="1" applyFont="1" applyFill="1" applyBorder="1" applyProtection="1">
      <protection locked="0"/>
    </xf>
    <xf numFmtId="166" fontId="15" fillId="17" borderId="0" xfId="1" applyFont="1" applyFill="1" applyBorder="1" applyProtection="1">
      <protection locked="0"/>
    </xf>
    <xf numFmtId="0" fontId="15" fillId="17" borderId="0" xfId="1" applyNumberFormat="1" applyFont="1" applyFill="1" applyBorder="1" applyAlignment="1" applyProtection="1">
      <alignment horizontal="center"/>
      <protection locked="0"/>
    </xf>
    <xf numFmtId="174" fontId="15" fillId="17" borderId="42" xfId="0" applyNumberFormat="1" applyFont="1" applyFill="1" applyBorder="1" applyAlignment="1" applyProtection="1">
      <alignment horizontal="center"/>
      <protection locked="0"/>
    </xf>
    <xf numFmtId="174" fontId="15" fillId="17" borderId="8" xfId="0" applyNumberFormat="1" applyFont="1" applyFill="1" applyBorder="1" applyAlignment="1" applyProtection="1">
      <alignment horizontal="center"/>
      <protection locked="0"/>
    </xf>
    <xf numFmtId="174" fontId="15" fillId="17" borderId="42" xfId="12" applyNumberFormat="1" applyFont="1" applyFill="1" applyBorder="1" applyAlignment="1" applyProtection="1">
      <alignment horizontal="center"/>
      <protection locked="0"/>
    </xf>
    <xf numFmtId="174" fontId="15" fillId="17" borderId="8" xfId="12" applyNumberFormat="1" applyFont="1" applyFill="1" applyBorder="1" applyAlignment="1" applyProtection="1">
      <alignment horizontal="center"/>
      <protection locked="0"/>
    </xf>
    <xf numFmtId="174" fontId="15" fillId="17" borderId="76" xfId="12" applyNumberFormat="1" applyFont="1" applyFill="1" applyBorder="1" applyAlignment="1" applyProtection="1">
      <alignment horizontal="center"/>
      <protection locked="0"/>
    </xf>
    <xf numFmtId="174" fontId="15" fillId="17" borderId="0" xfId="12" applyNumberFormat="1" applyFont="1" applyFill="1" applyBorder="1" applyAlignment="1" applyProtection="1">
      <alignment horizontal="center"/>
      <protection locked="0"/>
    </xf>
    <xf numFmtId="178" fontId="15" fillId="17" borderId="42" xfId="12" applyNumberFormat="1" applyFont="1" applyFill="1" applyBorder="1" applyAlignment="1" applyProtection="1">
      <alignment horizontal="center"/>
      <protection locked="0"/>
    </xf>
    <xf numFmtId="178" fontId="15" fillId="17" borderId="8" xfId="12" applyNumberFormat="1" applyFont="1" applyFill="1" applyBorder="1" applyAlignment="1" applyProtection="1">
      <alignment horizontal="center"/>
      <protection locked="0"/>
    </xf>
    <xf numFmtId="178" fontId="15" fillId="17" borderId="0" xfId="12" applyNumberFormat="1" applyFont="1" applyFill="1" applyBorder="1" applyAlignment="1" applyProtection="1">
      <alignment horizontal="center"/>
      <protection locked="0"/>
    </xf>
    <xf numFmtId="178" fontId="15" fillId="17" borderId="46" xfId="12" applyNumberFormat="1" applyFont="1" applyFill="1" applyBorder="1" applyAlignment="1" applyProtection="1">
      <alignment horizontal="center"/>
      <protection locked="0"/>
    </xf>
    <xf numFmtId="178" fontId="15" fillId="17" borderId="49" xfId="12" applyNumberFormat="1" applyFont="1" applyFill="1" applyBorder="1" applyAlignment="1" applyProtection="1">
      <alignment horizontal="center"/>
      <protection locked="0"/>
    </xf>
    <xf numFmtId="178" fontId="15" fillId="17" borderId="48" xfId="12" applyNumberFormat="1" applyFont="1" applyFill="1" applyBorder="1" applyAlignment="1" applyProtection="1">
      <alignment horizontal="center"/>
      <protection locked="0"/>
    </xf>
    <xf numFmtId="178" fontId="15" fillId="17" borderId="49" xfId="0" applyNumberFormat="1" applyFont="1" applyFill="1" applyBorder="1" applyProtection="1">
      <protection locked="0"/>
    </xf>
    <xf numFmtId="178" fontId="15" fillId="17" borderId="71" xfId="12" applyNumberFormat="1" applyFont="1" applyFill="1" applyBorder="1" applyAlignment="1" applyProtection="1">
      <alignment horizontal="center"/>
      <protection locked="0"/>
    </xf>
    <xf numFmtId="178" fontId="15" fillId="17" borderId="72" xfId="12" applyNumberFormat="1" applyFont="1" applyFill="1" applyBorder="1" applyAlignment="1" applyProtection="1">
      <alignment horizontal="center"/>
      <protection locked="0"/>
    </xf>
    <xf numFmtId="178" fontId="15" fillId="17" borderId="73" xfId="12" applyNumberFormat="1" applyFont="1" applyFill="1" applyBorder="1" applyAlignment="1" applyProtection="1">
      <alignment horizontal="center"/>
      <protection locked="0"/>
    </xf>
    <xf numFmtId="179" fontId="15" fillId="17" borderId="76" xfId="1" applyNumberFormat="1" applyFont="1" applyFill="1" applyBorder="1" applyProtection="1">
      <protection locked="0"/>
    </xf>
    <xf numFmtId="177" fontId="17" fillId="17" borderId="76" xfId="0" applyNumberFormat="1" applyFont="1" applyFill="1" applyBorder="1" applyProtection="1">
      <protection locked="0"/>
    </xf>
    <xf numFmtId="181" fontId="15" fillId="17" borderId="42" xfId="1" applyNumberFormat="1" applyFont="1" applyFill="1" applyBorder="1" applyProtection="1">
      <protection locked="0"/>
    </xf>
    <xf numFmtId="181" fontId="15" fillId="17" borderId="76" xfId="1" applyNumberFormat="1" applyFont="1" applyFill="1" applyBorder="1" applyProtection="1">
      <protection locked="0"/>
    </xf>
    <xf numFmtId="178" fontId="15" fillId="17" borderId="46" xfId="1" applyNumberFormat="1" applyFont="1" applyFill="1" applyBorder="1" applyProtection="1">
      <protection locked="0"/>
    </xf>
    <xf numFmtId="178" fontId="15" fillId="17" borderId="79" xfId="1" applyNumberFormat="1" applyFont="1" applyFill="1" applyBorder="1" applyProtection="1">
      <protection locked="0"/>
    </xf>
    <xf numFmtId="182" fontId="15" fillId="17" borderId="42" xfId="1" applyNumberFormat="1" applyFont="1" applyFill="1" applyBorder="1" applyAlignment="1" applyProtection="1">
      <alignment vertical="top" wrapText="1"/>
      <protection locked="0"/>
    </xf>
    <xf numFmtId="182" fontId="15" fillId="17" borderId="8" xfId="1" applyNumberFormat="1" applyFont="1" applyFill="1" applyBorder="1" applyAlignment="1" applyProtection="1">
      <alignment vertical="top" wrapText="1"/>
      <protection locked="0"/>
    </xf>
    <xf numFmtId="182" fontId="15" fillId="17" borderId="3" xfId="1" applyNumberFormat="1" applyFont="1" applyFill="1" applyBorder="1" applyAlignment="1" applyProtection="1">
      <alignment vertical="top" wrapText="1"/>
      <protection locked="0"/>
    </xf>
    <xf numFmtId="182" fontId="15" fillId="17" borderId="0" xfId="1" applyNumberFormat="1" applyFont="1" applyFill="1" applyBorder="1" applyAlignment="1" applyProtection="1">
      <alignment vertical="top" wrapText="1"/>
      <protection locked="0"/>
    </xf>
    <xf numFmtId="183" fontId="15" fillId="17" borderId="1" xfId="12" applyNumberFormat="1" applyFont="1" applyFill="1" applyBorder="1" applyAlignment="1" applyProtection="1">
      <alignment vertical="top" wrapText="1"/>
      <protection locked="0"/>
    </xf>
    <xf numFmtId="178" fontId="15" fillId="17" borderId="42" xfId="0" applyNumberFormat="1" applyFont="1" applyFill="1" applyBorder="1" applyAlignment="1" applyProtection="1">
      <protection locked="0"/>
    </xf>
    <xf numFmtId="178" fontId="15" fillId="17" borderId="8" xfId="0" applyNumberFormat="1" applyFont="1" applyFill="1" applyBorder="1" applyAlignment="1" applyProtection="1">
      <protection locked="0"/>
    </xf>
    <xf numFmtId="178" fontId="15" fillId="17" borderId="3" xfId="0" applyNumberFormat="1" applyFont="1" applyFill="1" applyBorder="1" applyAlignment="1" applyProtection="1">
      <protection locked="0"/>
    </xf>
    <xf numFmtId="178" fontId="15" fillId="17" borderId="0" xfId="0" applyNumberFormat="1" applyFont="1" applyFill="1" applyBorder="1" applyAlignment="1" applyProtection="1">
      <protection locked="0"/>
    </xf>
    <xf numFmtId="178" fontId="15" fillId="17" borderId="47" xfId="0" applyNumberFormat="1" applyFont="1" applyFill="1" applyBorder="1" applyAlignment="1" applyProtection="1">
      <protection locked="0"/>
    </xf>
    <xf numFmtId="0" fontId="15" fillId="17" borderId="3" xfId="0" applyNumberFormat="1" applyFont="1" applyFill="1" applyBorder="1" applyAlignment="1" applyProtection="1">
      <alignment horizontal="left" indent="1"/>
      <protection locked="0"/>
    </xf>
    <xf numFmtId="0" fontId="15" fillId="17" borderId="67" xfId="0" applyNumberFormat="1" applyFont="1" applyFill="1" applyBorder="1" applyAlignment="1" applyProtection="1">
      <alignment horizontal="center"/>
      <protection locked="0"/>
    </xf>
    <xf numFmtId="184" fontId="15" fillId="17" borderId="76" xfId="0" applyNumberFormat="1" applyFont="1" applyFill="1" applyBorder="1" applyAlignment="1" applyProtection="1">
      <alignment horizontal="center"/>
      <protection locked="0"/>
    </xf>
    <xf numFmtId="178" fontId="15" fillId="17" borderId="76" xfId="0" applyNumberFormat="1" applyFont="1" applyFill="1" applyBorder="1" applyAlignment="1" applyProtection="1">
      <protection locked="0"/>
    </xf>
    <xf numFmtId="0" fontId="15" fillId="17" borderId="3" xfId="0" applyNumberFormat="1" applyFont="1" applyFill="1" applyBorder="1" applyAlignment="1" applyProtection="1">
      <alignment horizontal="left" indent="2"/>
      <protection locked="0"/>
    </xf>
    <xf numFmtId="178" fontId="15" fillId="17" borderId="46" xfId="0" applyNumberFormat="1" applyFont="1" applyFill="1" applyBorder="1" applyAlignment="1" applyProtection="1">
      <protection locked="0"/>
    </xf>
    <xf numFmtId="178" fontId="15" fillId="17" borderId="49" xfId="0" applyNumberFormat="1" applyFont="1" applyFill="1" applyBorder="1" applyAlignment="1" applyProtection="1">
      <protection locked="0"/>
    </xf>
    <xf numFmtId="178" fontId="15" fillId="17" borderId="50" xfId="0" applyNumberFormat="1" applyFont="1" applyFill="1" applyBorder="1" applyAlignment="1" applyProtection="1">
      <protection locked="0"/>
    </xf>
    <xf numFmtId="178" fontId="15" fillId="17" borderId="48" xfId="0" applyNumberFormat="1" applyFont="1" applyFill="1" applyBorder="1" applyAlignment="1" applyProtection="1">
      <protection locked="0"/>
    </xf>
    <xf numFmtId="178" fontId="15" fillId="17" borderId="51" xfId="0" applyNumberFormat="1" applyFont="1" applyFill="1" applyBorder="1" applyAlignment="1" applyProtection="1">
      <protection locked="0"/>
    </xf>
    <xf numFmtId="178" fontId="15" fillId="17" borderId="71" xfId="0" applyNumberFormat="1" applyFont="1" applyFill="1" applyBorder="1" applyAlignment="1" applyProtection="1">
      <protection locked="0"/>
    </xf>
    <xf numFmtId="178" fontId="15" fillId="17" borderId="72" xfId="0" applyNumberFormat="1" applyFont="1" applyFill="1" applyBorder="1" applyAlignment="1" applyProtection="1">
      <protection locked="0"/>
    </xf>
    <xf numFmtId="178" fontId="15" fillId="17" borderId="68" xfId="0" applyNumberFormat="1" applyFont="1" applyFill="1" applyBorder="1" applyAlignment="1" applyProtection="1">
      <protection locked="0"/>
    </xf>
    <xf numFmtId="178" fontId="15" fillId="17" borderId="73" xfId="0" applyNumberFormat="1" applyFont="1" applyFill="1" applyBorder="1" applyAlignment="1" applyProtection="1">
      <protection locked="0"/>
    </xf>
    <xf numFmtId="178" fontId="15" fillId="17" borderId="70" xfId="0" applyNumberFormat="1" applyFont="1" applyFill="1" applyBorder="1" applyAlignment="1" applyProtection="1">
      <protection locked="0"/>
    </xf>
    <xf numFmtId="0" fontId="20" fillId="17" borderId="3" xfId="0" applyNumberFormat="1" applyFont="1" applyFill="1" applyBorder="1" applyAlignment="1" applyProtection="1">
      <alignment horizontal="left" indent="2"/>
      <protection locked="0"/>
    </xf>
    <xf numFmtId="0" fontId="15" fillId="17" borderId="3" xfId="0" applyNumberFormat="1" applyFont="1" applyFill="1" applyBorder="1" applyAlignment="1" applyProtection="1">
      <alignment horizontal="left" wrapText="1" indent="2"/>
      <protection locked="0"/>
    </xf>
    <xf numFmtId="178" fontId="15" fillId="17" borderId="60" xfId="0" applyNumberFormat="1" applyFont="1" applyFill="1" applyBorder="1" applyAlignment="1" applyProtection="1">
      <protection locked="0"/>
    </xf>
    <xf numFmtId="178" fontId="15" fillId="17" borderId="61" xfId="0" applyNumberFormat="1" applyFont="1" applyFill="1" applyBorder="1" applyAlignment="1" applyProtection="1">
      <protection locked="0"/>
    </xf>
    <xf numFmtId="178" fontId="15" fillId="17" borderId="62" xfId="0" applyNumberFormat="1" applyFont="1" applyFill="1" applyBorder="1" applyAlignment="1" applyProtection="1">
      <protection locked="0"/>
    </xf>
    <xf numFmtId="178" fontId="15" fillId="17" borderId="59" xfId="0" applyNumberFormat="1" applyFont="1" applyFill="1" applyBorder="1" applyAlignment="1" applyProtection="1">
      <protection locked="0"/>
    </xf>
    <xf numFmtId="178" fontId="15" fillId="17" borderId="63" xfId="0" applyNumberFormat="1" applyFont="1" applyFill="1" applyBorder="1" applyAlignment="1" applyProtection="1">
      <protection locked="0"/>
    </xf>
    <xf numFmtId="178" fontId="15" fillId="17" borderId="42" xfId="1" applyNumberFormat="1" applyFont="1" applyFill="1" applyBorder="1" applyAlignment="1" applyProtection="1">
      <protection locked="0"/>
    </xf>
    <xf numFmtId="178" fontId="15" fillId="17" borderId="0" xfId="1" applyNumberFormat="1" applyFont="1" applyFill="1" applyBorder="1" applyAlignment="1" applyProtection="1">
      <protection locked="0"/>
    </xf>
    <xf numFmtId="178" fontId="15" fillId="17" borderId="3" xfId="1" applyNumberFormat="1" applyFont="1" applyFill="1" applyBorder="1" applyAlignment="1" applyProtection="1">
      <protection locked="0"/>
    </xf>
    <xf numFmtId="178" fontId="15" fillId="17" borderId="47" xfId="1" applyNumberFormat="1" applyFont="1" applyFill="1" applyBorder="1" applyAlignment="1" applyProtection="1">
      <protection locked="0"/>
    </xf>
    <xf numFmtId="178" fontId="15" fillId="17" borderId="8" xfId="1" applyNumberFormat="1" applyFont="1" applyFill="1" applyBorder="1" applyAlignment="1" applyProtection="1">
      <protection locked="0"/>
    </xf>
    <xf numFmtId="0" fontId="20" fillId="17" borderId="3" xfId="0" applyNumberFormat="1" applyFont="1" applyFill="1" applyBorder="1" applyAlignment="1" applyProtection="1">
      <alignment horizontal="left" indent="1"/>
      <protection locked="0"/>
    </xf>
    <xf numFmtId="0" fontId="17" fillId="17" borderId="3" xfId="0" applyNumberFormat="1" applyFont="1" applyFill="1" applyBorder="1" applyAlignment="1" applyProtection="1">
      <alignment horizontal="left" indent="1"/>
      <protection locked="0"/>
    </xf>
    <xf numFmtId="179" fontId="15" fillId="17" borderId="42" xfId="1" applyNumberFormat="1" applyFont="1" applyFill="1" applyBorder="1" applyAlignment="1" applyProtection="1">
      <alignment horizontal="center"/>
      <protection locked="0"/>
    </xf>
    <xf numFmtId="179" fontId="17" fillId="17" borderId="42" xfId="1" applyNumberFormat="1" applyFont="1" applyFill="1" applyBorder="1" applyAlignment="1" applyProtection="1">
      <alignment horizontal="center"/>
      <protection locked="0"/>
    </xf>
    <xf numFmtId="178" fontId="15" fillId="17" borderId="50" xfId="0" applyNumberFormat="1" applyFont="1" applyFill="1" applyBorder="1" applyProtection="1">
      <protection locked="0"/>
    </xf>
    <xf numFmtId="177" fontId="15" fillId="17" borderId="47" xfId="0" applyNumberFormat="1" applyFont="1" applyFill="1" applyBorder="1" applyProtection="1">
      <protection locked="0"/>
    </xf>
    <xf numFmtId="177" fontId="17" fillId="17" borderId="70" xfId="0" applyNumberFormat="1" applyFont="1" applyFill="1" applyBorder="1" applyProtection="1">
      <protection locked="0"/>
    </xf>
    <xf numFmtId="177" fontId="17" fillId="17" borderId="71" xfId="0" applyNumberFormat="1" applyFont="1" applyFill="1" applyBorder="1" applyProtection="1">
      <protection locked="0"/>
    </xf>
    <xf numFmtId="177" fontId="17" fillId="17" borderId="72" xfId="0" applyNumberFormat="1" applyFont="1" applyFill="1" applyBorder="1" applyProtection="1">
      <protection locked="0"/>
    </xf>
    <xf numFmtId="177" fontId="17" fillId="17" borderId="68" xfId="0" applyNumberFormat="1" applyFont="1" applyFill="1" applyBorder="1" applyProtection="1">
      <protection locked="0"/>
    </xf>
    <xf numFmtId="0" fontId="15" fillId="17" borderId="3" xfId="0" applyNumberFormat="1" applyFont="1" applyFill="1" applyBorder="1" applyAlignment="1" applyProtection="1">
      <protection locked="0"/>
    </xf>
    <xf numFmtId="0" fontId="15" fillId="17" borderId="42" xfId="0" applyNumberFormat="1" applyFont="1" applyFill="1" applyBorder="1" applyAlignment="1" applyProtection="1">
      <protection locked="0"/>
    </xf>
    <xf numFmtId="184" fontId="15" fillId="17" borderId="42" xfId="0" applyNumberFormat="1" applyFont="1" applyFill="1" applyBorder="1" applyAlignment="1" applyProtection="1">
      <alignment horizontal="center"/>
      <protection locked="0"/>
    </xf>
    <xf numFmtId="184" fontId="15" fillId="17" borderId="42" xfId="0" quotePrefix="1" applyNumberFormat="1" applyFont="1" applyFill="1" applyBorder="1" applyAlignment="1" applyProtection="1">
      <alignment horizontal="center"/>
      <protection locked="0"/>
    </xf>
    <xf numFmtId="0" fontId="17" fillId="17" borderId="4" xfId="0" applyNumberFormat="1" applyFont="1" applyFill="1" applyBorder="1" applyAlignment="1" applyProtection="1">
      <protection locked="0"/>
    </xf>
    <xf numFmtId="0" fontId="15" fillId="17" borderId="36" xfId="0" applyNumberFormat="1" applyFont="1" applyFill="1" applyBorder="1" applyAlignment="1" applyProtection="1">
      <alignment horizontal="center"/>
      <protection locked="0"/>
    </xf>
    <xf numFmtId="0" fontId="15" fillId="17" borderId="36" xfId="0" applyNumberFormat="1" applyFont="1" applyFill="1" applyBorder="1" applyAlignment="1" applyProtection="1">
      <protection locked="0"/>
    </xf>
    <xf numFmtId="0" fontId="15" fillId="17" borderId="36" xfId="0" applyFont="1" applyFill="1" applyBorder="1" applyAlignment="1" applyProtection="1">
      <alignment horizontal="center"/>
      <protection locked="0"/>
    </xf>
    <xf numFmtId="178" fontId="17" fillId="17" borderId="10" xfId="0" applyNumberFormat="1" applyFont="1" applyFill="1" applyBorder="1" applyProtection="1">
      <protection locked="0"/>
    </xf>
    <xf numFmtId="178" fontId="17" fillId="17" borderId="42" xfId="0" applyNumberFormat="1" applyFont="1" applyFill="1" applyBorder="1" applyAlignment="1" applyProtection="1">
      <alignment horizontal="center"/>
      <protection locked="0"/>
    </xf>
    <xf numFmtId="178" fontId="17" fillId="17" borderId="0" xfId="0" applyNumberFormat="1" applyFont="1" applyFill="1" applyBorder="1" applyAlignment="1" applyProtection="1">
      <alignment horizontal="center"/>
      <protection locked="0"/>
    </xf>
    <xf numFmtId="178" fontId="17" fillId="17" borderId="3" xfId="0" applyNumberFormat="1" applyFont="1" applyFill="1" applyBorder="1" applyAlignment="1" applyProtection="1">
      <alignment horizontal="center"/>
      <protection locked="0"/>
    </xf>
    <xf numFmtId="178" fontId="17" fillId="17" borderId="8" xfId="0" applyNumberFormat="1" applyFont="1" applyFill="1" applyBorder="1" applyAlignment="1" applyProtection="1">
      <alignment horizontal="center"/>
      <protection locked="0"/>
    </xf>
    <xf numFmtId="178" fontId="15" fillId="17" borderId="48" xfId="0" applyNumberFormat="1" applyFont="1" applyFill="1" applyBorder="1" applyProtection="1">
      <protection locked="0"/>
    </xf>
    <xf numFmtId="178" fontId="17" fillId="17" borderId="49" xfId="0" applyNumberFormat="1" applyFont="1" applyFill="1" applyBorder="1" applyProtection="1">
      <protection locked="0"/>
    </xf>
    <xf numFmtId="178" fontId="17" fillId="17" borderId="50" xfId="0" applyNumberFormat="1" applyFont="1" applyFill="1" applyBorder="1" applyProtection="1">
      <protection locked="0"/>
    </xf>
    <xf numFmtId="178" fontId="17" fillId="17" borderId="48" xfId="0" applyNumberFormat="1" applyFont="1" applyFill="1" applyBorder="1" applyProtection="1">
      <protection locked="0"/>
    </xf>
    <xf numFmtId="178" fontId="17" fillId="17" borderId="72" xfId="0" applyNumberFormat="1" applyFont="1" applyFill="1" applyBorder="1" applyProtection="1">
      <protection locked="0"/>
    </xf>
    <xf numFmtId="178" fontId="17" fillId="17" borderId="68" xfId="0" applyNumberFormat="1" applyFont="1" applyFill="1" applyBorder="1" applyProtection="1">
      <protection locked="0"/>
    </xf>
    <xf numFmtId="178" fontId="17" fillId="17" borderId="73" xfId="0" applyNumberFormat="1" applyFont="1" applyFill="1" applyBorder="1" applyProtection="1">
      <protection locked="0"/>
    </xf>
    <xf numFmtId="178" fontId="15" fillId="17" borderId="77" xfId="0" applyNumberFormat="1" applyFont="1" applyFill="1" applyBorder="1" applyProtection="1">
      <protection locked="0"/>
    </xf>
    <xf numFmtId="0" fontId="17" fillId="17" borderId="3" xfId="0" applyNumberFormat="1" applyFont="1" applyFill="1" applyBorder="1" applyAlignment="1" applyProtection="1">
      <alignment horizontal="left"/>
      <protection locked="0"/>
    </xf>
    <xf numFmtId="0" fontId="20" fillId="17" borderId="42" xfId="0" applyNumberFormat="1" applyFont="1" applyFill="1" applyBorder="1" applyAlignment="1" applyProtection="1">
      <alignment horizontal="center"/>
      <protection locked="0"/>
    </xf>
    <xf numFmtId="0" fontId="20" fillId="17" borderId="0" xfId="0" applyNumberFormat="1" applyFont="1" applyFill="1" applyBorder="1" applyAlignment="1" applyProtection="1">
      <alignment horizontal="center"/>
      <protection locked="0"/>
    </xf>
    <xf numFmtId="0" fontId="15" fillId="17" borderId="0" xfId="0" applyNumberFormat="1" applyFont="1" applyFill="1" applyBorder="1" applyProtection="1">
      <protection locked="0"/>
    </xf>
    <xf numFmtId="0" fontId="15" fillId="17" borderId="76" xfId="0" applyNumberFormat="1" applyFont="1" applyFill="1" applyBorder="1" applyProtection="1">
      <protection locked="0"/>
    </xf>
    <xf numFmtId="0" fontId="15" fillId="17" borderId="42" xfId="0" applyNumberFormat="1" applyFont="1" applyFill="1" applyBorder="1" applyProtection="1">
      <protection locked="0"/>
    </xf>
    <xf numFmtId="0" fontId="15" fillId="17" borderId="3" xfId="0" applyNumberFormat="1" applyFont="1" applyFill="1" applyBorder="1" applyProtection="1">
      <protection locked="0"/>
    </xf>
    <xf numFmtId="0" fontId="17" fillId="17" borderId="3" xfId="0" applyNumberFormat="1" applyFont="1" applyFill="1" applyBorder="1" applyProtection="1">
      <protection locked="0"/>
    </xf>
    <xf numFmtId="0" fontId="17" fillId="17" borderId="0" xfId="1" applyNumberFormat="1" applyFont="1" applyFill="1" applyBorder="1" applyAlignment="1" applyProtection="1">
      <alignment horizontal="center"/>
      <protection locked="0"/>
    </xf>
    <xf numFmtId="178" fontId="17" fillId="17" borderId="67" xfId="0" applyNumberFormat="1" applyFont="1" applyFill="1" applyBorder="1" applyAlignment="1" applyProtection="1">
      <alignment horizontal="center"/>
      <protection locked="0"/>
    </xf>
    <xf numFmtId="178" fontId="15" fillId="17" borderId="67" xfId="1" applyNumberFormat="1" applyFont="1" applyFill="1" applyBorder="1" applyProtection="1">
      <protection locked="0"/>
    </xf>
    <xf numFmtId="0" fontId="17" fillId="17" borderId="68" xfId="0" applyNumberFormat="1" applyFont="1" applyFill="1" applyBorder="1" applyAlignment="1" applyProtection="1">
      <alignment horizontal="left" indent="1"/>
      <protection locked="0"/>
    </xf>
    <xf numFmtId="179" fontId="15" fillId="17" borderId="71" xfId="1" applyNumberFormat="1" applyFont="1" applyFill="1" applyBorder="1" applyAlignment="1" applyProtection="1">
      <alignment horizontal="center"/>
      <protection locked="0"/>
    </xf>
    <xf numFmtId="0" fontId="15" fillId="17" borderId="73" xfId="1" applyNumberFormat="1" applyFont="1" applyFill="1" applyBorder="1" applyAlignment="1" applyProtection="1">
      <alignment horizontal="center"/>
      <protection locked="0"/>
    </xf>
    <xf numFmtId="178" fontId="15" fillId="17" borderId="69" xfId="0" applyNumberFormat="1" applyFont="1" applyFill="1" applyBorder="1" applyProtection="1">
      <protection locked="0"/>
    </xf>
    <xf numFmtId="0" fontId="18" fillId="17" borderId="3" xfId="0" applyNumberFormat="1" applyFont="1" applyFill="1" applyBorder="1" applyProtection="1">
      <protection locked="0"/>
    </xf>
    <xf numFmtId="0" fontId="15" fillId="17" borderId="4" xfId="0" applyNumberFormat="1" applyFont="1" applyFill="1" applyBorder="1" applyAlignment="1" applyProtection="1">
      <alignment horizontal="left" indent="1"/>
      <protection locked="0"/>
    </xf>
    <xf numFmtId="179" fontId="15" fillId="17" borderId="36" xfId="1" applyNumberFormat="1" applyFont="1" applyFill="1" applyBorder="1" applyAlignment="1" applyProtection="1">
      <alignment horizontal="center"/>
      <protection locked="0"/>
    </xf>
    <xf numFmtId="0" fontId="15" fillId="17" borderId="9" xfId="1" applyNumberFormat="1" applyFont="1" applyFill="1" applyBorder="1" applyAlignment="1" applyProtection="1">
      <alignment horizontal="center"/>
      <protection locked="0"/>
    </xf>
    <xf numFmtId="178" fontId="15" fillId="17" borderId="37" xfId="0" applyNumberFormat="1" applyFont="1" applyFill="1" applyBorder="1" applyProtection="1">
      <protection locked="0"/>
    </xf>
    <xf numFmtId="0" fontId="26" fillId="0" borderId="0" xfId="0" applyFont="1" applyProtection="1"/>
    <xf numFmtId="0" fontId="0" fillId="0" borderId="0" xfId="0" applyFont="1" applyProtection="1"/>
    <xf numFmtId="179" fontId="15" fillId="18" borderId="42" xfId="1" applyNumberFormat="1" applyFont="1" applyFill="1" applyBorder="1"/>
    <xf numFmtId="179" fontId="15" fillId="18" borderId="0" xfId="1" applyNumberFormat="1" applyFont="1" applyFill="1" applyBorder="1"/>
    <xf numFmtId="174" fontId="15" fillId="0" borderId="42" xfId="0" applyNumberFormat="1" applyFont="1" applyBorder="1" applyAlignment="1">
      <alignment horizontal="center"/>
    </xf>
    <xf numFmtId="174" fontId="15" fillId="0" borderId="76" xfId="0" applyNumberFormat="1" applyFont="1" applyBorder="1" applyAlignment="1">
      <alignment horizontal="center"/>
    </xf>
    <xf numFmtId="174" fontId="15" fillId="0" borderId="36" xfId="0" quotePrefix="1" applyNumberFormat="1" applyFont="1" applyBorder="1" applyAlignment="1">
      <alignment horizontal="center"/>
    </xf>
    <xf numFmtId="174" fontId="15" fillId="0" borderId="77" xfId="0" quotePrefix="1" applyNumberFormat="1" applyFont="1" applyBorder="1" applyAlignment="1">
      <alignment horizontal="center"/>
    </xf>
    <xf numFmtId="178" fontId="15" fillId="0" borderId="47" xfId="0" applyNumberFormat="1" applyFont="1" applyBorder="1" applyAlignment="1">
      <alignment horizontal="center"/>
    </xf>
    <xf numFmtId="174" fontId="15" fillId="0" borderId="37" xfId="0" applyNumberFormat="1" applyFont="1" applyBorder="1" applyAlignment="1">
      <alignment horizontal="center"/>
    </xf>
    <xf numFmtId="0" fontId="15" fillId="0" borderId="67" xfId="0" applyFont="1" applyBorder="1"/>
    <xf numFmtId="178" fontId="15" fillId="0" borderId="67" xfId="0" applyNumberFormat="1" applyFont="1" applyBorder="1" applyAlignment="1">
      <alignment horizontal="center"/>
    </xf>
    <xf numFmtId="174" fontId="15" fillId="0" borderId="67" xfId="0" quotePrefix="1" applyNumberFormat="1" applyFont="1" applyBorder="1" applyAlignment="1">
      <alignment horizontal="center"/>
    </xf>
    <xf numFmtId="174" fontId="15" fillId="0" borderId="37" xfId="0" quotePrefix="1" applyNumberFormat="1" applyFont="1" applyBorder="1" applyAlignment="1">
      <alignment horizontal="center"/>
    </xf>
    <xf numFmtId="174" fontId="15" fillId="0" borderId="64" xfId="0" applyNumberFormat="1" applyFont="1" applyBorder="1" applyAlignment="1">
      <alignment horizontal="center"/>
    </xf>
    <xf numFmtId="174" fontId="15" fillId="0" borderId="47" xfId="0" quotePrefix="1" applyNumberFormat="1" applyFont="1" applyBorder="1" applyAlignment="1">
      <alignment horizontal="center"/>
    </xf>
    <xf numFmtId="174" fontId="15" fillId="0" borderId="64" xfId="0" quotePrefix="1" applyNumberFormat="1" applyFont="1" applyBorder="1" applyAlignment="1">
      <alignment horizontal="center"/>
    </xf>
    <xf numFmtId="174" fontId="15" fillId="0" borderId="67" xfId="0" applyNumberFormat="1" applyFont="1" applyBorder="1" applyAlignment="1">
      <alignment horizontal="center"/>
    </xf>
    <xf numFmtId="178" fontId="15" fillId="0" borderId="37" xfId="0" quotePrefix="1" applyNumberFormat="1" applyFont="1" applyBorder="1" applyAlignment="1">
      <alignment horizontal="center"/>
    </xf>
    <xf numFmtId="174" fontId="15" fillId="0" borderId="47" xfId="0" applyNumberFormat="1" applyFont="1" applyBorder="1" applyAlignment="1">
      <alignment horizontal="center"/>
    </xf>
    <xf numFmtId="178" fontId="15" fillId="0" borderId="64" xfId="0" quotePrefix="1" applyNumberFormat="1" applyFont="1" applyBorder="1" applyAlignment="1">
      <alignment horizontal="center"/>
    </xf>
    <xf numFmtId="0" fontId="15" fillId="0" borderId="47" xfId="0" applyFont="1" applyBorder="1" applyAlignment="1">
      <alignment horizontal="center"/>
    </xf>
    <xf numFmtId="174" fontId="15" fillId="0" borderId="99" xfId="0" applyNumberFormat="1" applyFont="1" applyBorder="1" applyAlignment="1">
      <alignment horizontal="center"/>
    </xf>
    <xf numFmtId="0" fontId="33" fillId="0" borderId="12" xfId="0" applyFont="1" applyBorder="1"/>
    <xf numFmtId="0" fontId="34" fillId="0" borderId="3" xfId="0" applyFont="1" applyBorder="1"/>
    <xf numFmtId="0" fontId="35" fillId="0" borderId="3" xfId="0" applyFont="1" applyBorder="1"/>
    <xf numFmtId="0" fontId="34" fillId="0" borderId="11" xfId="0" applyFont="1" applyBorder="1" applyAlignment="1">
      <alignment horizontal="center"/>
    </xf>
    <xf numFmtId="0" fontId="34" fillId="0" borderId="6" xfId="0" applyFont="1" applyBorder="1" applyAlignment="1">
      <alignment horizontal="center"/>
    </xf>
    <xf numFmtId="0" fontId="34" fillId="0" borderId="103" xfId="0" applyFont="1" applyBorder="1" applyAlignment="1">
      <alignment horizontal="center"/>
    </xf>
    <xf numFmtId="0" fontId="34" fillId="0" borderId="43" xfId="0" applyFont="1" applyBorder="1" applyAlignment="1">
      <alignment horizontal="center"/>
    </xf>
    <xf numFmtId="0" fontId="34" fillId="0" borderId="75" xfId="0" applyFont="1" applyBorder="1"/>
    <xf numFmtId="0" fontId="34" fillId="0" borderId="103" xfId="0" applyFont="1" applyBorder="1"/>
    <xf numFmtId="0" fontId="34" fillId="0" borderId="43" xfId="0" applyFont="1" applyBorder="1"/>
    <xf numFmtId="0" fontId="34" fillId="0" borderId="1" xfId="0" applyFont="1" applyBorder="1" applyAlignment="1">
      <alignment horizontal="center"/>
    </xf>
    <xf numFmtId="0" fontId="34" fillId="0" borderId="0" xfId="0" applyFont="1" applyBorder="1" applyAlignment="1">
      <alignment horizontal="center"/>
    </xf>
    <xf numFmtId="178" fontId="34" fillId="0" borderId="99" xfId="0" applyNumberFormat="1" applyFont="1" applyBorder="1" applyAlignment="1">
      <alignment horizontal="center"/>
    </xf>
    <xf numFmtId="0" fontId="34" fillId="0" borderId="4" xfId="0" applyFont="1" applyBorder="1"/>
    <xf numFmtId="0" fontId="34" fillId="0" borderId="5" xfId="0" applyFont="1" applyBorder="1" applyAlignment="1">
      <alignment horizontal="center"/>
    </xf>
    <xf numFmtId="0" fontId="34" fillId="0" borderId="9" xfId="0" applyFont="1" applyBorder="1" applyAlignment="1">
      <alignment horizontal="center"/>
    </xf>
    <xf numFmtId="0" fontId="34" fillId="0" borderId="93" xfId="0" applyFont="1" applyBorder="1" applyAlignment="1">
      <alignment horizontal="center"/>
    </xf>
    <xf numFmtId="0" fontId="34" fillId="0" borderId="36" xfId="0" applyFont="1" applyBorder="1" applyAlignment="1">
      <alignment horizontal="center"/>
    </xf>
    <xf numFmtId="0" fontId="34" fillId="0" borderId="77" xfId="0" applyFont="1" applyBorder="1"/>
    <xf numFmtId="0" fontId="34" fillId="0" borderId="93" xfId="0" applyFont="1" applyBorder="1"/>
    <xf numFmtId="0" fontId="34" fillId="0" borderId="36" xfId="0" applyFont="1" applyBorder="1"/>
    <xf numFmtId="178" fontId="34" fillId="0" borderId="76" xfId="0" applyNumberFormat="1" applyFont="1" applyBorder="1" applyAlignment="1">
      <alignment horizontal="center"/>
    </xf>
    <xf numFmtId="0" fontId="36" fillId="0" borderId="99" xfId="0" applyFont="1" applyBorder="1" applyAlignment="1">
      <alignment horizontal="center"/>
    </xf>
    <xf numFmtId="0" fontId="36" fillId="0" borderId="76" xfId="0" applyFont="1" applyBorder="1" applyAlignment="1">
      <alignment horizontal="center"/>
    </xf>
    <xf numFmtId="168" fontId="15" fillId="18" borderId="76" xfId="1" applyNumberFormat="1" applyFont="1" applyFill="1" applyBorder="1" applyAlignment="1">
      <alignment horizontal="left" vertical="top" wrapText="1"/>
    </xf>
    <xf numFmtId="168" fontId="19" fillId="18" borderId="76" xfId="1" applyNumberFormat="1" applyFont="1" applyFill="1" applyBorder="1" applyAlignment="1">
      <alignment horizontal="left" vertical="top" wrapText="1"/>
    </xf>
    <xf numFmtId="172" fontId="15" fillId="18" borderId="42" xfId="0" applyNumberFormat="1" applyFont="1" applyFill="1" applyBorder="1" applyAlignment="1">
      <alignment horizontal="center"/>
    </xf>
    <xf numFmtId="172" fontId="15" fillId="18" borderId="76" xfId="0" applyNumberFormat="1" applyFont="1" applyFill="1" applyBorder="1" applyAlignment="1">
      <alignment horizontal="center"/>
    </xf>
    <xf numFmtId="0" fontId="15" fillId="18" borderId="42" xfId="0" applyNumberFormat="1" applyFont="1" applyFill="1" applyBorder="1" applyAlignment="1">
      <alignment horizontal="center"/>
    </xf>
    <xf numFmtId="0" fontId="15" fillId="18" borderId="8" xfId="0" applyNumberFormat="1" applyFont="1" applyFill="1" applyBorder="1" applyAlignment="1">
      <alignment horizontal="center"/>
    </xf>
    <xf numFmtId="179" fontId="15" fillId="18" borderId="42" xfId="0" applyNumberFormat="1" applyFont="1" applyFill="1" applyBorder="1" applyAlignment="1"/>
    <xf numFmtId="179" fontId="15" fillId="18" borderId="8" xfId="0" applyNumberFormat="1" applyFont="1" applyFill="1" applyBorder="1" applyAlignment="1"/>
    <xf numFmtId="172" fontId="17" fillId="18" borderId="43" xfId="0" applyNumberFormat="1" applyFont="1" applyFill="1" applyBorder="1"/>
    <xf numFmtId="172" fontId="17" fillId="18" borderId="75" xfId="0" applyNumberFormat="1" applyFont="1" applyFill="1" applyBorder="1"/>
    <xf numFmtId="172" fontId="17" fillId="18" borderId="0" xfId="0" applyNumberFormat="1" applyFont="1" applyFill="1" applyBorder="1" applyAlignment="1">
      <alignment horizontal="center"/>
    </xf>
    <xf numFmtId="172" fontId="17" fillId="18" borderId="8" xfId="0" applyNumberFormat="1" applyFont="1" applyFill="1" applyBorder="1"/>
    <xf numFmtId="14" fontId="15" fillId="18" borderId="42" xfId="0" applyNumberFormat="1" applyFont="1" applyFill="1" applyBorder="1" applyAlignment="1">
      <alignment horizontal="center"/>
    </xf>
    <xf numFmtId="14" fontId="15" fillId="18" borderId="76" xfId="0" applyNumberFormat="1" applyFont="1" applyFill="1" applyBorder="1" applyAlignment="1">
      <alignment horizontal="center"/>
    </xf>
    <xf numFmtId="14" fontId="15" fillId="18" borderId="0" xfId="0" applyNumberFormat="1" applyFont="1" applyFill="1" applyBorder="1" applyAlignment="1">
      <alignment horizontal="center"/>
    </xf>
    <xf numFmtId="14" fontId="15" fillId="18" borderId="8" xfId="0" applyNumberFormat="1" applyFont="1" applyFill="1" applyBorder="1" applyAlignment="1">
      <alignment horizontal="center"/>
    </xf>
    <xf numFmtId="172" fontId="17" fillId="18" borderId="42" xfId="0" applyNumberFormat="1" applyFont="1" applyFill="1" applyBorder="1"/>
    <xf numFmtId="172" fontId="17" fillId="18" borderId="76" xfId="0" applyNumberFormat="1" applyFont="1" applyFill="1" applyBorder="1"/>
    <xf numFmtId="172" fontId="17" fillId="18" borderId="42" xfId="0" applyNumberFormat="1" applyFont="1" applyFill="1" applyBorder="1" applyAlignment="1">
      <alignment horizontal="center"/>
    </xf>
    <xf numFmtId="172" fontId="17" fillId="18" borderId="76" xfId="0" applyNumberFormat="1" applyFont="1" applyFill="1" applyBorder="1" applyAlignment="1">
      <alignment horizontal="center"/>
    </xf>
    <xf numFmtId="0" fontId="17" fillId="18" borderId="42" xfId="0" applyNumberFormat="1" applyFont="1" applyFill="1" applyBorder="1" applyAlignment="1">
      <alignment horizontal="center"/>
    </xf>
    <xf numFmtId="0" fontId="17" fillId="18" borderId="8" xfId="0" applyNumberFormat="1" applyFont="1" applyFill="1" applyBorder="1" applyAlignment="1">
      <alignment horizontal="center"/>
    </xf>
    <xf numFmtId="166" fontId="15" fillId="18" borderId="42" xfId="1" applyFont="1" applyFill="1" applyBorder="1" applyAlignment="1">
      <alignment horizontal="center"/>
    </xf>
    <xf numFmtId="166" fontId="15" fillId="18" borderId="76" xfId="1" applyFont="1" applyFill="1" applyBorder="1" applyAlignment="1">
      <alignment horizontal="center"/>
    </xf>
    <xf numFmtId="172" fontId="15" fillId="18" borderId="42" xfId="0" applyNumberFormat="1" applyFont="1" applyFill="1" applyBorder="1"/>
    <xf numFmtId="172" fontId="15" fillId="18" borderId="76" xfId="0" applyNumberFormat="1" applyFont="1" applyFill="1" applyBorder="1"/>
    <xf numFmtId="166" fontId="15" fillId="18" borderId="8" xfId="1" applyFont="1" applyFill="1" applyBorder="1" applyAlignment="1">
      <alignment horizontal="center"/>
    </xf>
    <xf numFmtId="172" fontId="15" fillId="18" borderId="8" xfId="0" applyNumberFormat="1" applyFont="1" applyFill="1" applyBorder="1"/>
    <xf numFmtId="0" fontId="17" fillId="0" borderId="12" xfId="0" applyFont="1" applyBorder="1" applyAlignment="1">
      <alignment wrapText="1"/>
    </xf>
    <xf numFmtId="0" fontId="15" fillId="0" borderId="103" xfId="0" applyFont="1" applyBorder="1"/>
    <xf numFmtId="178" fontId="15" fillId="0" borderId="77" xfId="0" applyNumberFormat="1" applyFont="1" applyBorder="1"/>
    <xf numFmtId="178" fontId="15" fillId="0" borderId="93" xfId="0" applyNumberFormat="1" applyFont="1" applyBorder="1"/>
    <xf numFmtId="178" fontId="15" fillId="0" borderId="5" xfId="0" applyNumberFormat="1" applyFont="1" applyBorder="1"/>
    <xf numFmtId="0" fontId="9" fillId="0" borderId="0" xfId="5" applyAlignment="1" applyProtection="1">
      <alignment vertical="center"/>
    </xf>
    <xf numFmtId="0" fontId="9" fillId="0" borderId="0" xfId="5" applyAlignment="1" applyProtection="1"/>
    <xf numFmtId="179" fontId="15" fillId="0" borderId="42" xfId="1" applyNumberFormat="1" applyFont="1" applyBorder="1" applyAlignment="1" applyProtection="1">
      <alignment horizontal="center"/>
      <protection locked="0"/>
    </xf>
    <xf numFmtId="179" fontId="15" fillId="0" borderId="42" xfId="1" applyNumberFormat="1" applyFont="1" applyBorder="1" applyProtection="1">
      <protection locked="0"/>
    </xf>
    <xf numFmtId="179" fontId="15" fillId="0" borderId="42" xfId="1" applyNumberFormat="1" applyFont="1" applyFill="1" applyBorder="1" applyProtection="1">
      <protection locked="0"/>
    </xf>
    <xf numFmtId="179" fontId="15" fillId="0" borderId="0" xfId="1" applyNumberFormat="1" applyFont="1" applyFill="1" applyBorder="1" applyProtection="1">
      <protection locked="0"/>
    </xf>
    <xf numFmtId="178" fontId="15" fillId="17" borderId="107" xfId="0" applyNumberFormat="1" applyFont="1" applyFill="1" applyBorder="1" applyProtection="1">
      <protection locked="0"/>
    </xf>
    <xf numFmtId="178" fontId="15" fillId="17" borderId="98" xfId="0" applyNumberFormat="1" applyFont="1" applyFill="1" applyBorder="1" applyProtection="1">
      <protection locked="0"/>
    </xf>
    <xf numFmtId="0" fontId="19" fillId="0" borderId="11" xfId="0" applyFont="1" applyBorder="1" applyAlignment="1">
      <alignment horizontal="left"/>
    </xf>
    <xf numFmtId="0" fontId="19" fillId="0" borderId="7" xfId="0" applyFont="1" applyBorder="1" applyAlignment="1">
      <alignment horizontal="center"/>
    </xf>
    <xf numFmtId="0" fontId="52" fillId="0" borderId="3" xfId="0" applyFont="1" applyBorder="1"/>
    <xf numFmtId="0" fontId="53" fillId="0" borderId="1" xfId="0" applyFont="1" applyBorder="1" applyAlignment="1">
      <alignment horizontal="center"/>
    </xf>
    <xf numFmtId="0" fontId="54" fillId="0" borderId="99" xfId="0" applyFont="1" applyBorder="1" applyAlignment="1">
      <alignment horizontal="center"/>
    </xf>
    <xf numFmtId="0" fontId="54" fillId="0" borderId="76" xfId="0" applyFont="1" applyBorder="1" applyAlignment="1">
      <alignment horizontal="center"/>
    </xf>
    <xf numFmtId="0" fontId="55" fillId="0" borderId="0" xfId="0" applyFont="1"/>
    <xf numFmtId="0" fontId="15" fillId="0" borderId="103" xfId="0" applyFont="1" applyBorder="1" applyAlignment="1">
      <alignment horizontal="center"/>
    </xf>
    <xf numFmtId="0" fontId="15" fillId="0" borderId="93" xfId="0" applyFont="1" applyBorder="1" applyAlignment="1">
      <alignment horizontal="center"/>
    </xf>
    <xf numFmtId="0" fontId="20" fillId="0" borderId="0" xfId="0" applyNumberFormat="1" applyFont="1" applyBorder="1" applyAlignment="1" applyProtection="1">
      <alignment horizontal="left"/>
    </xf>
    <xf numFmtId="174" fontId="15" fillId="18" borderId="42" xfId="1" applyNumberFormat="1" applyFont="1" applyFill="1" applyBorder="1" applyAlignment="1">
      <alignment horizontal="center"/>
    </xf>
    <xf numFmtId="174" fontId="15" fillId="18" borderId="67" xfId="1" applyNumberFormat="1" applyFont="1" applyFill="1" applyBorder="1" applyAlignment="1">
      <alignment horizontal="center"/>
    </xf>
    <xf numFmtId="174" fontId="15" fillId="18" borderId="76" xfId="1" applyNumberFormat="1" applyFont="1" applyFill="1" applyBorder="1" applyAlignment="1">
      <alignment horizontal="center"/>
    </xf>
    <xf numFmtId="174" fontId="15" fillId="18" borderId="0" xfId="1" applyNumberFormat="1" applyFont="1" applyFill="1" applyBorder="1" applyAlignment="1">
      <alignment horizontal="center"/>
    </xf>
    <xf numFmtId="0" fontId="15" fillId="18" borderId="0" xfId="0" applyFont="1" applyFill="1" applyAlignment="1">
      <alignment horizontal="center"/>
    </xf>
    <xf numFmtId="0" fontId="15" fillId="18" borderId="0" xfId="0" applyFont="1" applyFill="1"/>
    <xf numFmtId="0" fontId="15" fillId="18" borderId="8" xfId="0" applyFont="1" applyFill="1" applyBorder="1"/>
    <xf numFmtId="0" fontId="15" fillId="18" borderId="9" xfId="0" applyFont="1" applyFill="1" applyBorder="1" applyAlignment="1">
      <alignment horizontal="center"/>
    </xf>
    <xf numFmtId="0" fontId="15" fillId="18" borderId="9" xfId="0" applyFont="1" applyFill="1" applyBorder="1"/>
    <xf numFmtId="0" fontId="15" fillId="18" borderId="10" xfId="0" applyFont="1" applyFill="1" applyBorder="1"/>
    <xf numFmtId="178" fontId="15" fillId="0" borderId="45" xfId="0" applyNumberFormat="1" applyFont="1" applyBorder="1" applyAlignment="1">
      <alignment horizontal="center"/>
    </xf>
    <xf numFmtId="178" fontId="15" fillId="0" borderId="43" xfId="0" applyNumberFormat="1" applyFont="1" applyBorder="1" applyAlignment="1">
      <alignment horizontal="center"/>
    </xf>
    <xf numFmtId="178" fontId="15" fillId="0" borderId="66" xfId="0" applyNumberFormat="1" applyFont="1" applyBorder="1" applyAlignment="1">
      <alignment horizontal="center"/>
    </xf>
    <xf numFmtId="178" fontId="15" fillId="0" borderId="75" xfId="0" applyNumberFormat="1" applyFont="1" applyBorder="1" applyAlignment="1">
      <alignment horizontal="center"/>
    </xf>
    <xf numFmtId="178" fontId="15" fillId="0" borderId="64" xfId="0" applyNumberFormat="1" applyFont="1" applyBorder="1" applyAlignment="1">
      <alignment horizontal="center"/>
    </xf>
    <xf numFmtId="178" fontId="15" fillId="0" borderId="36" xfId="0" applyNumberFormat="1" applyFont="1" applyBorder="1" applyAlignment="1">
      <alignment horizontal="center"/>
    </xf>
    <xf numFmtId="178" fontId="15" fillId="0" borderId="37" xfId="0" applyNumberFormat="1" applyFont="1" applyBorder="1"/>
    <xf numFmtId="178" fontId="15" fillId="0" borderId="64" xfId="0" applyNumberFormat="1" applyFont="1" applyBorder="1"/>
    <xf numFmtId="0" fontId="19" fillId="0" borderId="45" xfId="0" applyFont="1" applyBorder="1" applyAlignment="1">
      <alignment horizontal="center"/>
    </xf>
    <xf numFmtId="0" fontId="19" fillId="0" borderId="43" xfId="0" applyFont="1" applyBorder="1" applyAlignment="1">
      <alignment horizontal="center"/>
    </xf>
    <xf numFmtId="172" fontId="15" fillId="0" borderId="75" xfId="0" applyNumberFormat="1" applyFont="1" applyBorder="1"/>
    <xf numFmtId="174" fontId="15" fillId="0" borderId="42" xfId="12" applyNumberFormat="1" applyFont="1" applyBorder="1" applyAlignment="1">
      <alignment horizontal="center"/>
    </xf>
    <xf numFmtId="172" fontId="15" fillId="0" borderId="76" xfId="0" applyNumberFormat="1" applyFont="1" applyBorder="1"/>
    <xf numFmtId="174" fontId="15" fillId="0" borderId="47" xfId="12" applyNumberFormat="1" applyFont="1" applyBorder="1" applyAlignment="1">
      <alignment horizontal="center"/>
    </xf>
    <xf numFmtId="174" fontId="15" fillId="0" borderId="76" xfId="12" applyNumberFormat="1" applyFont="1" applyBorder="1" applyAlignment="1">
      <alignment horizontal="center"/>
    </xf>
    <xf numFmtId="178" fontId="15" fillId="18" borderId="47" xfId="0" applyNumberFormat="1" applyFont="1" applyFill="1" applyBorder="1" applyAlignment="1">
      <alignment horizontal="center"/>
    </xf>
    <xf numFmtId="178" fontId="15" fillId="18" borderId="42" xfId="0" applyNumberFormat="1" applyFont="1" applyFill="1" applyBorder="1" applyAlignment="1">
      <alignment horizontal="center"/>
    </xf>
    <xf numFmtId="178" fontId="15" fillId="18" borderId="76" xfId="0" applyNumberFormat="1" applyFont="1" applyFill="1" applyBorder="1"/>
    <xf numFmtId="178" fontId="15" fillId="18" borderId="47" xfId="0" applyNumberFormat="1" applyFont="1" applyFill="1" applyBorder="1"/>
    <xf numFmtId="178" fontId="15" fillId="18" borderId="42" xfId="0" applyNumberFormat="1" applyFont="1" applyFill="1" applyBorder="1"/>
    <xf numFmtId="0" fontId="15" fillId="0" borderId="108" xfId="0" applyFont="1" applyBorder="1" applyAlignment="1">
      <alignment horizontal="center"/>
    </xf>
    <xf numFmtId="0" fontId="15" fillId="0" borderId="109" xfId="0" applyFont="1" applyBorder="1" applyAlignment="1">
      <alignment horizontal="center"/>
    </xf>
    <xf numFmtId="172" fontId="15" fillId="0" borderId="110" xfId="0" applyNumberFormat="1" applyFont="1" applyBorder="1"/>
    <xf numFmtId="172" fontId="15" fillId="0" borderId="108" xfId="0" applyNumberFormat="1" applyFont="1" applyBorder="1"/>
    <xf numFmtId="172" fontId="15" fillId="0" borderId="109" xfId="0" applyNumberFormat="1" applyFont="1" applyBorder="1"/>
    <xf numFmtId="172" fontId="15" fillId="0" borderId="111" xfId="0" applyNumberFormat="1" applyFont="1" applyBorder="1"/>
    <xf numFmtId="172" fontId="15" fillId="0" borderId="112" xfId="0" applyNumberFormat="1" applyFont="1" applyBorder="1"/>
    <xf numFmtId="172" fontId="15" fillId="0" borderId="113" xfId="0" applyNumberFormat="1" applyFont="1" applyBorder="1"/>
    <xf numFmtId="178" fontId="17" fillId="0" borderId="114" xfId="0" applyNumberFormat="1" applyFont="1" applyBorder="1"/>
    <xf numFmtId="178" fontId="17" fillId="0" borderId="115" xfId="0" applyNumberFormat="1" applyFont="1" applyBorder="1"/>
    <xf numFmtId="178" fontId="17" fillId="0" borderId="116" xfId="0" applyNumberFormat="1" applyFont="1" applyBorder="1"/>
    <xf numFmtId="49" fontId="17" fillId="0" borderId="12" xfId="0" applyNumberFormat="1" applyFont="1" applyFill="1" applyBorder="1" applyAlignment="1">
      <alignment horizontal="center" vertical="center" wrapText="1"/>
    </xf>
    <xf numFmtId="0" fontId="17" fillId="0" borderId="45" xfId="0" applyFont="1" applyFill="1" applyBorder="1" applyAlignment="1">
      <alignment vertical="center"/>
    </xf>
    <xf numFmtId="0" fontId="17" fillId="0" borderId="64" xfId="0" applyFont="1" applyFill="1" applyBorder="1" applyAlignment="1">
      <alignment vertical="center"/>
    </xf>
    <xf numFmtId="0" fontId="15" fillId="0" borderId="47" xfId="0" applyNumberFormat="1" applyFont="1" applyBorder="1" applyAlignment="1">
      <alignment horizontal="center"/>
    </xf>
    <xf numFmtId="0" fontId="15" fillId="0" borderId="63" xfId="0" applyNumberFormat="1" applyFont="1" applyBorder="1" applyAlignment="1">
      <alignment horizontal="center"/>
    </xf>
    <xf numFmtId="0" fontId="15" fillId="0" borderId="47" xfId="0" applyNumberFormat="1" applyFont="1" applyFill="1" applyBorder="1" applyAlignment="1">
      <alignment horizontal="center"/>
    </xf>
    <xf numFmtId="0" fontId="15" fillId="0" borderId="63" xfId="0" applyNumberFormat="1" applyFont="1" applyFill="1" applyBorder="1" applyAlignment="1">
      <alignment horizontal="center"/>
    </xf>
    <xf numFmtId="0" fontId="15" fillId="0" borderId="56" xfId="0" applyNumberFormat="1" applyFont="1" applyFill="1" applyBorder="1" applyAlignment="1">
      <alignment horizontal="center"/>
    </xf>
    <xf numFmtId="178" fontId="15" fillId="0" borderId="76" xfId="0" applyNumberFormat="1" applyFont="1" applyBorder="1" applyAlignment="1" applyProtection="1">
      <alignment horizontal="right"/>
    </xf>
    <xf numFmtId="178" fontId="15" fillId="0" borderId="47" xfId="0" applyNumberFormat="1" applyFont="1" applyFill="1" applyBorder="1" applyAlignment="1" applyProtection="1">
      <alignment horizontal="right"/>
    </xf>
    <xf numFmtId="178" fontId="17" fillId="0" borderId="86" xfId="0" applyNumberFormat="1" applyFont="1" applyBorder="1" applyProtection="1"/>
    <xf numFmtId="178" fontId="15" fillId="0" borderId="99" xfId="0" applyNumberFormat="1" applyFont="1" applyBorder="1" applyAlignment="1" applyProtection="1">
      <alignment horizontal="right"/>
    </xf>
    <xf numFmtId="178" fontId="15" fillId="0" borderId="70" xfId="0" applyNumberFormat="1" applyFont="1" applyBorder="1" applyAlignment="1">
      <alignment horizontal="right"/>
    </xf>
    <xf numFmtId="0" fontId="17" fillId="0" borderId="75" xfId="0" applyFont="1" applyBorder="1" applyAlignment="1" applyProtection="1">
      <alignment horizontal="center"/>
    </xf>
    <xf numFmtId="178" fontId="17" fillId="0" borderId="86" xfId="0" applyNumberFormat="1" applyFont="1" applyBorder="1" applyAlignment="1" applyProtection="1">
      <alignment horizontal="right"/>
    </xf>
    <xf numFmtId="178" fontId="15" fillId="0" borderId="76" xfId="0" applyNumberFormat="1" applyFont="1" applyBorder="1" applyProtection="1"/>
    <xf numFmtId="178" fontId="15" fillId="0" borderId="76" xfId="0" applyNumberFormat="1" applyFont="1" applyFill="1" applyBorder="1" applyAlignment="1" applyProtection="1">
      <alignment horizontal="right"/>
    </xf>
    <xf numFmtId="178" fontId="17" fillId="0" borderId="84" xfId="0" applyNumberFormat="1" applyFont="1" applyBorder="1" applyProtection="1"/>
    <xf numFmtId="0" fontId="10" fillId="0" borderId="0" xfId="11" applyFont="1"/>
    <xf numFmtId="171" fontId="15" fillId="0" borderId="76" xfId="0" applyNumberFormat="1" applyFont="1" applyFill="1" applyBorder="1" applyAlignment="1">
      <alignment horizontal="center" vertical="top" wrapText="1"/>
    </xf>
    <xf numFmtId="178" fontId="15" fillId="0" borderId="0" xfId="1" applyNumberFormat="1" applyFont="1"/>
    <xf numFmtId="0" fontId="15" fillId="17" borderId="0" xfId="0" applyFont="1" applyFill="1" applyBorder="1" applyProtection="1">
      <protection locked="0"/>
    </xf>
    <xf numFmtId="172" fontId="17" fillId="0" borderId="60" xfId="0" applyNumberFormat="1" applyFont="1" applyBorder="1"/>
    <xf numFmtId="179" fontId="17" fillId="0" borderId="60" xfId="0" applyNumberFormat="1" applyFont="1" applyBorder="1"/>
    <xf numFmtId="0" fontId="17" fillId="0" borderId="60" xfId="0" applyNumberFormat="1" applyFont="1" applyBorder="1"/>
    <xf numFmtId="0" fontId="17" fillId="0" borderId="59" xfId="0" applyNumberFormat="1" applyFont="1" applyBorder="1"/>
    <xf numFmtId="172" fontId="17" fillId="0" borderId="63" xfId="0" applyNumberFormat="1" applyFont="1" applyBorder="1"/>
    <xf numFmtId="172" fontId="17" fillId="0" borderId="61" xfId="0" applyNumberFormat="1" applyFont="1" applyBorder="1"/>
    <xf numFmtId="0" fontId="20" fillId="17" borderId="71" xfId="0" applyNumberFormat="1" applyFont="1" applyFill="1" applyBorder="1" applyAlignment="1" applyProtection="1">
      <alignment horizontal="center"/>
      <protection locked="0"/>
    </xf>
    <xf numFmtId="0" fontId="20" fillId="17" borderId="36" xfId="0" applyNumberFormat="1" applyFont="1" applyFill="1" applyBorder="1" applyAlignment="1" applyProtection="1">
      <alignment horizontal="center"/>
      <protection locked="0"/>
    </xf>
    <xf numFmtId="0" fontId="17" fillId="0" borderId="103" xfId="0" applyNumberFormat="1" applyFont="1" applyFill="1" applyBorder="1" applyAlignment="1">
      <alignment horizontal="center"/>
    </xf>
    <xf numFmtId="0" fontId="17" fillId="0" borderId="99" xfId="0" applyNumberFormat="1" applyFont="1" applyFill="1" applyBorder="1" applyAlignment="1">
      <alignment horizontal="center"/>
    </xf>
    <xf numFmtId="0" fontId="17" fillId="17" borderId="99" xfId="0" applyNumberFormat="1" applyFont="1" applyFill="1" applyBorder="1" applyAlignment="1" applyProtection="1">
      <alignment horizontal="center"/>
      <protection locked="0"/>
    </xf>
    <xf numFmtId="0" fontId="15" fillId="17" borderId="99" xfId="0" applyNumberFormat="1" applyFont="1" applyFill="1" applyBorder="1" applyProtection="1">
      <protection locked="0"/>
    </xf>
    <xf numFmtId="0" fontId="15" fillId="17" borderId="107" xfId="0" applyNumberFormat="1" applyFont="1" applyFill="1" applyBorder="1" applyProtection="1">
      <protection locked="0"/>
    </xf>
    <xf numFmtId="0" fontId="15" fillId="0" borderId="99" xfId="0" applyNumberFormat="1" applyFont="1" applyFill="1" applyBorder="1"/>
    <xf numFmtId="0" fontId="15" fillId="17" borderId="93" xfId="0" applyNumberFormat="1" applyFont="1" applyFill="1" applyBorder="1" applyProtection="1">
      <protection locked="0"/>
    </xf>
    <xf numFmtId="0" fontId="12" fillId="0" borderId="36" xfId="0" applyFont="1" applyFill="1" applyBorder="1" applyAlignment="1">
      <alignment horizontal="left"/>
    </xf>
    <xf numFmtId="49" fontId="17" fillId="0" borderId="43" xfId="0" applyNumberFormat="1" applyFont="1" applyFill="1" applyBorder="1" applyAlignment="1">
      <alignment horizontal="center" vertical="center" wrapText="1"/>
    </xf>
    <xf numFmtId="0" fontId="17" fillId="0" borderId="36" xfId="0" applyFont="1" applyFill="1" applyBorder="1" applyAlignment="1">
      <alignment horizontal="left" vertical="center"/>
    </xf>
    <xf numFmtId="0" fontId="17" fillId="0" borderId="43" xfId="0" applyNumberFormat="1" applyFont="1" applyFill="1" applyBorder="1"/>
    <xf numFmtId="0" fontId="20" fillId="0" borderId="42" xfId="0" applyNumberFormat="1" applyFont="1" applyFill="1" applyBorder="1" applyAlignment="1">
      <alignment horizontal="left" indent="1"/>
    </xf>
    <xf numFmtId="0" fontId="17" fillId="17" borderId="42" xfId="0" applyNumberFormat="1" applyFont="1" applyFill="1" applyBorder="1" applyProtection="1">
      <protection locked="0"/>
    </xf>
    <xf numFmtId="0" fontId="15" fillId="17" borderId="42" xfId="0" applyNumberFormat="1" applyFont="1" applyFill="1" applyBorder="1" applyAlignment="1" applyProtection="1">
      <alignment horizontal="left" indent="1"/>
      <protection locked="0"/>
    </xf>
    <xf numFmtId="0" fontId="17" fillId="17" borderId="71" xfId="0" applyNumberFormat="1" applyFont="1" applyFill="1" applyBorder="1" applyAlignment="1" applyProtection="1">
      <alignment horizontal="left" indent="1"/>
      <protection locked="0"/>
    </xf>
    <xf numFmtId="0" fontId="17" fillId="0" borderId="42" xfId="0" applyNumberFormat="1" applyFont="1" applyBorder="1"/>
    <xf numFmtId="0" fontId="17" fillId="0" borderId="42" xfId="0" applyNumberFormat="1" applyFont="1" applyFill="1" applyBorder="1" applyAlignment="1">
      <alignment horizontal="left" indent="1"/>
    </xf>
    <xf numFmtId="0" fontId="18" fillId="17" borderId="42" xfId="0" applyNumberFormat="1" applyFont="1" applyFill="1" applyBorder="1" applyProtection="1">
      <protection locked="0"/>
    </xf>
    <xf numFmtId="0" fontId="20" fillId="17" borderId="42" xfId="0" applyNumberFormat="1" applyFont="1" applyFill="1" applyBorder="1" applyAlignment="1" applyProtection="1">
      <alignment horizontal="left" indent="1"/>
      <protection locked="0"/>
    </xf>
    <xf numFmtId="0" fontId="17" fillId="17" borderId="42" xfId="0" applyNumberFormat="1" applyFont="1" applyFill="1" applyBorder="1" applyAlignment="1" applyProtection="1">
      <alignment horizontal="left" indent="1"/>
      <protection locked="0"/>
    </xf>
    <xf numFmtId="0" fontId="15" fillId="17" borderId="36" xfId="0" applyNumberFormat="1" applyFont="1" applyFill="1" applyBorder="1" applyAlignment="1" applyProtection="1">
      <alignment horizontal="left" indent="1"/>
      <protection locked="0"/>
    </xf>
    <xf numFmtId="0" fontId="21" fillId="0" borderId="42" xfId="0" applyNumberFormat="1" applyFont="1" applyBorder="1"/>
    <xf numFmtId="0" fontId="20" fillId="0" borderId="42" xfId="0" applyNumberFormat="1" applyFont="1" applyBorder="1"/>
    <xf numFmtId="49" fontId="15" fillId="0" borderId="42" xfId="0" applyNumberFormat="1" applyFont="1" applyFill="1" applyBorder="1" applyAlignment="1">
      <alignment horizontal="center" vertical="center" wrapText="1"/>
    </xf>
    <xf numFmtId="172" fontId="17" fillId="0" borderId="102" xfId="0" applyNumberFormat="1" applyFont="1" applyBorder="1"/>
    <xf numFmtId="172" fontId="17" fillId="0" borderId="105" xfId="0" applyNumberFormat="1" applyFont="1" applyBorder="1"/>
    <xf numFmtId="172" fontId="17" fillId="0" borderId="56" xfId="0" applyNumberFormat="1" applyFont="1" applyBorder="1"/>
    <xf numFmtId="178" fontId="17" fillId="0" borderId="84" xfId="0" applyNumberFormat="1" applyFont="1" applyBorder="1"/>
    <xf numFmtId="172" fontId="17" fillId="0" borderId="48" xfId="0" applyNumberFormat="1" applyFont="1" applyBorder="1"/>
    <xf numFmtId="172" fontId="17" fillId="0" borderId="50" xfId="0" applyNumberFormat="1" applyFont="1" applyBorder="1"/>
    <xf numFmtId="172" fontId="17" fillId="0" borderId="59" xfId="0" applyNumberFormat="1" applyFont="1" applyBorder="1"/>
    <xf numFmtId="0" fontId="17" fillId="0" borderId="99" xfId="0" applyFont="1" applyFill="1" applyBorder="1" applyAlignment="1">
      <alignment horizontal="center" vertical="center" wrapText="1"/>
    </xf>
    <xf numFmtId="0" fontId="17" fillId="0" borderId="47" xfId="0" applyFont="1" applyFill="1" applyBorder="1" applyAlignment="1" applyProtection="1">
      <alignment horizontal="left" indent="1"/>
    </xf>
    <xf numFmtId="0" fontId="17" fillId="0" borderId="3" xfId="0" applyNumberFormat="1" applyFont="1" applyFill="1" applyBorder="1" applyAlignment="1">
      <alignment wrapText="1"/>
    </xf>
    <xf numFmtId="0" fontId="17" fillId="0" borderId="3" xfId="0" applyFont="1" applyFill="1" applyBorder="1" applyAlignment="1">
      <alignment horizontal="left" vertical="center"/>
    </xf>
    <xf numFmtId="0" fontId="17" fillId="0" borderId="47" xfId="0" applyFont="1" applyFill="1" applyBorder="1" applyAlignment="1">
      <alignment vertical="center"/>
    </xf>
    <xf numFmtId="0" fontId="17" fillId="0" borderId="6" xfId="0" applyFont="1" applyFill="1" applyBorder="1" applyAlignment="1">
      <alignment horizontal="left" vertical="center"/>
    </xf>
    <xf numFmtId="0" fontId="15" fillId="0" borderId="6" xfId="0" applyNumberFormat="1" applyFont="1" applyFill="1" applyBorder="1" applyAlignment="1">
      <alignment horizontal="center"/>
    </xf>
    <xf numFmtId="178" fontId="17" fillId="0" borderId="6" xfId="0" applyNumberFormat="1" applyFont="1" applyFill="1" applyBorder="1"/>
    <xf numFmtId="0" fontId="15" fillId="0" borderId="45" xfId="0" applyNumberFormat="1" applyFont="1" applyBorder="1" applyAlignment="1">
      <alignment horizontal="center"/>
    </xf>
    <xf numFmtId="178" fontId="15" fillId="0" borderId="7" xfId="0" applyNumberFormat="1" applyFont="1" applyBorder="1"/>
    <xf numFmtId="178" fontId="15" fillId="0" borderId="12" xfId="0" applyNumberFormat="1" applyFont="1" applyBorder="1"/>
    <xf numFmtId="178" fontId="15" fillId="0" borderId="6" xfId="0" applyNumberFormat="1" applyFont="1" applyBorder="1"/>
    <xf numFmtId="178" fontId="15" fillId="0" borderId="67" xfId="0" applyNumberFormat="1" applyFont="1" applyBorder="1"/>
    <xf numFmtId="178" fontId="17" fillId="0" borderId="102" xfId="0" applyNumberFormat="1" applyFont="1" applyBorder="1"/>
    <xf numFmtId="178" fontId="17" fillId="0" borderId="102" xfId="0" applyNumberFormat="1" applyFont="1" applyFill="1" applyBorder="1"/>
    <xf numFmtId="178" fontId="17" fillId="0" borderId="67" xfId="0" applyNumberFormat="1" applyFont="1" applyFill="1" applyBorder="1"/>
    <xf numFmtId="178" fontId="17" fillId="0" borderId="100" xfId="0" applyNumberFormat="1" applyFont="1" applyFill="1" applyBorder="1"/>
    <xf numFmtId="178" fontId="15" fillId="0" borderId="66" xfId="0" applyNumberFormat="1" applyFont="1" applyBorder="1"/>
    <xf numFmtId="0" fontId="17" fillId="0" borderId="88" xfId="0" applyFont="1" applyFill="1" applyBorder="1" applyAlignment="1">
      <alignment horizontal="center" vertical="center" wrapText="1"/>
    </xf>
    <xf numFmtId="178" fontId="17" fillId="0" borderId="87" xfId="0" applyNumberFormat="1" applyFont="1" applyBorder="1"/>
    <xf numFmtId="178" fontId="17" fillId="0" borderId="87" xfId="0" applyNumberFormat="1" applyFont="1" applyFill="1" applyBorder="1"/>
    <xf numFmtId="178" fontId="17" fillId="0" borderId="1" xfId="0" applyNumberFormat="1" applyFont="1" applyFill="1" applyBorder="1"/>
    <xf numFmtId="178" fontId="17" fillId="0" borderId="88" xfId="0" applyNumberFormat="1" applyFont="1" applyFill="1" applyBorder="1"/>
    <xf numFmtId="178" fontId="17" fillId="0" borderId="11" xfId="0" applyNumberFormat="1" applyFont="1" applyFill="1" applyBorder="1"/>
    <xf numFmtId="178" fontId="15" fillId="0" borderId="11" xfId="0" applyNumberFormat="1" applyFont="1" applyBorder="1"/>
    <xf numFmtId="0" fontId="13" fillId="17" borderId="2" xfId="0" applyFont="1" applyFill="1" applyBorder="1" applyProtection="1">
      <protection locked="0"/>
    </xf>
    <xf numFmtId="0" fontId="14" fillId="17" borderId="0" xfId="0" applyFont="1" applyFill="1" applyAlignment="1" applyProtection="1">
      <alignment horizontal="left" indent="1"/>
      <protection locked="0"/>
    </xf>
    <xf numFmtId="0" fontId="56" fillId="19" borderId="0" xfId="0" applyFont="1" applyFill="1" applyProtection="1"/>
    <xf numFmtId="0" fontId="57" fillId="19" borderId="0" xfId="0" applyFont="1" applyFill="1" applyAlignment="1" applyProtection="1">
      <alignment horizontal="right"/>
    </xf>
    <xf numFmtId="0" fontId="39" fillId="19" borderId="0" xfId="0" applyFont="1" applyFill="1" applyProtection="1"/>
    <xf numFmtId="0" fontId="58" fillId="19" borderId="0" xfId="0" applyFont="1" applyFill="1" applyProtection="1"/>
    <xf numFmtId="0" fontId="59" fillId="19" borderId="0" xfId="0" applyFont="1" applyFill="1" applyAlignment="1" applyProtection="1">
      <alignment horizontal="right"/>
    </xf>
    <xf numFmtId="49" fontId="58" fillId="19" borderId="0" xfId="0" applyNumberFormat="1" applyFont="1" applyFill="1" applyAlignment="1" applyProtection="1">
      <alignment horizontal="right"/>
    </xf>
    <xf numFmtId="49" fontId="59" fillId="19" borderId="0" xfId="0" applyNumberFormat="1" applyFont="1" applyFill="1" applyAlignment="1" applyProtection="1">
      <alignment horizontal="right"/>
    </xf>
    <xf numFmtId="0" fontId="58" fillId="19" borderId="0" xfId="0" applyFont="1" applyFill="1" applyAlignment="1" applyProtection="1">
      <alignment horizontal="right"/>
    </xf>
    <xf numFmtId="0" fontId="14" fillId="19" borderId="0" xfId="0" applyFont="1" applyFill="1" applyProtection="1">
      <protection locked="0"/>
    </xf>
    <xf numFmtId="0" fontId="10" fillId="0" borderId="10" xfId="0" applyFont="1" applyBorder="1" applyProtection="1">
      <protection hidden="1"/>
    </xf>
    <xf numFmtId="0" fontId="10" fillId="0" borderId="0" xfId="0" applyFont="1" applyProtection="1">
      <protection hidden="1"/>
    </xf>
    <xf numFmtId="0" fontId="10" fillId="0" borderId="0" xfId="0" applyFont="1" applyBorder="1" applyProtection="1">
      <protection hidden="1"/>
    </xf>
    <xf numFmtId="0" fontId="10" fillId="0" borderId="8" xfId="0" applyFont="1" applyBorder="1" applyProtection="1">
      <protection hidden="1"/>
    </xf>
    <xf numFmtId="0" fontId="35" fillId="0" borderId="0" xfId="0" applyFont="1" applyBorder="1" applyProtection="1">
      <protection hidden="1"/>
    </xf>
    <xf numFmtId="0" fontId="34" fillId="0" borderId="8" xfId="0" applyFont="1" applyBorder="1" applyProtection="1">
      <protection hidden="1"/>
    </xf>
    <xf numFmtId="0" fontId="12" fillId="0" borderId="117" xfId="0" applyFont="1" applyBorder="1" applyAlignment="1" applyProtection="1">
      <alignment horizontal="left" vertical="top" wrapText="1"/>
    </xf>
    <xf numFmtId="0" fontId="10" fillId="0" borderId="0" xfId="0" applyFont="1" applyBorder="1" applyAlignment="1" applyProtection="1">
      <alignment horizontal="left" vertical="center"/>
    </xf>
    <xf numFmtId="0" fontId="10" fillId="0" borderId="0" xfId="0" applyFont="1" applyBorder="1" applyAlignment="1" applyProtection="1">
      <alignment horizontal="center" vertical="center" wrapText="1"/>
    </xf>
    <xf numFmtId="0" fontId="12" fillId="0" borderId="4" xfId="0" applyFont="1" applyFill="1" applyBorder="1" applyAlignment="1" applyProtection="1">
      <alignment horizontal="left" vertical="top" wrapText="1"/>
    </xf>
    <xf numFmtId="0" fontId="12" fillId="0" borderId="10" xfId="0" applyFont="1" applyFill="1" applyBorder="1" applyAlignment="1" applyProtection="1">
      <alignment horizontal="justify" vertical="center" wrapText="1"/>
      <protection locked="0"/>
    </xf>
    <xf numFmtId="0" fontId="12" fillId="0" borderId="12" xfId="0" applyFont="1" applyBorder="1" applyAlignment="1">
      <alignment vertical="center"/>
    </xf>
    <xf numFmtId="0" fontId="10" fillId="17" borderId="7" xfId="0" applyFont="1" applyFill="1" applyBorder="1" applyAlignment="1" applyProtection="1">
      <alignment vertical="center"/>
      <protection locked="0"/>
    </xf>
    <xf numFmtId="0" fontId="20" fillId="0" borderId="0" xfId="6" applyFont="1" applyAlignment="1" applyProtection="1"/>
    <xf numFmtId="0" fontId="10" fillId="0" borderId="0" xfId="0" applyFont="1" applyBorder="1" applyAlignment="1">
      <alignment vertical="center"/>
    </xf>
    <xf numFmtId="0" fontId="10" fillId="0" borderId="4" xfId="0" applyFont="1" applyBorder="1" applyAlignment="1">
      <alignment vertical="center"/>
    </xf>
    <xf numFmtId="0" fontId="10" fillId="0" borderId="10" xfId="0" applyFont="1" applyBorder="1" applyAlignment="1">
      <alignment vertical="center"/>
    </xf>
    <xf numFmtId="0" fontId="12" fillId="0" borderId="3" xfId="0" applyFont="1" applyFill="1" applyBorder="1" applyAlignment="1" applyProtection="1">
      <alignment horizontal="justify" vertical="center" wrapText="1"/>
    </xf>
    <xf numFmtId="0" fontId="12" fillId="0" borderId="8" xfId="0" applyFont="1" applyFill="1" applyBorder="1" applyAlignment="1" applyProtection="1">
      <alignment horizontal="justify" vertical="center" wrapText="1"/>
    </xf>
    <xf numFmtId="0" fontId="12" fillId="0" borderId="0" xfId="0" applyFont="1" applyBorder="1" applyAlignment="1" applyProtection="1">
      <alignment horizontal="justify" vertical="top" wrapText="1"/>
    </xf>
    <xf numFmtId="0" fontId="12" fillId="0" borderId="4" xfId="0" applyFont="1" applyFill="1" applyBorder="1" applyAlignment="1" applyProtection="1">
      <alignment horizontal="justify" vertical="center" wrapText="1"/>
    </xf>
    <xf numFmtId="0" fontId="12" fillId="0" borderId="10" xfId="0" applyFont="1" applyFill="1" applyBorder="1" applyAlignment="1" applyProtection="1">
      <alignment horizontal="justify" vertical="center" wrapText="1"/>
    </xf>
    <xf numFmtId="0" fontId="12" fillId="0" borderId="3" xfId="0" applyFont="1" applyFill="1" applyBorder="1" applyAlignment="1" applyProtection="1">
      <alignment horizontal="left" vertical="top" wrapText="1"/>
    </xf>
    <xf numFmtId="0" fontId="10" fillId="0" borderId="0" xfId="6" applyFont="1" applyBorder="1" applyAlignment="1" applyProtection="1"/>
    <xf numFmtId="0" fontId="12" fillId="0" borderId="0" xfId="0" applyFont="1" applyFill="1" applyBorder="1" applyAlignment="1" applyProtection="1">
      <alignment horizontal="left" vertical="top" wrapText="1"/>
      <protection locked="0"/>
    </xf>
    <xf numFmtId="0" fontId="12" fillId="0" borderId="4" xfId="0" applyFont="1" applyFill="1" applyBorder="1" applyAlignment="1" applyProtection="1">
      <alignment horizontal="justify" vertical="top" wrapText="1"/>
    </xf>
    <xf numFmtId="0" fontId="12" fillId="0" borderId="10" xfId="0" applyFont="1" applyBorder="1" applyAlignment="1" applyProtection="1">
      <alignment horizontal="justify" vertical="top" wrapText="1"/>
    </xf>
    <xf numFmtId="0" fontId="12" fillId="0" borderId="0" xfId="0" applyFont="1" applyFill="1" applyBorder="1" applyAlignment="1" applyProtection="1">
      <alignment horizontal="justify" vertical="top" wrapText="1"/>
    </xf>
    <xf numFmtId="0" fontId="10" fillId="0" borderId="4" xfId="0" applyFont="1" applyBorder="1" applyAlignment="1" applyProtection="1">
      <alignment horizontal="justify" vertical="top" wrapText="1"/>
    </xf>
    <xf numFmtId="0" fontId="10" fillId="0" borderId="10" xfId="0" applyFont="1" applyBorder="1" applyAlignment="1" applyProtection="1">
      <alignment horizontal="justify" vertical="top" wrapText="1"/>
    </xf>
    <xf numFmtId="0" fontId="10" fillId="0" borderId="0" xfId="0" applyFont="1" applyAlignment="1" applyProtection="1">
      <alignment vertical="center"/>
      <protection hidden="1"/>
    </xf>
    <xf numFmtId="0" fontId="12" fillId="0" borderId="117" xfId="0" applyFont="1" applyBorder="1" applyAlignment="1" applyProtection="1">
      <alignment horizontal="justify" wrapText="1"/>
    </xf>
    <xf numFmtId="0" fontId="10" fillId="0" borderId="118" xfId="0" applyFont="1" applyBorder="1" applyAlignment="1" applyProtection="1">
      <alignment horizontal="justify" wrapText="1"/>
    </xf>
    <xf numFmtId="0" fontId="10" fillId="0" borderId="17" xfId="0" applyFont="1" applyBorder="1" applyAlignment="1" applyProtection="1">
      <alignment horizontal="justify" wrapText="1"/>
    </xf>
    <xf numFmtId="0" fontId="10" fillId="0" borderId="12" xfId="0" applyFont="1" applyBorder="1" applyAlignment="1" applyProtection="1">
      <alignment horizontal="justify" wrapText="1"/>
    </xf>
    <xf numFmtId="0" fontId="10" fillId="0" borderId="4" xfId="0" applyFont="1" applyFill="1" applyBorder="1" applyAlignment="1" applyProtection="1">
      <alignment horizontal="justify" wrapText="1"/>
    </xf>
    <xf numFmtId="185" fontId="10" fillId="0" borderId="10" xfId="0" applyNumberFormat="1" applyFont="1" applyFill="1" applyBorder="1" applyAlignment="1" applyProtection="1">
      <alignment horizontal="justify" wrapText="1"/>
      <protection locked="0"/>
    </xf>
    <xf numFmtId="0" fontId="12" fillId="0" borderId="17" xfId="0" applyFont="1" applyBorder="1" applyAlignment="1" applyProtection="1">
      <alignment horizontal="justify" wrapText="1"/>
    </xf>
    <xf numFmtId="0" fontId="10" fillId="0" borderId="34" xfId="0" applyFont="1" applyBorder="1" applyAlignment="1" applyProtection="1">
      <alignment horizontal="justify" wrapText="1"/>
    </xf>
    <xf numFmtId="0" fontId="10" fillId="0" borderId="34" xfId="0" applyFont="1" applyFill="1" applyBorder="1" applyAlignment="1" applyProtection="1">
      <alignment horizontal="justify" wrapText="1"/>
    </xf>
    <xf numFmtId="0" fontId="10" fillId="17" borderId="7" xfId="0" applyFont="1" applyFill="1" applyBorder="1" applyAlignment="1" applyProtection="1">
      <alignment horizontal="justify" wrapText="1"/>
      <protection locked="0"/>
    </xf>
    <xf numFmtId="0" fontId="10" fillId="0" borderId="10" xfId="0" applyFont="1" applyFill="1" applyBorder="1" applyAlignment="1" applyProtection="1">
      <alignment horizontal="justify" wrapText="1"/>
      <protection locked="0"/>
    </xf>
    <xf numFmtId="0" fontId="10" fillId="0" borderId="0" xfId="6" applyFont="1" applyAlignment="1" applyProtection="1">
      <protection hidden="1"/>
    </xf>
    <xf numFmtId="0" fontId="40" fillId="0" borderId="0" xfId="6" applyFont="1" applyAlignment="1" applyProtection="1">
      <protection hidden="1"/>
    </xf>
    <xf numFmtId="0" fontId="40" fillId="0" borderId="0" xfId="6" applyFont="1" applyAlignment="1" applyProtection="1">
      <protection locked="0" hidden="1"/>
    </xf>
    <xf numFmtId="0" fontId="10" fillId="0" borderId="0" xfId="0" applyFont="1" applyProtection="1">
      <protection locked="0" hidden="1"/>
    </xf>
    <xf numFmtId="0" fontId="12" fillId="0" borderId="0" xfId="0" applyNumberFormat="1" applyFont="1" applyFill="1" applyBorder="1" applyAlignment="1">
      <alignment horizontal="left"/>
    </xf>
    <xf numFmtId="0" fontId="17" fillId="0" borderId="0" xfId="0" applyFont="1" applyFill="1" applyBorder="1" applyAlignment="1">
      <alignment horizontal="center" vertical="center"/>
    </xf>
    <xf numFmtId="0" fontId="17" fillId="0" borderId="0" xfId="0" applyNumberFormat="1" applyFont="1" applyFill="1" applyBorder="1" applyAlignment="1">
      <alignment horizontal="center" vertical="center"/>
    </xf>
    <xf numFmtId="0" fontId="17" fillId="0" borderId="0" xfId="0" applyFont="1" applyFill="1" applyBorder="1" applyAlignment="1">
      <alignment horizontal="center" vertical="top" wrapText="1"/>
    </xf>
    <xf numFmtId="0" fontId="15" fillId="0" borderId="0" xfId="0" applyNumberFormat="1" applyFont="1" applyFill="1" applyBorder="1" applyAlignment="1">
      <alignment horizontal="left" indent="1"/>
    </xf>
    <xf numFmtId="0" fontId="15" fillId="0" borderId="0" xfId="0" applyNumberFormat="1" applyFont="1" applyFill="1" applyBorder="1" applyAlignment="1">
      <alignment horizontal="center"/>
    </xf>
    <xf numFmtId="177" fontId="15" fillId="0" borderId="0" xfId="1" applyNumberFormat="1" applyFont="1" applyFill="1" applyBorder="1"/>
    <xf numFmtId="173" fontId="17" fillId="0" borderId="0" xfId="0" applyNumberFormat="1" applyFont="1" applyFill="1" applyBorder="1"/>
    <xf numFmtId="0" fontId="15" fillId="0" borderId="0" xfId="0" quotePrefix="1" applyNumberFormat="1" applyFont="1" applyFill="1" applyBorder="1" applyAlignment="1">
      <alignment horizontal="center"/>
    </xf>
    <xf numFmtId="0" fontId="17" fillId="0" borderId="0" xfId="0" applyNumberFormat="1" applyFont="1" applyFill="1" applyBorder="1"/>
    <xf numFmtId="0" fontId="15" fillId="0" borderId="0" xfId="0" applyNumberFormat="1" applyFont="1" applyFill="1" applyBorder="1"/>
    <xf numFmtId="0" fontId="19" fillId="0" borderId="0" xfId="0" applyNumberFormat="1" applyFont="1" applyFill="1" applyBorder="1"/>
    <xf numFmtId="179" fontId="15" fillId="0" borderId="0" xfId="0" applyNumberFormat="1" applyFont="1" applyFill="1" applyBorder="1" applyProtection="1">
      <protection locked="0"/>
    </xf>
    <xf numFmtId="172" fontId="15" fillId="0" borderId="0" xfId="0" applyNumberFormat="1" applyFont="1" applyFill="1" applyBorder="1" applyProtection="1">
      <protection locked="0"/>
    </xf>
    <xf numFmtId="0" fontId="15" fillId="0" borderId="0" xfId="0" applyNumberFormat="1" applyFont="1" applyFill="1" applyBorder="1" applyAlignment="1" applyProtection="1">
      <alignment horizontal="center"/>
      <protection locked="0"/>
    </xf>
    <xf numFmtId="0" fontId="15" fillId="0" borderId="0" xfId="1" applyNumberFormat="1" applyFont="1" applyFill="1" applyBorder="1" applyAlignment="1" applyProtection="1">
      <alignment horizontal="center"/>
      <protection locked="0"/>
    </xf>
    <xf numFmtId="177" fontId="15" fillId="0" borderId="0" xfId="1" applyNumberFormat="1" applyFont="1" applyFill="1" applyBorder="1" applyProtection="1">
      <protection locked="0"/>
    </xf>
    <xf numFmtId="177" fontId="15" fillId="0" borderId="0" xfId="0" applyNumberFormat="1" applyFont="1" applyFill="1" applyBorder="1" applyProtection="1">
      <protection locked="0"/>
    </xf>
    <xf numFmtId="0" fontId="17" fillId="0" borderId="0" xfId="0" applyNumberFormat="1" applyFont="1" applyFill="1" applyBorder="1" applyAlignment="1">
      <alignment horizontal="center"/>
    </xf>
    <xf numFmtId="177" fontId="17" fillId="0" borderId="0" xfId="0" applyNumberFormat="1" applyFont="1" applyFill="1" applyBorder="1" applyProtection="1">
      <protection locked="0"/>
    </xf>
    <xf numFmtId="181" fontId="15" fillId="0" borderId="0" xfId="1" applyNumberFormat="1" applyFont="1" applyFill="1" applyBorder="1" applyProtection="1">
      <protection locked="0"/>
    </xf>
    <xf numFmtId="174" fontId="15" fillId="0" borderId="0" xfId="12" applyNumberFormat="1" applyFont="1" applyFill="1" applyBorder="1" applyAlignment="1" applyProtection="1">
      <alignment horizontal="center"/>
      <protection locked="0"/>
    </xf>
    <xf numFmtId="178" fontId="15" fillId="0" borderId="0" xfId="1" applyNumberFormat="1" applyFont="1" applyFill="1" applyBorder="1" applyProtection="1">
      <protection locked="0"/>
    </xf>
    <xf numFmtId="0" fontId="21" fillId="0" borderId="0" xfId="0" applyNumberFormat="1" applyFont="1" applyFill="1" applyBorder="1" applyProtection="1"/>
    <xf numFmtId="0" fontId="20" fillId="0" borderId="0" xfId="0" quotePrefix="1" applyNumberFormat="1" applyFont="1" applyFill="1" applyBorder="1" applyProtection="1"/>
    <xf numFmtId="0" fontId="17" fillId="0" borderId="66" xfId="0" applyFont="1" applyFill="1" applyBorder="1" applyAlignment="1">
      <alignment horizontal="center" vertical="center" wrapText="1"/>
    </xf>
    <xf numFmtId="0" fontId="8" fillId="10" borderId="0" xfId="0" applyFont="1" applyFill="1" applyAlignment="1">
      <alignment horizontal="left" indent="1"/>
    </xf>
    <xf numFmtId="0" fontId="5" fillId="0" borderId="0" xfId="0" applyFont="1" applyAlignment="1">
      <alignment horizontal="left" indent="1"/>
    </xf>
    <xf numFmtId="178" fontId="15" fillId="17" borderId="60" xfId="0" applyNumberFormat="1" applyFont="1" applyFill="1" applyBorder="1" applyAlignment="1" applyProtection="1">
      <alignment vertical="top" wrapText="1"/>
      <protection locked="0"/>
    </xf>
    <xf numFmtId="178" fontId="15" fillId="17" borderId="61" xfId="0" applyNumberFormat="1" applyFont="1" applyFill="1" applyBorder="1" applyAlignment="1" applyProtection="1">
      <alignment vertical="top" wrapText="1"/>
      <protection locked="0"/>
    </xf>
    <xf numFmtId="178" fontId="15" fillId="17" borderId="62" xfId="0" applyNumberFormat="1" applyFont="1" applyFill="1" applyBorder="1" applyAlignment="1" applyProtection="1">
      <alignment vertical="top" wrapText="1"/>
      <protection locked="0"/>
    </xf>
    <xf numFmtId="178" fontId="15" fillId="17" borderId="59" xfId="0" applyNumberFormat="1" applyFont="1" applyFill="1" applyBorder="1" applyAlignment="1" applyProtection="1">
      <alignment vertical="top" wrapText="1"/>
      <protection locked="0"/>
    </xf>
    <xf numFmtId="178" fontId="15" fillId="17" borderId="63" xfId="0" applyNumberFormat="1" applyFont="1" applyFill="1" applyBorder="1" applyAlignment="1" applyProtection="1">
      <alignment vertical="top" wrapText="1"/>
      <protection locked="0"/>
    </xf>
    <xf numFmtId="0" fontId="15" fillId="0" borderId="59" xfId="0" applyFont="1" applyFill="1" applyBorder="1" applyAlignment="1" applyProtection="1">
      <alignment vertical="top" wrapText="1"/>
      <protection locked="0"/>
    </xf>
    <xf numFmtId="0" fontId="15" fillId="0" borderId="105" xfId="0" applyFont="1" applyFill="1" applyBorder="1" applyAlignment="1" applyProtection="1">
      <alignment vertical="top" wrapText="1"/>
      <protection locked="0"/>
    </xf>
    <xf numFmtId="0" fontId="17" fillId="0" borderId="9" xfId="0" applyFont="1" applyBorder="1"/>
    <xf numFmtId="0" fontId="17" fillId="0" borderId="93" xfId="0" applyFont="1" applyBorder="1"/>
    <xf numFmtId="0" fontId="17" fillId="0" borderId="62" xfId="0" applyFont="1" applyFill="1" applyBorder="1" applyAlignment="1" applyProtection="1">
      <alignment vertical="top"/>
      <protection locked="0"/>
    </xf>
    <xf numFmtId="0" fontId="17" fillId="0" borderId="105" xfId="0" applyFont="1" applyFill="1" applyBorder="1" applyAlignment="1" applyProtection="1">
      <alignment horizontal="center" vertical="top" wrapText="1"/>
      <protection locked="0"/>
    </xf>
    <xf numFmtId="0" fontId="58" fillId="19" borderId="0" xfId="0" applyFont="1" applyFill="1" applyProtection="1">
      <protection locked="0"/>
    </xf>
    <xf numFmtId="0" fontId="58" fillId="19" borderId="3" xfId="0" applyFont="1" applyFill="1" applyBorder="1" applyAlignment="1" applyProtection="1">
      <alignment horizontal="left" indent="1"/>
      <protection locked="0"/>
    </xf>
    <xf numFmtId="0" fontId="20" fillId="17" borderId="73" xfId="0" applyNumberFormat="1" applyFont="1" applyFill="1" applyBorder="1" applyAlignment="1" applyProtection="1">
      <alignment horizontal="center"/>
      <protection locked="0"/>
    </xf>
    <xf numFmtId="0" fontId="20" fillId="17" borderId="9" xfId="0" applyNumberFormat="1" applyFont="1" applyFill="1" applyBorder="1" applyAlignment="1" applyProtection="1">
      <alignment horizontal="center"/>
      <protection locked="0"/>
    </xf>
    <xf numFmtId="0" fontId="20" fillId="0" borderId="75" xfId="0" applyNumberFormat="1" applyFont="1" applyFill="1" applyBorder="1" applyAlignment="1">
      <alignment horizontal="center"/>
    </xf>
    <xf numFmtId="0" fontId="20" fillId="0" borderId="76" xfId="0" applyNumberFormat="1" applyFont="1" applyFill="1" applyBorder="1" applyAlignment="1" applyProtection="1">
      <alignment horizontal="center"/>
    </xf>
    <xf numFmtId="0" fontId="20" fillId="0" borderId="76" xfId="0" applyNumberFormat="1" applyFont="1" applyFill="1" applyBorder="1" applyAlignment="1">
      <alignment horizontal="center"/>
    </xf>
    <xf numFmtId="0" fontId="20" fillId="17" borderId="76" xfId="0" applyNumberFormat="1" applyFont="1" applyFill="1" applyBorder="1" applyAlignment="1" applyProtection="1">
      <alignment horizontal="center"/>
      <protection locked="0"/>
    </xf>
    <xf numFmtId="0" fontId="17" fillId="0" borderId="86" xfId="0" applyNumberFormat="1" applyFont="1" applyBorder="1"/>
    <xf numFmtId="0" fontId="17" fillId="0" borderId="101" xfId="0" applyFont="1" applyFill="1" applyBorder="1" applyAlignment="1">
      <alignment horizontal="center" vertical="top" wrapText="1"/>
    </xf>
    <xf numFmtId="0" fontId="20" fillId="17" borderId="97" xfId="0" applyNumberFormat="1" applyFont="1" applyFill="1" applyBorder="1" applyAlignment="1" applyProtection="1">
      <alignment horizontal="center"/>
      <protection locked="0"/>
    </xf>
    <xf numFmtId="0" fontId="15" fillId="0" borderId="76" xfId="0" applyNumberFormat="1" applyFont="1" applyFill="1" applyBorder="1"/>
    <xf numFmtId="0" fontId="20" fillId="17" borderId="77" xfId="0" applyNumberFormat="1" applyFont="1" applyFill="1" applyBorder="1" applyAlignment="1" applyProtection="1">
      <alignment horizontal="center"/>
      <protection locked="0"/>
    </xf>
    <xf numFmtId="0" fontId="10" fillId="0" borderId="9" xfId="0" applyFont="1" applyFill="1" applyBorder="1" applyAlignment="1">
      <alignment horizontal="center"/>
    </xf>
    <xf numFmtId="0" fontId="15" fillId="0" borderId="7" xfId="0" applyNumberFormat="1" applyFont="1" applyBorder="1" applyAlignment="1">
      <alignment horizontal="left" vertical="top" wrapText="1"/>
    </xf>
    <xf numFmtId="0" fontId="15" fillId="17" borderId="8" xfId="0" applyNumberFormat="1" applyFont="1" applyFill="1" applyBorder="1" applyAlignment="1" applyProtection="1">
      <alignment horizontal="left" vertical="top" wrapText="1"/>
      <protection locked="0"/>
    </xf>
    <xf numFmtId="0" fontId="19" fillId="0" borderId="8" xfId="0" applyNumberFormat="1" applyFont="1" applyBorder="1" applyAlignment="1">
      <alignment horizontal="left" wrapText="1"/>
    </xf>
    <xf numFmtId="0" fontId="15" fillId="0" borderId="8" xfId="0" applyNumberFormat="1" applyFont="1" applyBorder="1" applyAlignment="1">
      <alignment horizontal="left" vertical="top" wrapText="1"/>
    </xf>
    <xf numFmtId="0" fontId="15" fillId="0" borderId="98" xfId="0" applyNumberFormat="1" applyFont="1" applyFill="1" applyBorder="1" applyAlignment="1" applyProtection="1">
      <alignment horizontal="center" vertical="top" wrapText="1"/>
    </xf>
    <xf numFmtId="0" fontId="15" fillId="0" borderId="72" xfId="0" applyNumberFormat="1" applyFont="1" applyFill="1" applyBorder="1" applyAlignment="1" applyProtection="1">
      <alignment horizontal="left" vertical="top" wrapText="1"/>
    </xf>
    <xf numFmtId="0" fontId="17" fillId="0" borderId="3" xfId="0" applyNumberFormat="1" applyFont="1" applyFill="1" applyBorder="1" applyAlignment="1" applyProtection="1">
      <alignment horizontal="left" vertical="top" wrapText="1" indent="1"/>
      <protection locked="0"/>
    </xf>
    <xf numFmtId="0" fontId="15" fillId="0" borderId="1" xfId="0" applyNumberFormat="1" applyFont="1" applyFill="1" applyBorder="1" applyAlignment="1" applyProtection="1">
      <alignment horizontal="center" vertical="top" wrapText="1"/>
      <protection locked="0"/>
    </xf>
    <xf numFmtId="0" fontId="15" fillId="0" borderId="8" xfId="0" applyNumberFormat="1" applyFont="1" applyFill="1" applyBorder="1" applyAlignment="1" applyProtection="1">
      <alignment horizontal="left" vertical="top" wrapText="1"/>
      <protection locked="0"/>
    </xf>
    <xf numFmtId="168" fontId="15" fillId="0" borderId="76" xfId="1" applyNumberFormat="1" applyFont="1" applyFill="1" applyBorder="1" applyAlignment="1" applyProtection="1">
      <alignment horizontal="left" vertical="top" wrapText="1"/>
    </xf>
    <xf numFmtId="168" fontId="15" fillId="0" borderId="3" xfId="1" applyNumberFormat="1" applyFont="1" applyFill="1" applyBorder="1" applyAlignment="1" applyProtection="1">
      <alignment horizontal="center" vertical="top" wrapText="1"/>
    </xf>
    <xf numFmtId="168" fontId="15" fillId="0" borderId="42" xfId="1" applyNumberFormat="1" applyFont="1" applyFill="1" applyBorder="1" applyAlignment="1" applyProtection="1">
      <alignment horizontal="center" vertical="top" wrapText="1"/>
    </xf>
    <xf numFmtId="168" fontId="15" fillId="0" borderId="67" xfId="1" applyNumberFormat="1" applyFont="1" applyFill="1" applyBorder="1" applyAlignment="1" applyProtection="1">
      <alignment horizontal="center" vertical="top" wrapText="1"/>
    </xf>
    <xf numFmtId="168" fontId="15" fillId="0" borderId="1" xfId="1" applyNumberFormat="1" applyFont="1" applyFill="1" applyBorder="1" applyAlignment="1" applyProtection="1">
      <alignment horizontal="center" vertical="top" wrapText="1"/>
    </xf>
    <xf numFmtId="168" fontId="15" fillId="0" borderId="0" xfId="1" applyNumberFormat="1" applyFont="1" applyFill="1" applyBorder="1" applyAlignment="1" applyProtection="1">
      <alignment horizontal="center" vertical="top" wrapText="1"/>
    </xf>
    <xf numFmtId="168" fontId="15" fillId="0" borderId="8" xfId="1" applyNumberFormat="1" applyFont="1" applyFill="1" applyBorder="1" applyAlignment="1" applyProtection="1">
      <alignment horizontal="center" vertical="top" wrapText="1"/>
    </xf>
    <xf numFmtId="0" fontId="17" fillId="0" borderId="68" xfId="0" applyNumberFormat="1" applyFont="1" applyFill="1" applyBorder="1" applyAlignment="1" applyProtection="1">
      <alignment horizontal="left" vertical="top" wrapText="1" indent="1"/>
      <protection locked="0"/>
    </xf>
    <xf numFmtId="0" fontId="15" fillId="0" borderId="98" xfId="0" applyNumberFormat="1" applyFont="1" applyFill="1" applyBorder="1" applyAlignment="1" applyProtection="1">
      <alignment horizontal="center" vertical="top" wrapText="1"/>
      <protection locked="0"/>
    </xf>
    <xf numFmtId="0" fontId="15" fillId="0" borderId="72" xfId="0" applyNumberFormat="1" applyFont="1" applyFill="1" applyBorder="1" applyAlignment="1" applyProtection="1">
      <alignment horizontal="left" vertical="top" wrapText="1"/>
      <protection locked="0"/>
    </xf>
    <xf numFmtId="168" fontId="15" fillId="0" borderId="87" xfId="1" applyNumberFormat="1" applyFont="1" applyFill="1" applyBorder="1" applyAlignment="1" applyProtection="1">
      <alignment horizontal="left" vertical="top" wrapText="1"/>
    </xf>
    <xf numFmtId="168" fontId="15" fillId="0" borderId="86" xfId="1" applyNumberFormat="1" applyFont="1" applyFill="1" applyBorder="1" applyAlignment="1" applyProtection="1">
      <alignment horizontal="left" vertical="top" wrapText="1"/>
    </xf>
    <xf numFmtId="168" fontId="15" fillId="0" borderId="62" xfId="1" applyNumberFormat="1" applyFont="1" applyFill="1" applyBorder="1" applyAlignment="1" applyProtection="1">
      <alignment horizontal="center" vertical="top" wrapText="1"/>
    </xf>
    <xf numFmtId="168" fontId="15" fillId="0" borderId="60" xfId="1" applyNumberFormat="1" applyFont="1" applyFill="1" applyBorder="1" applyAlignment="1" applyProtection="1">
      <alignment horizontal="center" vertical="top" wrapText="1"/>
    </xf>
    <xf numFmtId="168" fontId="15" fillId="0" borderId="102" xfId="1" applyNumberFormat="1" applyFont="1" applyFill="1" applyBorder="1" applyAlignment="1" applyProtection="1">
      <alignment horizontal="center" vertical="top" wrapText="1"/>
    </xf>
    <xf numFmtId="168" fontId="15" fillId="0" borderId="87" xfId="1" applyNumberFormat="1" applyFont="1" applyFill="1" applyBorder="1" applyAlignment="1" applyProtection="1">
      <alignment horizontal="center" vertical="top" wrapText="1"/>
    </xf>
    <xf numFmtId="168" fontId="15" fillId="0" borderId="59" xfId="1" applyNumberFormat="1" applyFont="1" applyFill="1" applyBorder="1" applyAlignment="1" applyProtection="1">
      <alignment horizontal="center" vertical="top" wrapText="1"/>
    </xf>
    <xf numFmtId="168" fontId="15" fillId="0" borderId="61" xfId="1" applyNumberFormat="1" applyFont="1" applyFill="1" applyBorder="1" applyAlignment="1" applyProtection="1">
      <alignment horizontal="center" vertical="top" wrapText="1"/>
    </xf>
    <xf numFmtId="0" fontId="15" fillId="0" borderId="5" xfId="0" applyFont="1" applyBorder="1" applyAlignment="1">
      <alignment horizontal="center" vertical="top" wrapText="1"/>
    </xf>
    <xf numFmtId="0" fontId="15" fillId="0" borderId="10" xfId="0" applyFont="1" applyBorder="1" applyAlignment="1">
      <alignment horizontal="left" vertical="top" wrapText="1"/>
    </xf>
    <xf numFmtId="0" fontId="30" fillId="0" borderId="0" xfId="0" applyFont="1"/>
    <xf numFmtId="178" fontId="10" fillId="0" borderId="11" xfId="0" applyNumberFormat="1" applyFont="1" applyFill="1" applyBorder="1" applyAlignment="1" applyProtection="1">
      <alignment horizontal="center"/>
      <protection locked="0"/>
    </xf>
    <xf numFmtId="0" fontId="15" fillId="0" borderId="6" xfId="0" applyFont="1" applyBorder="1"/>
    <xf numFmtId="0" fontId="15" fillId="0" borderId="7" xfId="0" applyFont="1" applyBorder="1"/>
    <xf numFmtId="0" fontId="17" fillId="0" borderId="92" xfId="0" applyFont="1" applyFill="1" applyBorder="1" applyAlignment="1" applyProtection="1">
      <alignment horizontal="center" vertical="center" wrapText="1"/>
    </xf>
    <xf numFmtId="0" fontId="15" fillId="0" borderId="5" xfId="0" applyFont="1" applyFill="1" applyBorder="1" applyAlignment="1">
      <alignment horizontal="center"/>
    </xf>
    <xf numFmtId="0" fontId="17" fillId="0" borderId="47" xfId="0" applyFont="1" applyFill="1" applyBorder="1" applyAlignment="1" applyProtection="1">
      <alignment horizontal="center" vertical="center" wrapText="1"/>
    </xf>
    <xf numFmtId="0" fontId="17" fillId="0" borderId="42" xfId="0" applyFont="1" applyFill="1" applyBorder="1" applyAlignment="1" applyProtection="1">
      <alignment horizontal="center" vertical="center" wrapText="1"/>
    </xf>
    <xf numFmtId="0" fontId="17" fillId="0" borderId="8"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wrapText="1"/>
    </xf>
    <xf numFmtId="0" fontId="15" fillId="0" borderId="1" xfId="0" applyFont="1" applyFill="1" applyBorder="1" applyAlignment="1">
      <alignment horizontal="center"/>
    </xf>
    <xf numFmtId="0" fontId="19" fillId="0" borderId="0" xfId="0" applyNumberFormat="1" applyFont="1" applyBorder="1" applyProtection="1"/>
    <xf numFmtId="178" fontId="10" fillId="0" borderId="43" xfId="0" applyNumberFormat="1" applyFont="1" applyFill="1" applyBorder="1" applyProtection="1">
      <protection locked="0"/>
    </xf>
    <xf numFmtId="178" fontId="10" fillId="0" borderId="75" xfId="0" applyNumberFormat="1" applyFont="1" applyFill="1" applyBorder="1" applyProtection="1">
      <protection locked="0"/>
    </xf>
    <xf numFmtId="178" fontId="17" fillId="0" borderId="12" xfId="0" applyNumberFormat="1" applyFont="1" applyFill="1" applyBorder="1" applyProtection="1"/>
    <xf numFmtId="178" fontId="17" fillId="0" borderId="43" xfId="0" applyNumberFormat="1" applyFont="1" applyFill="1" applyBorder="1" applyProtection="1"/>
    <xf numFmtId="178" fontId="17" fillId="0" borderId="6" xfId="0" applyNumberFormat="1" applyFont="1" applyFill="1" applyBorder="1" applyProtection="1"/>
    <xf numFmtId="178" fontId="17" fillId="0" borderId="45" xfId="0" applyNumberFormat="1" applyFont="1" applyFill="1" applyBorder="1" applyProtection="1"/>
    <xf numFmtId="178" fontId="17" fillId="0" borderId="7" xfId="0" applyNumberFormat="1" applyFont="1" applyFill="1" applyBorder="1" applyProtection="1"/>
    <xf numFmtId="0" fontId="23" fillId="0" borderId="0" xfId="0" applyNumberFormat="1" applyFont="1" applyBorder="1" applyAlignment="1" applyProtection="1">
      <alignment horizontal="left"/>
    </xf>
    <xf numFmtId="0" fontId="15" fillId="0" borderId="0" xfId="0" applyNumberFormat="1" applyFont="1" applyBorder="1" applyAlignment="1" applyProtection="1">
      <alignment horizontal="left" indent="1"/>
    </xf>
    <xf numFmtId="0" fontId="15" fillId="0" borderId="1" xfId="0" applyNumberFormat="1" applyFont="1" applyFill="1" applyBorder="1" applyAlignment="1" applyProtection="1">
      <alignment horizontal="center"/>
    </xf>
    <xf numFmtId="0" fontId="20" fillId="0" borderId="0" xfId="0" applyNumberFormat="1" applyFont="1" applyBorder="1" applyAlignment="1" applyProtection="1">
      <alignment horizontal="right" indent="1"/>
    </xf>
    <xf numFmtId="0" fontId="17" fillId="0" borderId="0" xfId="0" applyNumberFormat="1" applyFont="1" applyBorder="1" applyAlignment="1" applyProtection="1">
      <alignment horizontal="left"/>
    </xf>
    <xf numFmtId="0" fontId="15" fillId="0" borderId="73" xfId="0" applyNumberFormat="1" applyFont="1" applyBorder="1" applyProtection="1"/>
    <xf numFmtId="178" fontId="17" fillId="17" borderId="9" xfId="0" applyNumberFormat="1" applyFont="1" applyFill="1" applyBorder="1" applyProtection="1">
      <protection locked="0"/>
    </xf>
    <xf numFmtId="178" fontId="17" fillId="0" borderId="0" xfId="0" applyNumberFormat="1" applyFont="1" applyFill="1" applyBorder="1" applyProtection="1">
      <protection locked="0"/>
    </xf>
    <xf numFmtId="0" fontId="15" fillId="0" borderId="9" xfId="0" applyNumberFormat="1" applyFont="1" applyBorder="1" applyProtection="1"/>
    <xf numFmtId="178" fontId="15" fillId="0" borderId="64" xfId="0" applyNumberFormat="1" applyFont="1" applyFill="1" applyBorder="1" applyProtection="1"/>
    <xf numFmtId="178" fontId="15" fillId="0" borderId="36" xfId="0" applyNumberFormat="1" applyFont="1" applyFill="1" applyBorder="1" applyProtection="1"/>
    <xf numFmtId="178" fontId="15" fillId="0" borderId="10" xfId="0" applyNumberFormat="1" applyFont="1" applyFill="1" applyBorder="1" applyProtection="1"/>
    <xf numFmtId="178" fontId="15" fillId="0" borderId="4" xfId="0" applyNumberFormat="1" applyFont="1" applyFill="1" applyBorder="1" applyProtection="1"/>
    <xf numFmtId="178" fontId="15" fillId="0" borderId="9" xfId="0" applyNumberFormat="1" applyFont="1" applyFill="1" applyBorder="1" applyProtection="1"/>
    <xf numFmtId="0" fontId="20" fillId="0" borderId="0" xfId="0" applyFont="1" applyAlignment="1" applyProtection="1">
      <alignment horizontal="center"/>
    </xf>
    <xf numFmtId="0" fontId="17" fillId="0" borderId="38" xfId="0" applyFont="1" applyFill="1" applyBorder="1" applyAlignment="1">
      <alignment horizontal="center" vertical="top" wrapText="1"/>
    </xf>
    <xf numFmtId="0" fontId="17" fillId="0" borderId="41" xfId="0" applyFont="1" applyFill="1" applyBorder="1" applyAlignment="1">
      <alignment horizontal="center" vertical="top" wrapText="1"/>
    </xf>
    <xf numFmtId="0" fontId="17" fillId="0" borderId="119" xfId="0" applyFont="1" applyFill="1" applyBorder="1" applyAlignment="1">
      <alignment horizontal="center" vertical="top" wrapText="1"/>
    </xf>
    <xf numFmtId="0" fontId="17" fillId="0" borderId="82" xfId="0" applyFont="1" applyFill="1" applyBorder="1" applyAlignment="1">
      <alignment horizontal="center" vertical="top" wrapText="1"/>
    </xf>
    <xf numFmtId="0" fontId="17" fillId="0" borderId="100" xfId="0" applyFont="1" applyFill="1" applyBorder="1" applyAlignment="1">
      <alignment horizontal="center" vertical="top" wrapText="1"/>
    </xf>
    <xf numFmtId="0" fontId="17" fillId="0" borderId="88" xfId="0" applyFont="1" applyFill="1" applyBorder="1" applyAlignment="1">
      <alignment horizontal="center" vertical="top" wrapText="1"/>
    </xf>
    <xf numFmtId="0" fontId="17" fillId="0" borderId="56" xfId="0" applyFont="1" applyFill="1" applyBorder="1" applyAlignment="1">
      <alignment horizontal="center" vertical="top" wrapText="1"/>
    </xf>
    <xf numFmtId="0" fontId="17" fillId="0" borderId="84" xfId="0" applyFont="1" applyFill="1" applyBorder="1" applyAlignment="1">
      <alignment horizontal="center" vertical="top" wrapText="1"/>
    </xf>
    <xf numFmtId="0" fontId="15" fillId="0" borderId="7" xfId="0" applyNumberFormat="1" applyFont="1" applyFill="1" applyBorder="1" applyAlignment="1" applyProtection="1">
      <alignment horizontal="center"/>
    </xf>
    <xf numFmtId="0" fontId="15" fillId="0" borderId="8" xfId="0" applyNumberFormat="1" applyFont="1" applyFill="1" applyBorder="1" applyAlignment="1" applyProtection="1">
      <alignment horizontal="center"/>
    </xf>
    <xf numFmtId="0" fontId="15" fillId="0" borderId="72" xfId="0" applyNumberFormat="1" applyFont="1" applyFill="1" applyBorder="1" applyAlignment="1" applyProtection="1">
      <alignment horizontal="center"/>
    </xf>
    <xf numFmtId="0" fontId="15" fillId="0" borderId="10" xfId="0" applyNumberFormat="1" applyFont="1" applyFill="1" applyBorder="1" applyAlignment="1" applyProtection="1">
      <alignment horizontal="center"/>
    </xf>
    <xf numFmtId="0" fontId="17" fillId="0" borderId="38" xfId="0" applyFont="1" applyFill="1" applyBorder="1" applyAlignment="1">
      <alignment horizontal="centerContinuous" vertical="center" wrapText="1"/>
    </xf>
    <xf numFmtId="168" fontId="15" fillId="0" borderId="43" xfId="1" applyNumberFormat="1" applyFont="1" applyBorder="1" applyAlignment="1">
      <alignment vertical="top" wrapText="1"/>
    </xf>
    <xf numFmtId="168" fontId="15" fillId="0" borderId="7" xfId="1" applyNumberFormat="1" applyFont="1" applyBorder="1" applyAlignment="1">
      <alignment vertical="top" wrapText="1"/>
    </xf>
    <xf numFmtId="168" fontId="15" fillId="0" borderId="12" xfId="1" applyNumberFormat="1" applyFont="1" applyBorder="1" applyAlignment="1">
      <alignment vertical="top" wrapText="1"/>
    </xf>
    <xf numFmtId="0" fontId="15" fillId="0" borderId="3" xfId="0" applyNumberFormat="1" applyFont="1" applyBorder="1" applyAlignment="1">
      <alignment horizontal="left" wrapText="1" indent="2"/>
    </xf>
    <xf numFmtId="168" fontId="15" fillId="17" borderId="42" xfId="1" applyNumberFormat="1" applyFont="1" applyFill="1" applyBorder="1" applyAlignment="1" applyProtection="1">
      <alignment vertical="top" wrapText="1"/>
      <protection locked="0"/>
    </xf>
    <xf numFmtId="168" fontId="15" fillId="17" borderId="8" xfId="1" applyNumberFormat="1" applyFont="1" applyFill="1" applyBorder="1" applyAlignment="1" applyProtection="1">
      <alignment vertical="top" wrapText="1"/>
      <protection locked="0"/>
    </xf>
    <xf numFmtId="168" fontId="15" fillId="17" borderId="3" xfId="1" applyNumberFormat="1" applyFont="1" applyFill="1" applyBorder="1" applyAlignment="1" applyProtection="1">
      <alignment vertical="top" wrapText="1"/>
      <protection locked="0"/>
    </xf>
    <xf numFmtId="0" fontId="23" fillId="0" borderId="3" xfId="0" applyNumberFormat="1" applyFont="1" applyBorder="1" applyAlignment="1">
      <alignment horizontal="left" wrapText="1" indent="1"/>
    </xf>
    <xf numFmtId="0" fontId="18" fillId="0" borderId="3" xfId="0" applyNumberFormat="1" applyFont="1" applyBorder="1" applyAlignment="1">
      <alignment horizontal="left" wrapText="1" indent="1"/>
    </xf>
    <xf numFmtId="0" fontId="18" fillId="0" borderId="3" xfId="0" applyNumberFormat="1" applyFont="1" applyFill="1" applyBorder="1" applyAlignment="1">
      <alignment horizontal="left" indent="1"/>
    </xf>
    <xf numFmtId="182" fontId="15" fillId="17" borderId="47" xfId="1" applyNumberFormat="1" applyFont="1" applyFill="1" applyBorder="1" applyAlignment="1" applyProtection="1">
      <alignment horizontal="left" vertical="top" wrapText="1" indent="2"/>
      <protection locked="0"/>
    </xf>
    <xf numFmtId="0" fontId="15" fillId="0" borderId="3" xfId="0" applyNumberFormat="1" applyFont="1" applyBorder="1" applyAlignment="1">
      <alignment horizontal="left" vertical="top" wrapText="1" indent="2"/>
    </xf>
    <xf numFmtId="168" fontId="15" fillId="0" borderId="36" xfId="1" applyNumberFormat="1" applyFont="1" applyBorder="1" applyAlignment="1">
      <alignment horizontal="center" vertical="top" wrapText="1"/>
    </xf>
    <xf numFmtId="168" fontId="15" fillId="0" borderId="10" xfId="1" applyNumberFormat="1" applyFont="1" applyBorder="1" applyAlignment="1">
      <alignment horizontal="center" vertical="top" wrapText="1"/>
    </xf>
    <xf numFmtId="168" fontId="15" fillId="0" borderId="4" xfId="1" applyNumberFormat="1" applyFont="1" applyBorder="1" applyAlignment="1">
      <alignment horizontal="center" vertical="top" wrapText="1"/>
    </xf>
    <xf numFmtId="0" fontId="12" fillId="0" borderId="4" xfId="0" applyFont="1" applyFill="1" applyBorder="1" applyAlignment="1">
      <alignment horizontal="left"/>
    </xf>
    <xf numFmtId="168" fontId="15" fillId="0" borderId="42" xfId="1" applyNumberFormat="1" applyFont="1" applyFill="1" applyBorder="1" applyAlignment="1" applyProtection="1">
      <alignment vertical="top" wrapText="1"/>
      <protection locked="0"/>
    </xf>
    <xf numFmtId="168" fontId="15" fillId="0" borderId="8" xfId="1" applyNumberFormat="1" applyFont="1" applyFill="1" applyBorder="1" applyAlignment="1" applyProtection="1">
      <alignment vertical="top" wrapText="1"/>
      <protection locked="0"/>
    </xf>
    <xf numFmtId="168" fontId="15" fillId="0" borderId="3" xfId="1" applyNumberFormat="1" applyFont="1" applyFill="1" applyBorder="1" applyAlignment="1" applyProtection="1">
      <alignment vertical="top" wrapText="1"/>
      <protection locked="0"/>
    </xf>
    <xf numFmtId="178" fontId="17" fillId="17" borderId="1" xfId="0" applyNumberFormat="1" applyFont="1" applyFill="1" applyBorder="1" applyProtection="1">
      <protection locked="0"/>
    </xf>
    <xf numFmtId="182" fontId="15" fillId="17" borderId="3" xfId="1" applyNumberFormat="1" applyFont="1" applyFill="1" applyBorder="1" applyAlignment="1" applyProtection="1">
      <alignment horizontal="left" vertical="top" wrapText="1" indent="2"/>
      <protection locked="0"/>
    </xf>
    <xf numFmtId="0" fontId="15" fillId="0" borderId="3" xfId="0" applyNumberFormat="1" applyFont="1" applyFill="1" applyBorder="1" applyAlignment="1" applyProtection="1">
      <alignment horizontal="left" vertical="top" wrapText="1" indent="1"/>
      <protection locked="0"/>
    </xf>
    <xf numFmtId="0" fontId="20" fillId="0" borderId="68" xfId="0" applyNumberFormat="1" applyFont="1" applyFill="1" applyBorder="1" applyAlignment="1" applyProtection="1">
      <alignment horizontal="left" vertical="top" wrapText="1" indent="1"/>
      <protection locked="0"/>
    </xf>
    <xf numFmtId="0" fontId="15" fillId="0" borderId="11" xfId="0" applyNumberFormat="1" applyFont="1" applyFill="1" applyBorder="1" applyAlignment="1">
      <alignment horizontal="center" wrapText="1"/>
    </xf>
    <xf numFmtId="0" fontId="15" fillId="0" borderId="1" xfId="0" applyNumberFormat="1" applyFont="1" applyFill="1" applyBorder="1" applyAlignment="1">
      <alignment horizontal="center" wrapText="1"/>
    </xf>
    <xf numFmtId="0" fontId="15" fillId="0" borderId="1" xfId="0" applyNumberFormat="1" applyFont="1" applyFill="1" applyBorder="1" applyAlignment="1">
      <alignment horizontal="center" vertical="top" wrapText="1"/>
    </xf>
    <xf numFmtId="0" fontId="15" fillId="0" borderId="98" xfId="0" applyNumberFormat="1" applyFont="1" applyFill="1" applyBorder="1" applyAlignment="1">
      <alignment horizontal="center" vertical="top" wrapText="1"/>
    </xf>
    <xf numFmtId="178" fontId="15" fillId="0" borderId="99" xfId="0" applyNumberFormat="1" applyFont="1" applyBorder="1" applyAlignment="1"/>
    <xf numFmtId="0" fontId="17" fillId="0" borderId="43" xfId="0" applyFont="1" applyFill="1" applyBorder="1" applyAlignment="1">
      <alignment vertical="center" wrapText="1"/>
    </xf>
    <xf numFmtId="0" fontId="17" fillId="0" borderId="75" xfId="0" applyFont="1" applyFill="1" applyBorder="1" applyAlignment="1">
      <alignment vertical="center" wrapText="1"/>
    </xf>
    <xf numFmtId="0" fontId="17" fillId="0" borderId="103" xfId="0" applyFont="1" applyFill="1" applyBorder="1" applyAlignment="1">
      <alignment vertical="center" wrapText="1"/>
    </xf>
    <xf numFmtId="0" fontId="18" fillId="0" borderId="4" xfId="0" applyNumberFormat="1" applyFont="1" applyBorder="1"/>
    <xf numFmtId="0" fontId="20" fillId="0" borderId="36" xfId="0" applyNumberFormat="1" applyFont="1" applyBorder="1" applyAlignment="1">
      <alignment horizontal="center"/>
    </xf>
    <xf numFmtId="171" fontId="20" fillId="0" borderId="36" xfId="12" applyNumberFormat="1" applyFont="1" applyFill="1" applyBorder="1" applyAlignment="1">
      <alignment horizontal="center"/>
    </xf>
    <xf numFmtId="171" fontId="20" fillId="0" borderId="10" xfId="12" applyNumberFormat="1" applyFont="1" applyFill="1" applyBorder="1" applyAlignment="1">
      <alignment horizontal="center"/>
    </xf>
    <xf numFmtId="171" fontId="20" fillId="0" borderId="4" xfId="12" applyNumberFormat="1" applyFont="1" applyFill="1" applyBorder="1" applyAlignment="1">
      <alignment horizontal="center"/>
    </xf>
    <xf numFmtId="171" fontId="20" fillId="0" borderId="9" xfId="12" applyNumberFormat="1" applyFont="1" applyFill="1" applyBorder="1" applyAlignment="1">
      <alignment horizontal="center"/>
    </xf>
    <xf numFmtId="171" fontId="20" fillId="0" borderId="64" xfId="12" applyNumberFormat="1" applyFont="1" applyFill="1" applyBorder="1" applyAlignment="1">
      <alignment horizontal="center"/>
    </xf>
    <xf numFmtId="0" fontId="15" fillId="0" borderId="75" xfId="0" applyFont="1" applyBorder="1" applyAlignment="1">
      <alignment horizontal="center"/>
    </xf>
    <xf numFmtId="0" fontId="15" fillId="0" borderId="76" xfId="0" applyFont="1" applyBorder="1" applyAlignment="1">
      <alignment horizontal="center"/>
    </xf>
    <xf numFmtId="0" fontId="15" fillId="0" borderId="77" xfId="0" applyFont="1" applyBorder="1" applyAlignment="1">
      <alignment horizontal="center"/>
    </xf>
    <xf numFmtId="0" fontId="17" fillId="0" borderId="35" xfId="0" applyNumberFormat="1" applyFont="1" applyBorder="1"/>
    <xf numFmtId="0" fontId="15" fillId="0" borderId="35" xfId="0" applyNumberFormat="1" applyFont="1" applyBorder="1" applyAlignment="1">
      <alignment horizontal="center"/>
    </xf>
    <xf numFmtId="0" fontId="18" fillId="0" borderId="12" xfId="0" applyNumberFormat="1" applyFont="1" applyBorder="1"/>
    <xf numFmtId="0" fontId="20" fillId="0" borderId="43" xfId="0" applyNumberFormat="1" applyFont="1" applyBorder="1" applyAlignment="1">
      <alignment horizontal="center"/>
    </xf>
    <xf numFmtId="171" fontId="20" fillId="0" borderId="43" xfId="12" applyNumberFormat="1" applyFont="1" applyFill="1" applyBorder="1" applyAlignment="1">
      <alignment horizontal="center"/>
    </xf>
    <xf numFmtId="171" fontId="20" fillId="0" borderId="7" xfId="12" applyNumberFormat="1" applyFont="1" applyFill="1" applyBorder="1" applyAlignment="1">
      <alignment horizontal="center"/>
    </xf>
    <xf numFmtId="171" fontId="20" fillId="0" borderId="12" xfId="12" applyNumberFormat="1" applyFont="1" applyFill="1" applyBorder="1" applyAlignment="1">
      <alignment horizontal="center"/>
    </xf>
    <xf numFmtId="171" fontId="20" fillId="0" borderId="6" xfId="12" applyNumberFormat="1" applyFont="1" applyFill="1" applyBorder="1" applyAlignment="1">
      <alignment horizontal="center"/>
    </xf>
    <xf numFmtId="171" fontId="20" fillId="0" borderId="45" xfId="12" applyNumberFormat="1" applyFont="1" applyFill="1" applyBorder="1" applyAlignment="1">
      <alignment horizontal="center"/>
    </xf>
    <xf numFmtId="0" fontId="20" fillId="0" borderId="0" xfId="0" applyFont="1" applyAlignment="1">
      <alignment horizontal="left"/>
    </xf>
    <xf numFmtId="0" fontId="15" fillId="0" borderId="42" xfId="0" applyNumberFormat="1" applyFont="1" applyFill="1" applyBorder="1" applyAlignment="1">
      <alignment horizontal="center" vertical="top" wrapText="1"/>
    </xf>
    <xf numFmtId="178" fontId="15" fillId="0" borderId="0" xfId="0" applyNumberFormat="1" applyFont="1" applyFill="1"/>
    <xf numFmtId="9" fontId="15" fillId="0" borderId="0" xfId="12" applyFont="1" applyFill="1" applyAlignment="1">
      <alignment horizontal="center"/>
    </xf>
    <xf numFmtId="9" fontId="15" fillId="0" borderId="0" xfId="12" applyFont="1" applyFill="1" applyAlignment="1" applyProtection="1">
      <alignment horizontal="center"/>
      <protection locked="0"/>
    </xf>
    <xf numFmtId="182" fontId="15" fillId="0" borderId="47" xfId="1" applyNumberFormat="1" applyFont="1" applyFill="1" applyBorder="1" applyAlignment="1" applyProtection="1">
      <alignment vertical="top" wrapText="1"/>
      <protection locked="0"/>
    </xf>
    <xf numFmtId="168" fontId="17" fillId="0" borderId="42" xfId="1" applyNumberFormat="1" applyFont="1" applyFill="1" applyBorder="1" applyAlignment="1">
      <alignment vertical="top" wrapText="1"/>
    </xf>
    <xf numFmtId="168" fontId="17" fillId="0" borderId="8" xfId="1" applyNumberFormat="1" applyFont="1" applyFill="1" applyBorder="1" applyAlignment="1">
      <alignment vertical="top" wrapText="1"/>
    </xf>
    <xf numFmtId="168" fontId="17" fillId="0" borderId="3" xfId="1" applyNumberFormat="1" applyFont="1" applyFill="1" applyBorder="1" applyAlignment="1">
      <alignment vertical="top" wrapText="1"/>
    </xf>
    <xf numFmtId="0" fontId="15" fillId="0" borderId="3" xfId="0" applyNumberFormat="1" applyFont="1" applyFill="1" applyBorder="1" applyAlignment="1">
      <alignment horizontal="left" wrapText="1" indent="2"/>
    </xf>
    <xf numFmtId="0" fontId="15" fillId="0" borderId="67" xfId="0" applyNumberFormat="1" applyFont="1" applyFill="1" applyBorder="1" applyAlignment="1">
      <alignment horizontal="center"/>
    </xf>
    <xf numFmtId="0" fontId="15" fillId="0" borderId="67" xfId="0" applyNumberFormat="1" applyFont="1" applyFill="1" applyBorder="1" applyAlignment="1" applyProtection="1">
      <alignment horizontal="center"/>
      <protection locked="0"/>
    </xf>
    <xf numFmtId="0" fontId="15" fillId="0" borderId="37" xfId="0" applyNumberFormat="1" applyFont="1" applyFill="1" applyBorder="1" applyAlignment="1">
      <alignment horizontal="center"/>
    </xf>
    <xf numFmtId="0" fontId="15" fillId="0" borderId="0" xfId="0" applyFont="1" applyFill="1" applyBorder="1" applyAlignment="1" applyProtection="1">
      <alignment horizontal="center"/>
      <protection locked="0"/>
    </xf>
    <xf numFmtId="0" fontId="15" fillId="0" borderId="0" xfId="0" applyFont="1" applyFill="1" applyAlignment="1">
      <alignment horizontal="center"/>
    </xf>
    <xf numFmtId="0" fontId="17" fillId="0" borderId="43" xfId="0" applyFont="1" applyFill="1" applyBorder="1" applyAlignment="1">
      <alignment horizontal="center" wrapText="1"/>
    </xf>
    <xf numFmtId="178" fontId="17" fillId="0" borderId="1" xfId="0" applyNumberFormat="1" applyFont="1" applyBorder="1" applyAlignment="1">
      <alignment horizontal="right"/>
    </xf>
    <xf numFmtId="178" fontId="17" fillId="0" borderId="51" xfId="0" applyNumberFormat="1" applyFont="1" applyBorder="1" applyAlignment="1">
      <alignment horizontal="right"/>
    </xf>
    <xf numFmtId="178" fontId="17" fillId="0" borderId="80" xfId="0" applyNumberFormat="1" applyFont="1" applyBorder="1" applyAlignment="1">
      <alignment horizontal="right"/>
    </xf>
    <xf numFmtId="178" fontId="17" fillId="0" borderId="50" xfId="0" applyNumberFormat="1" applyFont="1" applyBorder="1" applyAlignment="1">
      <alignment horizontal="right"/>
    </xf>
    <xf numFmtId="178" fontId="17" fillId="0" borderId="67" xfId="0" applyNumberFormat="1" applyFont="1" applyBorder="1" applyAlignment="1">
      <alignment horizontal="right"/>
    </xf>
    <xf numFmtId="178" fontId="17" fillId="0" borderId="99" xfId="0" applyNumberFormat="1" applyFont="1" applyBorder="1" applyAlignment="1">
      <alignment horizontal="right"/>
    </xf>
    <xf numFmtId="178" fontId="17" fillId="0" borderId="76" xfId="0" applyNumberFormat="1" applyFont="1" applyBorder="1" applyAlignment="1">
      <alignment horizontal="right"/>
    </xf>
    <xf numFmtId="178" fontId="17" fillId="0" borderId="47" xfId="0" applyNumberFormat="1" applyFont="1" applyFill="1" applyBorder="1" applyAlignment="1">
      <alignment horizontal="right"/>
    </xf>
    <xf numFmtId="178" fontId="17" fillId="0" borderId="76" xfId="0" applyNumberFormat="1" applyFont="1" applyFill="1" applyBorder="1" applyAlignment="1">
      <alignment horizontal="right"/>
    </xf>
    <xf numFmtId="178" fontId="17" fillId="0" borderId="51" xfId="0" applyNumberFormat="1" applyFont="1" applyFill="1" applyBorder="1" applyAlignment="1">
      <alignment horizontal="right"/>
    </xf>
    <xf numFmtId="178" fontId="17" fillId="0" borderId="79" xfId="0" applyNumberFormat="1" applyFont="1" applyFill="1" applyBorder="1" applyAlignment="1">
      <alignment horizontal="right"/>
    </xf>
    <xf numFmtId="178" fontId="15" fillId="0" borderId="35" xfId="0" applyNumberFormat="1" applyFont="1" applyFill="1" applyBorder="1"/>
    <xf numFmtId="0" fontId="17" fillId="0" borderId="100" xfId="0" applyFont="1" applyFill="1" applyBorder="1" applyAlignment="1">
      <alignment horizontal="center" vertical="center" wrapText="1"/>
    </xf>
    <xf numFmtId="178" fontId="17" fillId="0" borderId="48" xfId="0" applyNumberFormat="1" applyFont="1" applyBorder="1" applyAlignment="1">
      <alignment horizontal="right"/>
    </xf>
    <xf numFmtId="0" fontId="15" fillId="0" borderId="42" xfId="0" applyNumberFormat="1" applyFont="1" applyFill="1" applyBorder="1" applyProtection="1"/>
    <xf numFmtId="0" fontId="15" fillId="0" borderId="8" xfId="0" applyNumberFormat="1" applyFont="1" applyFill="1" applyBorder="1" applyProtection="1"/>
    <xf numFmtId="0" fontId="15" fillId="0" borderId="3" xfId="0" applyNumberFormat="1" applyFont="1" applyFill="1" applyBorder="1" applyProtection="1"/>
    <xf numFmtId="0" fontId="15" fillId="0" borderId="0" xfId="0" applyNumberFormat="1" applyFont="1" applyFill="1" applyBorder="1" applyProtection="1"/>
    <xf numFmtId="0" fontId="15" fillId="0" borderId="47" xfId="0" applyNumberFormat="1" applyFont="1" applyFill="1" applyBorder="1" applyProtection="1"/>
    <xf numFmtId="179" fontId="15" fillId="17" borderId="3" xfId="0" applyNumberFormat="1" applyFont="1" applyFill="1" applyBorder="1" applyProtection="1">
      <protection locked="0"/>
    </xf>
    <xf numFmtId="179" fontId="15" fillId="0" borderId="46" xfId="0" applyNumberFormat="1" applyFont="1" applyFill="1" applyBorder="1" applyProtection="1"/>
    <xf numFmtId="179" fontId="15" fillId="0" borderId="49" xfId="0" applyNumberFormat="1" applyFont="1" applyFill="1" applyBorder="1" applyProtection="1"/>
    <xf numFmtId="179" fontId="15" fillId="0" borderId="50" xfId="0" applyNumberFormat="1" applyFont="1" applyFill="1" applyBorder="1" applyProtection="1"/>
    <xf numFmtId="179" fontId="15" fillId="0" borderId="48" xfId="0" applyNumberFormat="1" applyFont="1" applyFill="1" applyBorder="1" applyProtection="1"/>
    <xf numFmtId="179" fontId="15" fillId="0" borderId="51" xfId="0" applyNumberFormat="1" applyFont="1" applyFill="1" applyBorder="1" applyProtection="1"/>
    <xf numFmtId="179" fontId="15" fillId="0" borderId="60" xfId="0" applyNumberFormat="1" applyFont="1" applyFill="1" applyBorder="1" applyProtection="1"/>
    <xf numFmtId="179" fontId="15" fillId="0" borderId="61" xfId="0" applyNumberFormat="1" applyFont="1" applyFill="1" applyBorder="1" applyProtection="1"/>
    <xf numFmtId="179" fontId="15" fillId="0" borderId="62" xfId="0" applyNumberFormat="1" applyFont="1" applyFill="1" applyBorder="1" applyProtection="1"/>
    <xf numFmtId="179" fontId="15" fillId="0" borderId="59" xfId="0" applyNumberFormat="1" applyFont="1" applyFill="1" applyBorder="1" applyProtection="1"/>
    <xf numFmtId="179" fontId="15" fillId="0" borderId="63" xfId="0" applyNumberFormat="1" applyFont="1" applyFill="1" applyBorder="1" applyProtection="1"/>
    <xf numFmtId="179" fontId="17" fillId="0" borderId="46" xfId="0" applyNumberFormat="1" applyFont="1" applyFill="1" applyBorder="1" applyProtection="1"/>
    <xf numFmtId="179" fontId="17" fillId="0" borderId="49" xfId="0" applyNumberFormat="1" applyFont="1" applyFill="1" applyBorder="1" applyProtection="1"/>
    <xf numFmtId="179" fontId="17" fillId="0" borderId="50" xfId="0" applyNumberFormat="1" applyFont="1" applyFill="1" applyBorder="1" applyProtection="1"/>
    <xf numFmtId="179" fontId="17" fillId="0" borderId="48" xfId="0" applyNumberFormat="1" applyFont="1" applyFill="1" applyBorder="1" applyProtection="1"/>
    <xf numFmtId="179" fontId="17" fillId="0" borderId="51" xfId="0" applyNumberFormat="1" applyFont="1" applyFill="1" applyBorder="1" applyProtection="1"/>
    <xf numFmtId="179" fontId="15" fillId="0" borderId="42" xfId="0" applyNumberFormat="1" applyFont="1" applyFill="1" applyBorder="1" applyProtection="1"/>
    <xf numFmtId="179" fontId="15" fillId="0" borderId="8" xfId="0" applyNumberFormat="1" applyFont="1" applyFill="1" applyBorder="1" applyProtection="1"/>
    <xf numFmtId="179" fontId="15" fillId="0" borderId="3" xfId="0" applyNumberFormat="1" applyFont="1" applyFill="1" applyBorder="1" applyProtection="1"/>
    <xf numFmtId="179" fontId="15" fillId="0" borderId="0" xfId="0" applyNumberFormat="1" applyFont="1" applyFill="1" applyBorder="1" applyProtection="1"/>
    <xf numFmtId="179" fontId="15" fillId="0" borderId="47" xfId="0" applyNumberFormat="1" applyFont="1" applyFill="1" applyBorder="1" applyProtection="1"/>
    <xf numFmtId="179" fontId="15" fillId="17" borderId="68" xfId="0" applyNumberFormat="1" applyFont="1" applyFill="1" applyBorder="1" applyProtection="1">
      <protection locked="0"/>
    </xf>
    <xf numFmtId="179" fontId="15" fillId="17" borderId="73" xfId="0" applyNumberFormat="1" applyFont="1" applyFill="1" applyBorder="1" applyProtection="1">
      <protection locked="0"/>
    </xf>
    <xf numFmtId="0" fontId="15" fillId="0" borderId="0" xfId="0" applyNumberFormat="1" applyFont="1" applyFill="1" applyProtection="1"/>
    <xf numFmtId="0" fontId="15" fillId="0" borderId="0" xfId="0" applyNumberFormat="1" applyFont="1" applyProtection="1"/>
    <xf numFmtId="0" fontId="17" fillId="0" borderId="42" xfId="0" applyNumberFormat="1" applyFont="1" applyFill="1" applyBorder="1" applyProtection="1"/>
    <xf numFmtId="0" fontId="17" fillId="0" borderId="8" xfId="0" applyNumberFormat="1" applyFont="1" applyFill="1" applyBorder="1" applyProtection="1"/>
    <xf numFmtId="0" fontId="17" fillId="0" borderId="3" xfId="0" applyNumberFormat="1" applyFont="1" applyFill="1" applyBorder="1" applyProtection="1"/>
    <xf numFmtId="0" fontId="17" fillId="0" borderId="0" xfId="0" applyNumberFormat="1" applyFont="1" applyFill="1" applyBorder="1" applyProtection="1"/>
    <xf numFmtId="0" fontId="17" fillId="0" borderId="47" xfId="0" applyNumberFormat="1" applyFont="1" applyFill="1" applyBorder="1" applyProtection="1"/>
    <xf numFmtId="0" fontId="15" fillId="0" borderId="3" xfId="0" applyNumberFormat="1" applyFont="1" applyBorder="1" applyAlignment="1" applyProtection="1">
      <alignment horizontal="left" wrapText="1" indent="1"/>
    </xf>
    <xf numFmtId="0" fontId="15" fillId="0" borderId="0" xfId="0" applyFont="1" applyFill="1" applyBorder="1" applyAlignment="1" applyProtection="1">
      <alignment horizontal="left"/>
    </xf>
    <xf numFmtId="0" fontId="15" fillId="0" borderId="0" xfId="0" applyFont="1" applyFill="1" applyBorder="1" applyAlignment="1" applyProtection="1">
      <alignment horizontal="left" indent="2"/>
    </xf>
    <xf numFmtId="0" fontId="34" fillId="0" borderId="3" xfId="0" applyFont="1" applyBorder="1" applyAlignment="1">
      <alignment horizontal="center"/>
    </xf>
    <xf numFmtId="0" fontId="21" fillId="0" borderId="0" xfId="0" applyFont="1" applyAlignment="1">
      <alignment horizontal="left"/>
    </xf>
    <xf numFmtId="0" fontId="20" fillId="0" borderId="0" xfId="0" applyNumberFormat="1" applyFont="1" applyFill="1" applyProtection="1"/>
    <xf numFmtId="0" fontId="15" fillId="0" borderId="0" xfId="0" applyFont="1" applyFill="1" applyAlignment="1" applyProtection="1">
      <alignment horizontal="center"/>
      <protection locked="0"/>
    </xf>
    <xf numFmtId="0" fontId="17" fillId="0" borderId="36" xfId="0" quotePrefix="1" applyFont="1" applyFill="1" applyBorder="1" applyAlignment="1">
      <alignment horizontal="center" vertical="center" wrapText="1"/>
    </xf>
    <xf numFmtId="0" fontId="17" fillId="0" borderId="43" xfId="0" applyFont="1" applyFill="1" applyBorder="1" applyAlignment="1">
      <alignment horizontal="right" wrapText="1"/>
    </xf>
    <xf numFmtId="0" fontId="15" fillId="0" borderId="36" xfId="0" applyNumberFormat="1" applyFont="1" applyBorder="1" applyAlignment="1">
      <alignment horizontal="center" vertical="center"/>
    </xf>
    <xf numFmtId="0" fontId="41" fillId="17" borderId="76" xfId="0" applyNumberFormat="1" applyFont="1" applyFill="1" applyBorder="1" applyAlignment="1" applyProtection="1">
      <alignment horizontal="center"/>
      <protection locked="0"/>
    </xf>
    <xf numFmtId="0" fontId="8" fillId="6" borderId="2" xfId="8" applyFont="1" applyFill="1" applyBorder="1" applyProtection="1">
      <protection locked="0"/>
    </xf>
    <xf numFmtId="0" fontId="5" fillId="6" borderId="0" xfId="8" applyFont="1" applyFill="1" applyAlignment="1" applyProtection="1">
      <alignment horizontal="left" indent="1"/>
      <protection locked="0"/>
    </xf>
    <xf numFmtId="0" fontId="5" fillId="6" borderId="0" xfId="0" applyFont="1" applyFill="1" applyAlignment="1" applyProtection="1">
      <alignment horizontal="left" indent="1"/>
      <protection locked="0"/>
    </xf>
    <xf numFmtId="0" fontId="8" fillId="6" borderId="2" xfId="0" applyFont="1" applyFill="1" applyBorder="1" applyProtection="1">
      <protection locked="0"/>
    </xf>
    <xf numFmtId="178" fontId="15" fillId="17" borderId="42" xfId="0" applyNumberFormat="1" applyFont="1" applyFill="1" applyBorder="1" applyAlignment="1" applyProtection="1">
      <alignment horizontal="left"/>
      <protection locked="0"/>
    </xf>
    <xf numFmtId="178" fontId="15" fillId="17" borderId="8" xfId="0" applyNumberFormat="1" applyFont="1" applyFill="1" applyBorder="1" applyAlignment="1" applyProtection="1">
      <alignment horizontal="left"/>
      <protection locked="0"/>
    </xf>
    <xf numFmtId="0" fontId="15" fillId="0" borderId="3" xfId="0" applyFont="1" applyFill="1" applyBorder="1" applyAlignment="1" applyProtection="1">
      <alignment horizontal="left" indent="1"/>
      <protection locked="0"/>
    </xf>
    <xf numFmtId="43" fontId="42" fillId="9" borderId="103" xfId="0" applyNumberFormat="1" applyFont="1" applyFill="1" applyBorder="1" applyAlignment="1" applyProtection="1">
      <alignment vertical="top" wrapText="1"/>
      <protection locked="0"/>
    </xf>
    <xf numFmtId="43" fontId="43" fillId="9" borderId="0" xfId="0" applyNumberFormat="1" applyFont="1" applyFill="1" applyAlignment="1" applyProtection="1">
      <alignment vertical="top" wrapText="1"/>
      <protection locked="0"/>
    </xf>
    <xf numFmtId="43" fontId="43" fillId="9" borderId="0" xfId="0" applyNumberFormat="1" applyFont="1" applyFill="1" applyAlignment="1" applyProtection="1">
      <alignment wrapText="1"/>
      <protection locked="0"/>
    </xf>
    <xf numFmtId="0" fontId="44" fillId="17" borderId="118" xfId="0" applyFont="1" applyFill="1" applyBorder="1" applyAlignment="1" applyProtection="1">
      <alignment horizontal="justify" vertical="center" wrapText="1"/>
      <protection locked="0"/>
    </xf>
    <xf numFmtId="0" fontId="45" fillId="17" borderId="34" xfId="0" applyFont="1" applyFill="1" applyBorder="1" applyAlignment="1" applyProtection="1">
      <alignment horizontal="justify" wrapText="1"/>
      <protection locked="0"/>
    </xf>
    <xf numFmtId="0" fontId="9" fillId="9" borderId="8" xfId="5" applyFill="1" applyBorder="1" applyAlignment="1" applyProtection="1">
      <alignment horizontal="left" vertical="top" wrapText="1"/>
      <protection locked="0"/>
    </xf>
    <xf numFmtId="0" fontId="9" fillId="9" borderId="8" xfId="5" applyFont="1" applyFill="1" applyBorder="1" applyAlignment="1" applyProtection="1">
      <alignment horizontal="justify" vertical="top" wrapText="1"/>
      <protection locked="0"/>
    </xf>
    <xf numFmtId="43" fontId="42" fillId="9" borderId="99" xfId="0" applyNumberFormat="1" applyFont="1" applyFill="1" applyBorder="1" applyAlignment="1" applyProtection="1">
      <alignment vertical="top" wrapText="1"/>
      <protection locked="0"/>
    </xf>
    <xf numFmtId="178" fontId="15" fillId="17" borderId="47" xfId="0" applyNumberFormat="1" applyFont="1" applyFill="1" applyBorder="1" applyProtection="1">
      <protection locked="0"/>
    </xf>
    <xf numFmtId="178" fontId="15" fillId="17" borderId="99" xfId="0" applyNumberFormat="1" applyFont="1" applyFill="1" applyBorder="1" applyProtection="1">
      <protection locked="0"/>
    </xf>
    <xf numFmtId="178" fontId="15" fillId="17" borderId="104" xfId="0" applyNumberFormat="1" applyFont="1" applyFill="1" applyBorder="1" applyProtection="1">
      <protection locked="0"/>
    </xf>
    <xf numFmtId="178" fontId="15" fillId="17" borderId="0" xfId="0" applyNumberFormat="1" applyFont="1" applyFill="1" applyBorder="1" applyAlignment="1" applyProtection="1">
      <alignment horizontal="right"/>
      <protection locked="0"/>
    </xf>
    <xf numFmtId="178" fontId="15" fillId="17" borderId="47" xfId="0" applyNumberFormat="1" applyFont="1" applyFill="1" applyBorder="1" applyAlignment="1" applyProtection="1">
      <alignment horizontal="right"/>
      <protection locked="0"/>
    </xf>
    <xf numFmtId="43" fontId="10" fillId="17" borderId="47" xfId="0" applyNumberFormat="1" applyFont="1" applyFill="1" applyBorder="1" applyAlignment="1" applyProtection="1">
      <alignment vertical="top" wrapText="1"/>
      <protection locked="0"/>
    </xf>
    <xf numFmtId="185" fontId="45" fillId="9" borderId="7" xfId="0" applyNumberFormat="1" applyFont="1" applyFill="1" applyBorder="1" applyAlignment="1" applyProtection="1">
      <alignment horizontal="justify" wrapText="1"/>
      <protection locked="0"/>
    </xf>
    <xf numFmtId="178" fontId="15" fillId="17" borderId="70" xfId="0" applyNumberFormat="1" applyFont="1" applyFill="1" applyBorder="1" applyProtection="1">
      <protection locked="0"/>
    </xf>
    <xf numFmtId="179" fontId="10" fillId="9" borderId="3" xfId="1" applyNumberFormat="1" applyFont="1" applyFill="1" applyBorder="1" applyProtection="1">
      <protection locked="0"/>
    </xf>
    <xf numFmtId="179" fontId="10" fillId="9" borderId="42" xfId="1" applyNumberFormat="1" applyFont="1" applyFill="1" applyBorder="1" applyProtection="1">
      <protection locked="0"/>
    </xf>
    <xf numFmtId="179" fontId="10" fillId="9" borderId="76" xfId="1" applyNumberFormat="1" applyFont="1" applyFill="1" applyBorder="1" applyProtection="1">
      <protection locked="0"/>
    </xf>
    <xf numFmtId="179" fontId="10" fillId="9" borderId="0" xfId="1" applyNumberFormat="1" applyFont="1" applyFill="1" applyBorder="1" applyProtection="1">
      <protection locked="0"/>
    </xf>
    <xf numFmtId="179" fontId="10" fillId="9" borderId="8" xfId="1" applyNumberFormat="1" applyFont="1" applyFill="1" applyBorder="1" applyProtection="1">
      <protection locked="0"/>
    </xf>
    <xf numFmtId="179" fontId="10" fillId="17" borderId="0" xfId="1" applyNumberFormat="1" applyFont="1" applyFill="1" applyBorder="1" applyProtection="1">
      <protection locked="0"/>
    </xf>
    <xf numFmtId="179" fontId="10" fillId="17" borderId="42" xfId="1" applyNumberFormat="1" applyFont="1" applyFill="1" applyBorder="1" applyProtection="1">
      <protection locked="0"/>
    </xf>
    <xf numFmtId="179" fontId="10" fillId="17" borderId="47" xfId="1" applyNumberFormat="1" applyFont="1" applyFill="1" applyBorder="1" applyProtection="1">
      <protection locked="0"/>
    </xf>
    <xf numFmtId="179" fontId="10" fillId="17" borderId="8" xfId="1" applyNumberFormat="1" applyFont="1" applyFill="1" applyBorder="1" applyProtection="1">
      <protection locked="0"/>
    </xf>
    <xf numFmtId="179" fontId="12" fillId="9" borderId="3" xfId="14" applyNumberFormat="1" applyFont="1" applyFill="1" applyBorder="1" applyAlignment="1" applyProtection="1">
      <alignment horizontal="center"/>
      <protection locked="0"/>
    </xf>
    <xf numFmtId="179" fontId="12" fillId="9" borderId="76" xfId="14" applyNumberFormat="1" applyFont="1" applyFill="1" applyBorder="1" applyAlignment="1" applyProtection="1">
      <alignment horizontal="center"/>
      <protection locked="0"/>
    </xf>
    <xf numFmtId="179" fontId="12" fillId="9" borderId="0" xfId="14" applyNumberFormat="1" applyFont="1" applyFill="1" applyBorder="1" applyAlignment="1" applyProtection="1">
      <alignment horizontal="center"/>
      <protection locked="0"/>
    </xf>
    <xf numFmtId="179" fontId="12" fillId="9" borderId="42" xfId="14" applyNumberFormat="1" applyFont="1" applyFill="1" applyBorder="1" applyAlignment="1" applyProtection="1">
      <alignment horizontal="center"/>
      <protection locked="0"/>
    </xf>
    <xf numFmtId="179" fontId="12" fillId="9" borderId="8" xfId="14" applyNumberFormat="1" applyFont="1" applyFill="1" applyBorder="1" applyAlignment="1" applyProtection="1">
      <alignment horizontal="center"/>
      <protection locked="0"/>
    </xf>
    <xf numFmtId="179" fontId="12" fillId="9" borderId="4" xfId="14" applyNumberFormat="1" applyFont="1" applyFill="1" applyBorder="1" applyAlignment="1" applyProtection="1">
      <alignment horizontal="center"/>
      <protection locked="0"/>
    </xf>
    <xf numFmtId="179" fontId="12" fillId="9" borderId="77" xfId="14" applyNumberFormat="1" applyFont="1" applyFill="1" applyBorder="1" applyAlignment="1" applyProtection="1">
      <alignment horizontal="center"/>
      <protection locked="0"/>
    </xf>
    <xf numFmtId="179" fontId="12" fillId="9" borderId="9" xfId="14" applyNumberFormat="1" applyFont="1" applyFill="1" applyBorder="1" applyAlignment="1" applyProtection="1">
      <alignment horizontal="center"/>
      <protection locked="0"/>
    </xf>
    <xf numFmtId="179" fontId="12" fillId="9" borderId="36" xfId="14" applyNumberFormat="1" applyFont="1" applyFill="1" applyBorder="1" applyAlignment="1" applyProtection="1">
      <alignment horizontal="center"/>
      <protection locked="0"/>
    </xf>
    <xf numFmtId="179" fontId="12" fillId="9" borderId="10" xfId="14" applyNumberFormat="1" applyFont="1" applyFill="1" applyBorder="1" applyAlignment="1" applyProtection="1">
      <alignment horizontal="center"/>
      <protection locked="0"/>
    </xf>
    <xf numFmtId="0" fontId="45" fillId="0" borderId="17" xfId="0" applyFont="1" applyBorder="1" applyAlignment="1" applyProtection="1">
      <alignment horizontal="justify" wrapText="1"/>
    </xf>
    <xf numFmtId="0" fontId="45" fillId="9" borderId="34" xfId="0" applyNumberFormat="1" applyFont="1" applyFill="1" applyBorder="1" applyAlignment="1" applyProtection="1">
      <alignment horizontal="justify" wrapText="1"/>
      <protection locked="0"/>
    </xf>
    <xf numFmtId="0" fontId="44" fillId="0" borderId="17" xfId="0" applyFont="1" applyBorder="1" applyAlignment="1" applyProtection="1">
      <alignment horizontal="justify" wrapText="1"/>
    </xf>
    <xf numFmtId="0" fontId="45" fillId="0" borderId="3" xfId="0" applyFont="1" applyBorder="1" applyAlignment="1" applyProtection="1">
      <alignment horizontal="justify" wrapText="1"/>
    </xf>
    <xf numFmtId="0" fontId="9" fillId="9" borderId="8" xfId="5" applyFill="1" applyBorder="1" applyAlignment="1" applyProtection="1">
      <alignment horizontal="justify" wrapText="1"/>
      <protection locked="0"/>
    </xf>
    <xf numFmtId="0" fontId="45" fillId="0" borderId="4" xfId="0" applyFont="1" applyFill="1" applyBorder="1" applyAlignment="1" applyProtection="1">
      <alignment horizontal="justify" wrapText="1"/>
    </xf>
    <xf numFmtId="0" fontId="45" fillId="0" borderId="10" xfId="0" applyFont="1" applyFill="1" applyBorder="1" applyAlignment="1" applyProtection="1">
      <alignment horizontal="justify" wrapText="1"/>
      <protection locked="0"/>
    </xf>
    <xf numFmtId="0" fontId="45" fillId="0" borderId="12" xfId="0" applyFont="1" applyBorder="1" applyAlignment="1" applyProtection="1">
      <alignment horizontal="justify" wrapText="1"/>
    </xf>
    <xf numFmtId="0" fontId="60" fillId="9" borderId="7" xfId="5" applyFont="1" applyFill="1" applyBorder="1" applyAlignment="1" applyProtection="1">
      <alignment horizontal="justify" wrapText="1"/>
      <protection locked="0"/>
    </xf>
    <xf numFmtId="0" fontId="45" fillId="9" borderId="7" xfId="0" applyFont="1" applyFill="1" applyBorder="1" applyAlignment="1" applyProtection="1">
      <alignment horizontal="justify" wrapText="1"/>
      <protection locked="0"/>
    </xf>
    <xf numFmtId="0" fontId="45" fillId="0" borderId="34" xfId="0" applyFont="1" applyBorder="1" applyAlignment="1" applyProtection="1">
      <alignment horizontal="justify" wrapText="1"/>
    </xf>
    <xf numFmtId="0" fontId="9" fillId="9" borderId="7" xfId="5" applyFill="1" applyBorder="1" applyAlignment="1" applyProtection="1">
      <alignment horizontal="justify" wrapText="1"/>
      <protection locked="0"/>
    </xf>
    <xf numFmtId="0" fontId="9" fillId="9" borderId="7" xfId="5" applyFont="1" applyFill="1" applyBorder="1" applyAlignment="1" applyProtection="1">
      <alignment horizontal="justify" wrapText="1"/>
      <protection locked="0"/>
    </xf>
    <xf numFmtId="0" fontId="48" fillId="0" borderId="17" xfId="0" applyFont="1" applyBorder="1" applyAlignment="1" applyProtection="1">
      <alignment horizontal="left"/>
    </xf>
    <xf numFmtId="0" fontId="45" fillId="0" borderId="34" xfId="0" applyFont="1" applyFill="1" applyBorder="1" applyAlignment="1" applyProtection="1">
      <alignment horizontal="justify" wrapText="1"/>
    </xf>
    <xf numFmtId="0" fontId="49" fillId="0" borderId="17" xfId="0" applyFont="1" applyBorder="1" applyAlignment="1" applyProtection="1">
      <alignment horizontal="justify" wrapText="1"/>
    </xf>
    <xf numFmtId="0" fontId="9" fillId="17" borderId="34" xfId="5" applyFill="1" applyBorder="1" applyAlignment="1" applyProtection="1">
      <alignment horizontal="justify" wrapText="1"/>
      <protection locked="0"/>
    </xf>
    <xf numFmtId="0" fontId="9" fillId="9" borderId="34" xfId="5" applyFont="1" applyFill="1" applyBorder="1" applyAlignment="1" applyProtection="1">
      <alignment horizontal="justify" wrapText="1"/>
      <protection locked="0"/>
    </xf>
    <xf numFmtId="178" fontId="15" fillId="17" borderId="3" xfId="0" applyNumberFormat="1" applyFont="1" applyFill="1" applyBorder="1" applyAlignment="1" applyProtection="1">
      <alignment horizontal="left" indent="2"/>
      <protection locked="0"/>
    </xf>
    <xf numFmtId="43" fontId="10" fillId="17" borderId="99" xfId="0" applyNumberFormat="1" applyFont="1" applyFill="1" applyBorder="1" applyAlignment="1" applyProtection="1">
      <alignment vertical="top" wrapText="1"/>
      <protection locked="0"/>
    </xf>
    <xf numFmtId="43" fontId="12" fillId="17" borderId="99" xfId="0" applyNumberFormat="1" applyFont="1" applyFill="1" applyBorder="1" applyAlignment="1" applyProtection="1">
      <alignment vertical="top" wrapText="1"/>
      <protection locked="0"/>
    </xf>
    <xf numFmtId="0" fontId="9" fillId="9" borderId="34" xfId="5" applyNumberFormat="1" applyFill="1" applyBorder="1" applyAlignment="1" applyProtection="1">
      <alignment horizontal="justify" wrapText="1"/>
      <protection locked="0"/>
    </xf>
    <xf numFmtId="184" fontId="20" fillId="17" borderId="3" xfId="0" applyNumberFormat="1" applyFont="1" applyFill="1" applyBorder="1" applyAlignment="1" applyProtection="1">
      <alignment horizontal="left" indent="1"/>
      <protection locked="0"/>
    </xf>
    <xf numFmtId="184" fontId="15" fillId="17" borderId="3" xfId="0" applyNumberFormat="1" applyFont="1" applyFill="1" applyBorder="1" applyAlignment="1" applyProtection="1">
      <alignment horizontal="left" indent="1"/>
      <protection locked="0"/>
    </xf>
    <xf numFmtId="0" fontId="17" fillId="17" borderId="42" xfId="0" applyNumberFormat="1" applyFont="1" applyFill="1" applyBorder="1" applyAlignment="1" applyProtection="1">
      <alignment horizontal="center" vertical="top" wrapText="1"/>
      <protection locked="0"/>
    </xf>
    <xf numFmtId="37" fontId="42" fillId="9" borderId="99" xfId="0" applyNumberFormat="1" applyFont="1" applyFill="1" applyBorder="1" applyAlignment="1" applyProtection="1">
      <alignment vertical="top" wrapText="1"/>
      <protection locked="0"/>
    </xf>
    <xf numFmtId="184" fontId="17" fillId="17" borderId="42" xfId="0" applyNumberFormat="1" applyFont="1" applyFill="1" applyBorder="1" applyAlignment="1" applyProtection="1">
      <alignment horizontal="center" vertical="top" wrapText="1"/>
      <protection locked="0"/>
    </xf>
    <xf numFmtId="178" fontId="15" fillId="17" borderId="47" xfId="10" applyNumberFormat="1" applyFont="1" applyFill="1" applyBorder="1" applyAlignment="1" applyProtection="1">
      <protection locked="0"/>
    </xf>
    <xf numFmtId="178" fontId="15" fillId="17" borderId="8" xfId="2" applyNumberFormat="1" applyFont="1" applyFill="1" applyBorder="1" applyProtection="1">
      <protection locked="0"/>
    </xf>
    <xf numFmtId="182" fontId="15" fillId="17" borderId="42" xfId="3" applyNumberFormat="1" applyFont="1" applyFill="1" applyBorder="1" applyAlignment="1" applyProtection="1">
      <alignment vertical="top" wrapText="1"/>
      <protection locked="0"/>
    </xf>
    <xf numFmtId="0" fontId="19" fillId="17" borderId="3" xfId="0" applyNumberFormat="1" applyFont="1" applyFill="1" applyBorder="1" applyAlignment="1" applyProtection="1">
      <alignment horizontal="left" indent="1"/>
      <protection locked="0"/>
    </xf>
    <xf numFmtId="0" fontId="15" fillId="17" borderId="3" xfId="0" applyNumberFormat="1" applyFont="1" applyFill="1" applyBorder="1" applyAlignment="1" applyProtection="1">
      <alignment horizontal="left"/>
      <protection locked="0"/>
    </xf>
    <xf numFmtId="0" fontId="15" fillId="17" borderId="47" xfId="0" applyNumberFormat="1" applyFont="1" applyFill="1" applyBorder="1" applyAlignment="1" applyProtection="1">
      <alignment horizontal="left"/>
      <protection locked="0"/>
    </xf>
    <xf numFmtId="0" fontId="15" fillId="17" borderId="47" xfId="0" applyNumberFormat="1" applyFont="1" applyFill="1" applyBorder="1" applyAlignment="1">
      <alignment horizontal="left"/>
    </xf>
    <xf numFmtId="0" fontId="19" fillId="17" borderId="47" xfId="0" applyNumberFormat="1" applyFont="1" applyFill="1" applyBorder="1" applyAlignment="1" applyProtection="1">
      <alignment horizontal="left"/>
      <protection locked="0"/>
    </xf>
    <xf numFmtId="0" fontId="15" fillId="17" borderId="99" xfId="0" applyNumberFormat="1" applyFont="1" applyFill="1" applyBorder="1" applyAlignment="1">
      <alignment horizontal="left"/>
    </xf>
    <xf numFmtId="184" fontId="15" fillId="17" borderId="67" xfId="0" applyNumberFormat="1" applyFont="1" applyFill="1" applyBorder="1" applyAlignment="1" applyProtection="1">
      <alignment horizontal="center"/>
      <protection locked="0"/>
    </xf>
    <xf numFmtId="0" fontId="15" fillId="17" borderId="42" xfId="0" applyNumberFormat="1" applyFont="1" applyFill="1" applyBorder="1" applyAlignment="1" applyProtection="1">
      <alignment horizontal="left"/>
      <protection locked="0"/>
    </xf>
    <xf numFmtId="0" fontId="15" fillId="17" borderId="67" xfId="0" applyNumberFormat="1" applyFont="1" applyFill="1" applyBorder="1" applyAlignment="1" applyProtection="1">
      <alignment horizontal="left"/>
      <protection locked="0"/>
    </xf>
    <xf numFmtId="186" fontId="15" fillId="17" borderId="76" xfId="0" applyNumberFormat="1" applyFont="1" applyFill="1" applyBorder="1" applyAlignment="1" applyProtection="1">
      <alignment horizontal="left"/>
      <protection locked="0"/>
    </xf>
    <xf numFmtId="178" fontId="15" fillId="17" borderId="3" xfId="0" applyNumberFormat="1" applyFont="1" applyFill="1" applyBorder="1" applyAlignment="1" applyProtection="1">
      <alignment horizontal="left"/>
      <protection locked="0"/>
    </xf>
    <xf numFmtId="178" fontId="15" fillId="17" borderId="76" xfId="0" applyNumberFormat="1" applyFont="1" applyFill="1" applyBorder="1" applyAlignment="1" applyProtection="1">
      <alignment horizontal="left"/>
      <protection locked="0"/>
    </xf>
    <xf numFmtId="184" fontId="15" fillId="17" borderId="76" xfId="0" applyNumberFormat="1" applyFont="1" applyFill="1" applyBorder="1" applyAlignment="1" applyProtection="1">
      <alignment horizontal="left"/>
      <protection locked="0"/>
    </xf>
    <xf numFmtId="0" fontId="15" fillId="17" borderId="0" xfId="0" applyNumberFormat="1" applyFont="1" applyFill="1" applyBorder="1" applyAlignment="1" applyProtection="1">
      <alignment horizontal="left"/>
      <protection locked="0"/>
    </xf>
    <xf numFmtId="184" fontId="15" fillId="17" borderId="8" xfId="0" applyNumberFormat="1" applyFont="1" applyFill="1" applyBorder="1" applyAlignment="1" applyProtection="1">
      <alignment horizontal="left"/>
      <protection locked="0"/>
    </xf>
    <xf numFmtId="178" fontId="15" fillId="17" borderId="0" xfId="0" applyNumberFormat="1" applyFont="1" applyFill="1" applyBorder="1" applyAlignment="1" applyProtection="1">
      <alignment horizontal="left"/>
      <protection locked="0"/>
    </xf>
    <xf numFmtId="186" fontId="15" fillId="17" borderId="8" xfId="0" applyNumberFormat="1" applyFont="1" applyFill="1" applyBorder="1" applyAlignment="1">
      <alignment horizontal="left"/>
    </xf>
    <xf numFmtId="2" fontId="15" fillId="17" borderId="42" xfId="0" applyNumberFormat="1" applyFont="1" applyFill="1" applyBorder="1" applyAlignment="1">
      <alignment horizontal="left"/>
    </xf>
    <xf numFmtId="43" fontId="15" fillId="17" borderId="42" xfId="0" applyNumberFormat="1" applyFont="1" applyFill="1" applyBorder="1" applyAlignment="1" applyProtection="1">
      <alignment horizontal="center"/>
      <protection locked="0"/>
    </xf>
    <xf numFmtId="43" fontId="42" fillId="9" borderId="103" xfId="0" applyNumberFormat="1" applyFont="1" applyFill="1" applyBorder="1" applyAlignment="1" applyProtection="1">
      <alignment wrapText="1"/>
      <protection locked="0"/>
    </xf>
    <xf numFmtId="43" fontId="42" fillId="9" borderId="99" xfId="0" applyNumberFormat="1" applyFont="1" applyFill="1" applyBorder="1" applyAlignment="1" applyProtection="1">
      <alignment wrapText="1"/>
      <protection locked="0"/>
    </xf>
    <xf numFmtId="184" fontId="15" fillId="17" borderId="8" xfId="0" applyNumberFormat="1" applyFont="1" applyFill="1" applyBorder="1" applyAlignment="1" applyProtection="1">
      <alignment horizontal="left" vertical="top" wrapText="1"/>
      <protection locked="0"/>
    </xf>
    <xf numFmtId="184" fontId="15" fillId="17" borderId="72" xfId="0" applyNumberFormat="1" applyFont="1" applyFill="1" applyBorder="1" applyAlignment="1" applyProtection="1">
      <alignment horizontal="left" vertical="top" wrapText="1"/>
      <protection locked="0"/>
    </xf>
    <xf numFmtId="178" fontId="15" fillId="0" borderId="3" xfId="0" applyNumberFormat="1" applyFont="1" applyFill="1" applyBorder="1" applyAlignment="1" applyProtection="1">
      <alignment horizontal="right"/>
      <protection locked="0"/>
    </xf>
    <xf numFmtId="178" fontId="15" fillId="0" borderId="42" xfId="0" applyNumberFormat="1" applyFont="1" applyFill="1" applyBorder="1" applyAlignment="1" applyProtection="1">
      <alignment horizontal="right"/>
      <protection locked="0"/>
    </xf>
    <xf numFmtId="179" fontId="15" fillId="17" borderId="0" xfId="2" applyNumberFormat="1" applyFont="1" applyFill="1" applyBorder="1" applyProtection="1">
      <protection locked="0"/>
    </xf>
    <xf numFmtId="179" fontId="15" fillId="17" borderId="42" xfId="2" applyNumberFormat="1" applyFont="1" applyFill="1" applyBorder="1" applyProtection="1">
      <protection locked="0"/>
    </xf>
    <xf numFmtId="178" fontId="15" fillId="17" borderId="47" xfId="24" applyNumberFormat="1" applyFont="1" applyFill="1" applyBorder="1" applyProtection="1">
      <protection locked="0"/>
    </xf>
    <xf numFmtId="0" fontId="96" fillId="17" borderId="3" xfId="0" applyFont="1" applyFill="1" applyBorder="1" applyAlignment="1">
      <alignment horizontal="left"/>
    </xf>
    <xf numFmtId="10" fontId="15" fillId="17" borderId="67" xfId="0" applyNumberFormat="1" applyFont="1" applyFill="1" applyBorder="1" applyAlignment="1" applyProtection="1">
      <alignment horizontal="left"/>
      <protection locked="0"/>
    </xf>
    <xf numFmtId="10" fontId="15" fillId="17" borderId="42" xfId="0" applyNumberFormat="1" applyFont="1" applyFill="1" applyBorder="1" applyAlignment="1" applyProtection="1">
      <alignment horizontal="left"/>
      <protection locked="0"/>
    </xf>
    <xf numFmtId="202" fontId="15" fillId="17" borderId="42" xfId="0" applyNumberFormat="1" applyFont="1" applyFill="1" applyBorder="1" applyAlignment="1">
      <alignment horizontal="left"/>
    </xf>
    <xf numFmtId="10" fontId="15" fillId="17" borderId="42" xfId="0" applyNumberFormat="1" applyFont="1" applyFill="1" applyBorder="1" applyAlignment="1">
      <alignment horizontal="left"/>
    </xf>
    <xf numFmtId="0" fontId="15" fillId="17" borderId="47" xfId="0" applyFont="1" applyFill="1" applyBorder="1"/>
    <xf numFmtId="186" fontId="15" fillId="17" borderId="8" xfId="0" applyNumberFormat="1" applyFont="1" applyFill="1" applyBorder="1"/>
    <xf numFmtId="0" fontId="96" fillId="17" borderId="47" xfId="0" applyFont="1" applyFill="1" applyBorder="1" applyAlignment="1">
      <alignment horizontal="left"/>
    </xf>
    <xf numFmtId="203" fontId="15" fillId="17" borderId="42" xfId="0" applyNumberFormat="1" applyFont="1" applyFill="1" applyBorder="1" applyAlignment="1">
      <alignment horizontal="left"/>
    </xf>
    <xf numFmtId="0" fontId="15" fillId="17" borderId="0" xfId="0" applyNumberFormat="1" applyFont="1" applyFill="1" applyBorder="1" applyAlignment="1">
      <alignment horizontal="left"/>
    </xf>
    <xf numFmtId="0" fontId="15" fillId="17" borderId="47" xfId="0" applyFont="1" applyFill="1" applyBorder="1" applyAlignment="1">
      <alignment horizontal="left"/>
    </xf>
    <xf numFmtId="186" fontId="15" fillId="17" borderId="76" xfId="0" applyNumberFormat="1" applyFont="1" applyFill="1" applyBorder="1"/>
    <xf numFmtId="0" fontId="15" fillId="17" borderId="99" xfId="0" applyFont="1" applyFill="1" applyBorder="1" applyAlignment="1">
      <alignment horizontal="left"/>
    </xf>
    <xf numFmtId="43" fontId="15" fillId="17" borderId="0" xfId="0" applyNumberFormat="1" applyFont="1" applyFill="1" applyBorder="1" applyAlignment="1" applyProtection="1">
      <alignment horizontal="center"/>
      <protection locked="0"/>
    </xf>
    <xf numFmtId="184" fontId="15" fillId="17" borderId="99" xfId="0" applyNumberFormat="1" applyFont="1" applyFill="1" applyBorder="1" applyAlignment="1" applyProtection="1">
      <alignment horizontal="left"/>
      <protection locked="0"/>
    </xf>
    <xf numFmtId="184" fontId="15" fillId="17" borderId="67" xfId="0" applyNumberFormat="1" applyFont="1" applyFill="1" applyBorder="1" applyAlignment="1" applyProtection="1">
      <alignment horizontal="left"/>
      <protection locked="0"/>
    </xf>
    <xf numFmtId="10" fontId="15" fillId="17" borderId="42" xfId="0" applyNumberFormat="1" applyFont="1" applyFill="1" applyBorder="1" applyAlignment="1" applyProtection="1">
      <alignment horizontal="center"/>
      <protection locked="0"/>
    </xf>
    <xf numFmtId="184" fontId="15" fillId="17" borderId="8" xfId="0" applyNumberFormat="1" applyFont="1" applyFill="1" applyBorder="1" applyAlignment="1" applyProtection="1">
      <alignment horizontal="center"/>
      <protection locked="0"/>
    </xf>
    <xf numFmtId="0" fontId="15" fillId="17" borderId="99" xfId="0" applyNumberFormat="1" applyFont="1" applyFill="1" applyBorder="1" applyAlignment="1" applyProtection="1">
      <alignment horizontal="center"/>
      <protection locked="0"/>
    </xf>
    <xf numFmtId="14" fontId="15" fillId="17" borderId="3" xfId="360" applyNumberFormat="1" applyFont="1" applyFill="1" applyBorder="1" applyAlignment="1" applyProtection="1">
      <alignment horizontal="center"/>
      <protection locked="0"/>
    </xf>
    <xf numFmtId="179" fontId="15" fillId="17" borderId="3" xfId="2921" applyNumberFormat="1" applyFont="1" applyFill="1" applyBorder="1" applyAlignment="1" applyProtection="1">
      <protection locked="0"/>
    </xf>
    <xf numFmtId="177" fontId="15" fillId="17" borderId="3" xfId="2921" applyNumberFormat="1" applyFont="1" applyFill="1" applyBorder="1" applyProtection="1">
      <protection locked="0"/>
    </xf>
    <xf numFmtId="178" fontId="15" fillId="17" borderId="3" xfId="362" applyNumberFormat="1" applyFont="1" applyFill="1" applyBorder="1" applyProtection="1">
      <protection locked="0"/>
    </xf>
    <xf numFmtId="178" fontId="15" fillId="17" borderId="42" xfId="362" applyNumberFormat="1" applyFont="1" applyFill="1" applyBorder="1" applyProtection="1">
      <protection locked="0"/>
    </xf>
    <xf numFmtId="178" fontId="15" fillId="17" borderId="76" xfId="362" applyNumberFormat="1" applyFont="1" applyFill="1" applyBorder="1" applyProtection="1">
      <protection locked="0"/>
    </xf>
    <xf numFmtId="174" fontId="15" fillId="17" borderId="3" xfId="5278" applyNumberFormat="1" applyFont="1" applyFill="1" applyBorder="1" applyAlignment="1" applyProtection="1">
      <alignment horizontal="center"/>
      <protection locked="0"/>
    </xf>
    <xf numFmtId="174" fontId="15" fillId="17" borderId="42" xfId="5278" applyNumberFormat="1" applyFont="1" applyFill="1" applyBorder="1" applyAlignment="1" applyProtection="1">
      <alignment horizontal="center"/>
      <protection locked="0"/>
    </xf>
    <xf numFmtId="174" fontId="15" fillId="17" borderId="76" xfId="5278" applyNumberFormat="1" applyFont="1" applyFill="1" applyBorder="1" applyAlignment="1" applyProtection="1">
      <alignment horizontal="center"/>
      <protection locked="0"/>
    </xf>
    <xf numFmtId="178" fontId="15" fillId="17" borderId="3" xfId="5278" applyNumberFormat="1" applyFont="1" applyFill="1" applyBorder="1" applyAlignment="1" applyProtection="1">
      <alignment horizontal="center"/>
      <protection locked="0"/>
    </xf>
    <xf numFmtId="178" fontId="15" fillId="17" borderId="42" xfId="5278" applyNumberFormat="1" applyFont="1" applyFill="1" applyBorder="1" applyAlignment="1" applyProtection="1">
      <alignment horizontal="center"/>
      <protection locked="0"/>
    </xf>
    <xf numFmtId="178" fontId="15" fillId="17" borderId="76" xfId="5278" applyNumberFormat="1" applyFont="1" applyFill="1" applyBorder="1" applyAlignment="1" applyProtection="1">
      <alignment horizontal="center"/>
      <protection locked="0"/>
    </xf>
    <xf numFmtId="178" fontId="15" fillId="17" borderId="50" xfId="5278" applyNumberFormat="1" applyFont="1" applyFill="1" applyBorder="1" applyAlignment="1" applyProtection="1">
      <alignment horizontal="center"/>
      <protection locked="0"/>
    </xf>
    <xf numFmtId="178" fontId="15" fillId="17" borderId="68" xfId="5278" applyNumberFormat="1" applyFont="1" applyFill="1" applyBorder="1" applyAlignment="1" applyProtection="1">
      <alignment horizontal="center"/>
      <protection locked="0"/>
    </xf>
    <xf numFmtId="178" fontId="15" fillId="17" borderId="71" xfId="5278" applyNumberFormat="1" applyFont="1" applyFill="1" applyBorder="1" applyAlignment="1" applyProtection="1">
      <alignment horizontal="center"/>
      <protection locked="0"/>
    </xf>
    <xf numFmtId="178" fontId="15" fillId="17" borderId="97" xfId="5278" applyNumberFormat="1" applyFont="1" applyFill="1" applyBorder="1" applyAlignment="1" applyProtection="1">
      <alignment horizontal="center"/>
      <protection locked="0"/>
    </xf>
    <xf numFmtId="179" fontId="15" fillId="17" borderId="42" xfId="2918" applyNumberFormat="1" applyFont="1" applyFill="1" applyBorder="1" applyProtection="1">
      <protection locked="0"/>
    </xf>
    <xf numFmtId="179" fontId="15" fillId="17" borderId="76" xfId="2918" applyNumberFormat="1" applyFont="1" applyFill="1" applyBorder="1" applyProtection="1">
      <protection locked="0"/>
    </xf>
    <xf numFmtId="179" fontId="15" fillId="17" borderId="42" xfId="330" applyNumberFormat="1" applyFont="1" applyFill="1" applyBorder="1" applyProtection="1">
      <protection locked="0"/>
    </xf>
    <xf numFmtId="172" fontId="15" fillId="17" borderId="42" xfId="330" applyNumberFormat="1" applyFont="1" applyFill="1" applyBorder="1" applyProtection="1">
      <protection locked="0"/>
    </xf>
    <xf numFmtId="179" fontId="15" fillId="17" borderId="76" xfId="330" applyNumberFormat="1" applyFont="1" applyFill="1" applyBorder="1" applyProtection="1">
      <protection locked="0"/>
    </xf>
    <xf numFmtId="0" fontId="15" fillId="17" borderId="42" xfId="330" applyNumberFormat="1" applyFont="1" applyFill="1" applyBorder="1" applyAlignment="1" applyProtection="1">
      <alignment horizontal="center"/>
      <protection locked="0"/>
    </xf>
    <xf numFmtId="0" fontId="15" fillId="17" borderId="76" xfId="330" applyNumberFormat="1" applyFont="1" applyFill="1" applyBorder="1" applyAlignment="1" applyProtection="1">
      <alignment horizontal="center"/>
      <protection locked="0"/>
    </xf>
    <xf numFmtId="0" fontId="15" fillId="17" borderId="42" xfId="2918" applyNumberFormat="1" applyFont="1" applyFill="1" applyBorder="1" applyAlignment="1" applyProtection="1">
      <alignment horizontal="center"/>
      <protection locked="0"/>
    </xf>
    <xf numFmtId="0" fontId="15" fillId="17" borderId="76" xfId="2918" applyNumberFormat="1" applyFont="1" applyFill="1" applyBorder="1" applyAlignment="1" applyProtection="1">
      <alignment horizontal="center"/>
      <protection locked="0"/>
    </xf>
    <xf numFmtId="177" fontId="15" fillId="17" borderId="42" xfId="2919" applyNumberFormat="1" applyFont="1" applyFill="1" applyBorder="1" applyProtection="1">
      <protection locked="0"/>
    </xf>
    <xf numFmtId="177" fontId="15" fillId="17" borderId="76" xfId="2919" applyNumberFormat="1" applyFont="1" applyFill="1" applyBorder="1" applyProtection="1">
      <protection locked="0"/>
    </xf>
    <xf numFmtId="181" fontId="15" fillId="17" borderId="42" xfId="2920" applyNumberFormat="1" applyFont="1" applyFill="1" applyBorder="1" applyProtection="1">
      <protection locked="0"/>
    </xf>
    <xf numFmtId="181" fontId="15" fillId="17" borderId="76" xfId="2920" applyNumberFormat="1" applyFont="1" applyFill="1" applyBorder="1" applyProtection="1">
      <protection locked="0"/>
    </xf>
    <xf numFmtId="178" fontId="15" fillId="17" borderId="42" xfId="359" applyNumberFormat="1" applyFont="1" applyFill="1" applyBorder="1" applyProtection="1">
      <protection locked="0"/>
    </xf>
    <xf numFmtId="178" fontId="15" fillId="17" borderId="76" xfId="359" applyNumberFormat="1" applyFont="1" applyFill="1" applyBorder="1" applyProtection="1">
      <protection locked="0"/>
    </xf>
    <xf numFmtId="174" fontId="15" fillId="17" borderId="42" xfId="5276" applyNumberFormat="1" applyFont="1" applyFill="1" applyBorder="1" applyAlignment="1" applyProtection="1">
      <alignment horizontal="center"/>
      <protection locked="0"/>
    </xf>
    <xf numFmtId="174" fontId="15" fillId="17" borderId="76" xfId="5276" applyNumberFormat="1" applyFont="1" applyFill="1" applyBorder="1" applyAlignment="1" applyProtection="1">
      <alignment horizontal="center"/>
      <protection locked="0"/>
    </xf>
    <xf numFmtId="178" fontId="15" fillId="17" borderId="42" xfId="2920" applyNumberFormat="1" applyFont="1" applyFill="1" applyBorder="1" applyProtection="1">
      <protection locked="0"/>
    </xf>
    <xf numFmtId="178" fontId="15" fillId="17" borderId="76" xfId="2920" applyNumberFormat="1" applyFont="1" applyFill="1" applyBorder="1" applyProtection="1">
      <protection locked="0"/>
    </xf>
    <xf numFmtId="178" fontId="15" fillId="17" borderId="46" xfId="2920" applyNumberFormat="1" applyFont="1" applyFill="1" applyBorder="1" applyProtection="1">
      <protection locked="0"/>
    </xf>
    <xf numFmtId="178" fontId="15" fillId="17" borderId="79" xfId="2920" applyNumberFormat="1" applyFont="1" applyFill="1" applyBorder="1" applyProtection="1">
      <protection locked="0"/>
    </xf>
    <xf numFmtId="179" fontId="15" fillId="17" borderId="42" xfId="2923" applyNumberFormat="1" applyFont="1" applyFill="1" applyBorder="1" applyProtection="1">
      <protection locked="0"/>
    </xf>
    <xf numFmtId="179" fontId="15" fillId="17" borderId="76" xfId="2923" applyNumberFormat="1" applyFont="1" applyFill="1" applyBorder="1" applyProtection="1">
      <protection locked="0"/>
    </xf>
    <xf numFmtId="179" fontId="15" fillId="17" borderId="42" xfId="363" applyNumberFormat="1" applyFont="1" applyFill="1" applyBorder="1" applyProtection="1">
      <protection locked="0"/>
    </xf>
    <xf numFmtId="172" fontId="15" fillId="17" borderId="42" xfId="363" applyNumberFormat="1" applyFont="1" applyFill="1" applyBorder="1" applyProtection="1">
      <protection locked="0"/>
    </xf>
    <xf numFmtId="179" fontId="15" fillId="17" borderId="76" xfId="363" applyNumberFormat="1" applyFont="1" applyFill="1" applyBorder="1" applyProtection="1">
      <protection locked="0"/>
    </xf>
    <xf numFmtId="0" fontId="15" fillId="17" borderId="42" xfId="363" applyNumberFormat="1" applyFont="1" applyFill="1" applyBorder="1" applyAlignment="1" applyProtection="1">
      <alignment horizontal="center"/>
      <protection locked="0"/>
    </xf>
    <xf numFmtId="0" fontId="15" fillId="17" borderId="42" xfId="2923" applyNumberFormat="1" applyFont="1" applyFill="1" applyBorder="1" applyAlignment="1" applyProtection="1">
      <alignment horizontal="center"/>
      <protection locked="0"/>
    </xf>
    <xf numFmtId="168" fontId="15" fillId="17" borderId="42" xfId="2965" applyNumberFormat="1" applyFont="1" applyFill="1" applyBorder="1" applyAlignment="1" applyProtection="1">
      <alignment vertical="top" wrapText="1"/>
      <protection locked="0"/>
    </xf>
    <xf numFmtId="0" fontId="15" fillId="17" borderId="3" xfId="1" applyNumberFormat="1" applyFont="1" applyFill="1" applyBorder="1" applyAlignment="1" applyProtection="1">
      <alignment horizontal="left" vertical="top" wrapText="1"/>
      <protection locked="0"/>
    </xf>
    <xf numFmtId="168" fontId="15" fillId="17" borderId="8" xfId="2965" applyNumberFormat="1" applyFont="1" applyFill="1" applyBorder="1" applyAlignment="1" applyProtection="1">
      <alignment vertical="top" wrapText="1"/>
      <protection locked="0"/>
    </xf>
    <xf numFmtId="168" fontId="15" fillId="17" borderId="3" xfId="2965" applyNumberFormat="1" applyFont="1" applyFill="1" applyBorder="1" applyAlignment="1" applyProtection="1">
      <alignment vertical="top" wrapText="1"/>
      <protection locked="0"/>
    </xf>
    <xf numFmtId="178" fontId="15" fillId="17" borderId="46" xfId="1249" applyNumberFormat="1" applyFont="1" applyFill="1" applyBorder="1" applyAlignment="1" applyProtection="1">
      <protection locked="0"/>
    </xf>
    <xf numFmtId="178" fontId="15" fillId="17" borderId="46" xfId="3530" applyNumberFormat="1" applyFont="1" applyFill="1" applyBorder="1" applyAlignment="1" applyProtection="1">
      <protection locked="0"/>
    </xf>
    <xf numFmtId="178" fontId="15" fillId="17" borderId="42" xfId="1249" applyNumberFormat="1" applyFont="1" applyFill="1" applyBorder="1" applyAlignment="1" applyProtection="1">
      <protection locked="0"/>
    </xf>
    <xf numFmtId="178" fontId="15" fillId="17" borderId="42" xfId="3530" applyNumberFormat="1" applyFont="1" applyFill="1" applyBorder="1" applyAlignment="1" applyProtection="1">
      <protection locked="0"/>
    </xf>
    <xf numFmtId="178" fontId="15" fillId="17" borderId="71" xfId="1249" applyNumberFormat="1" applyFont="1" applyFill="1" applyBorder="1" applyAlignment="1" applyProtection="1">
      <protection locked="0"/>
    </xf>
    <xf numFmtId="178" fontId="15" fillId="17" borderId="71" xfId="3530" applyNumberFormat="1" applyFont="1" applyFill="1" applyBorder="1" applyAlignment="1" applyProtection="1">
      <protection locked="0"/>
    </xf>
    <xf numFmtId="178" fontId="15" fillId="17" borderId="46" xfId="3599" applyNumberFormat="1" applyFont="1" applyFill="1" applyBorder="1" applyAlignment="1" applyProtection="1">
      <protection locked="0"/>
    </xf>
    <xf numFmtId="178" fontId="15" fillId="17" borderId="46" xfId="3621" applyNumberFormat="1" applyFont="1" applyFill="1" applyBorder="1" applyAlignment="1" applyProtection="1">
      <protection locked="0"/>
    </xf>
    <xf numFmtId="178" fontId="15" fillId="17" borderId="42" xfId="3599" applyNumberFormat="1" applyFont="1" applyFill="1" applyBorder="1" applyAlignment="1" applyProtection="1">
      <protection locked="0"/>
    </xf>
    <xf numFmtId="178" fontId="15" fillId="17" borderId="42" xfId="3621" applyNumberFormat="1" applyFont="1" applyFill="1" applyBorder="1" applyAlignment="1" applyProtection="1">
      <protection locked="0"/>
    </xf>
    <xf numFmtId="178" fontId="15" fillId="17" borderId="71" xfId="3599" applyNumberFormat="1" applyFont="1" applyFill="1" applyBorder="1" applyAlignment="1" applyProtection="1">
      <protection locked="0"/>
    </xf>
    <xf numFmtId="178" fontId="15" fillId="17" borderId="71" xfId="3621" applyNumberFormat="1" applyFont="1" applyFill="1" applyBorder="1" applyAlignment="1" applyProtection="1">
      <protection locked="0"/>
    </xf>
    <xf numFmtId="178" fontId="15" fillId="17" borderId="46" xfId="3630" applyNumberFormat="1" applyFont="1" applyFill="1" applyBorder="1" applyAlignment="1" applyProtection="1">
      <protection locked="0"/>
    </xf>
    <xf numFmtId="178" fontId="15" fillId="17" borderId="46" xfId="298" applyNumberFormat="1" applyFont="1" applyFill="1" applyBorder="1" applyAlignment="1" applyProtection="1">
      <protection locked="0"/>
    </xf>
    <xf numFmtId="178" fontId="15" fillId="17" borderId="42" xfId="3630" applyNumberFormat="1" applyFont="1" applyFill="1" applyBorder="1" applyAlignment="1" applyProtection="1">
      <protection locked="0"/>
    </xf>
    <xf numFmtId="178" fontId="15" fillId="17" borderId="42" xfId="298" applyNumberFormat="1" applyFont="1" applyFill="1" applyBorder="1" applyAlignment="1" applyProtection="1">
      <protection locked="0"/>
    </xf>
    <xf numFmtId="178" fontId="15" fillId="17" borderId="71" xfId="3630" applyNumberFormat="1" applyFont="1" applyFill="1" applyBorder="1" applyAlignment="1" applyProtection="1">
      <protection locked="0"/>
    </xf>
    <xf numFmtId="178" fontId="15" fillId="17" borderId="71" xfId="298" applyNumberFormat="1" applyFont="1" applyFill="1" applyBorder="1" applyAlignment="1" applyProtection="1">
      <protection locked="0"/>
    </xf>
    <xf numFmtId="178" fontId="15" fillId="9" borderId="47" xfId="3859" applyNumberFormat="1" applyFont="1" applyFill="1" applyBorder="1" applyProtection="1">
      <protection locked="0"/>
    </xf>
    <xf numFmtId="178" fontId="15" fillId="9" borderId="47" xfId="3905" applyNumberFormat="1" applyFont="1" applyFill="1" applyBorder="1" applyProtection="1">
      <protection locked="0"/>
    </xf>
    <xf numFmtId="204" fontId="15" fillId="17" borderId="1" xfId="12" applyNumberFormat="1" applyFont="1" applyFill="1" applyBorder="1" applyAlignment="1" applyProtection="1">
      <alignment vertical="top" wrapText="1"/>
      <protection locked="0"/>
    </xf>
    <xf numFmtId="178" fontId="15" fillId="17" borderId="47" xfId="5875" applyNumberFormat="1" applyFont="1" applyFill="1" applyBorder="1" applyProtection="1">
      <protection locked="0"/>
    </xf>
    <xf numFmtId="178" fontId="15" fillId="17" borderId="47" xfId="5875" applyNumberFormat="1" applyFont="1" applyFill="1" applyBorder="1" applyProtection="1">
      <protection locked="0"/>
    </xf>
    <xf numFmtId="171" fontId="15" fillId="9" borderId="42" xfId="12" applyNumberFormat="1" applyFont="1" applyFill="1" applyBorder="1" applyAlignment="1" applyProtection="1">
      <alignment horizontal="center" vertical="top" wrapText="1"/>
      <protection locked="0"/>
    </xf>
    <xf numFmtId="171" fontId="15" fillId="17" borderId="76" xfId="0" applyNumberFormat="1" applyFont="1" applyFill="1" applyBorder="1" applyAlignment="1" applyProtection="1">
      <alignment horizontal="center" vertical="top" wrapText="1"/>
      <protection locked="0"/>
    </xf>
    <xf numFmtId="0" fontId="15" fillId="9" borderId="47" xfId="20" applyNumberFormat="1" applyFont="1" applyFill="1" applyBorder="1" applyAlignment="1" applyProtection="1">
      <alignment horizontal="center" vertical="top" wrapText="1"/>
      <protection locked="0"/>
    </xf>
    <xf numFmtId="0" fontId="15" fillId="9" borderId="42" xfId="20" applyNumberFormat="1" applyFont="1" applyFill="1" applyBorder="1" applyAlignment="1" applyProtection="1">
      <alignment horizontal="center" vertical="top" wrapText="1"/>
      <protection locked="0"/>
    </xf>
    <xf numFmtId="3" fontId="45" fillId="17" borderId="34" xfId="0" applyNumberFormat="1" applyFont="1" applyFill="1" applyBorder="1" applyAlignment="1" applyProtection="1">
      <alignment horizontal="justify" wrapText="1"/>
      <protection locked="0"/>
    </xf>
    <xf numFmtId="0" fontId="9" fillId="9" borderId="34" xfId="5" applyFill="1" applyBorder="1" applyAlignment="1" applyProtection="1">
      <alignment horizontal="justify" wrapText="1"/>
      <protection locked="0"/>
    </xf>
    <xf numFmtId="178" fontId="15" fillId="17" borderId="42" xfId="7351" applyNumberFormat="1" applyFont="1" applyFill="1" applyBorder="1" applyProtection="1">
      <protection locked="0"/>
    </xf>
    <xf numFmtId="178" fontId="15" fillId="17" borderId="42" xfId="7352" applyNumberFormat="1" applyFont="1" applyFill="1" applyBorder="1" applyProtection="1">
      <protection locked="0"/>
    </xf>
    <xf numFmtId="178" fontId="15" fillId="17" borderId="3" xfId="7353" applyNumberFormat="1" applyFont="1" applyFill="1" applyBorder="1" applyProtection="1">
      <protection locked="0"/>
    </xf>
    <xf numFmtId="178" fontId="15" fillId="17" borderId="42" xfId="7353" applyNumberFormat="1" applyFont="1" applyFill="1" applyBorder="1" applyProtection="1">
      <protection locked="0"/>
    </xf>
    <xf numFmtId="178" fontId="15" fillId="17" borderId="8" xfId="7353" applyNumberFormat="1" applyFont="1" applyFill="1" applyBorder="1" applyProtection="1">
      <protection locked="0"/>
    </xf>
    <xf numFmtId="178" fontId="15" fillId="17" borderId="67" xfId="7354" applyNumberFormat="1" applyFont="1" applyFill="1" applyBorder="1" applyProtection="1">
      <protection locked="0"/>
    </xf>
    <xf numFmtId="178" fontId="15" fillId="17" borderId="67" xfId="7355" applyNumberFormat="1" applyFont="1" applyFill="1" applyBorder="1" applyProtection="1">
      <protection locked="0"/>
    </xf>
    <xf numFmtId="178" fontId="15" fillId="17" borderId="0" xfId="7356" applyNumberFormat="1" applyFont="1" applyFill="1" applyBorder="1" applyProtection="1">
      <protection locked="0"/>
    </xf>
    <xf numFmtId="178" fontId="15" fillId="17" borderId="8" xfId="7357" applyNumberFormat="1" applyFont="1" applyFill="1" applyBorder="1" applyProtection="1">
      <protection locked="0"/>
    </xf>
    <xf numFmtId="178" fontId="15" fillId="17" borderId="49" xfId="7358" applyNumberFormat="1" applyFont="1" applyFill="1" applyBorder="1" applyProtection="1">
      <protection locked="0"/>
    </xf>
    <xf numFmtId="178" fontId="15" fillId="17" borderId="50" xfId="7359" applyNumberFormat="1" applyFont="1" applyFill="1" applyBorder="1" applyProtection="1">
      <protection locked="0"/>
    </xf>
    <xf numFmtId="178" fontId="15" fillId="17" borderId="46" xfId="7360" applyNumberFormat="1" applyFont="1" applyFill="1" applyBorder="1" applyProtection="1">
      <protection locked="0"/>
    </xf>
    <xf numFmtId="178" fontId="15" fillId="17" borderId="49" xfId="7361" applyNumberFormat="1" applyFont="1" applyFill="1" applyBorder="1" applyProtection="1">
      <protection locked="0"/>
    </xf>
    <xf numFmtId="178" fontId="15" fillId="17" borderId="8" xfId="7358" applyNumberFormat="1" applyFont="1" applyFill="1" applyBorder="1" applyProtection="1">
      <protection locked="0"/>
    </xf>
    <xf numFmtId="178" fontId="15" fillId="17" borderId="3" xfId="7359" applyNumberFormat="1" applyFont="1" applyFill="1" applyBorder="1" applyProtection="1">
      <protection locked="0"/>
    </xf>
    <xf numFmtId="178" fontId="15" fillId="17" borderId="42" xfId="7360" applyNumberFormat="1" applyFont="1" applyFill="1" applyBorder="1" applyProtection="1">
      <protection locked="0"/>
    </xf>
    <xf numFmtId="178" fontId="15" fillId="17" borderId="8" xfId="7361" applyNumberFormat="1" applyFont="1" applyFill="1" applyBorder="1" applyProtection="1">
      <protection locked="0"/>
    </xf>
    <xf numFmtId="178" fontId="15" fillId="17" borderId="72" xfId="7358" applyNumberFormat="1" applyFont="1" applyFill="1" applyBorder="1" applyProtection="1">
      <protection locked="0"/>
    </xf>
    <xf numFmtId="0" fontId="8" fillId="16" borderId="17" xfId="0" applyFont="1" applyFill="1" applyBorder="1" applyAlignment="1" applyProtection="1">
      <alignment horizontal="left"/>
    </xf>
    <xf numFmtId="0" fontId="8" fillId="16" borderId="35" xfId="0" applyFont="1" applyFill="1" applyBorder="1" applyAlignment="1" applyProtection="1">
      <alignment horizontal="left"/>
    </xf>
    <xf numFmtId="0" fontId="8" fillId="16" borderId="34" xfId="0" applyFont="1" applyFill="1" applyBorder="1" applyAlignment="1" applyProtection="1">
      <alignment horizontal="left"/>
    </xf>
    <xf numFmtId="0" fontId="8" fillId="5" borderId="17" xfId="0" applyFont="1" applyFill="1" applyBorder="1" applyAlignment="1" applyProtection="1">
      <alignment horizontal="left"/>
    </xf>
    <xf numFmtId="0" fontId="8" fillId="5" borderId="34" xfId="0" applyFont="1" applyFill="1" applyBorder="1" applyAlignment="1" applyProtection="1">
      <alignment horizontal="left"/>
    </xf>
    <xf numFmtId="0" fontId="8" fillId="6" borderId="17" xfId="0" applyFont="1" applyFill="1" applyBorder="1" applyAlignment="1" applyProtection="1">
      <alignment horizontal="center"/>
    </xf>
    <xf numFmtId="0" fontId="8" fillId="6" borderId="34" xfId="0" applyFont="1" applyFill="1" applyBorder="1" applyAlignment="1" applyProtection="1">
      <alignment horizontal="center"/>
    </xf>
    <xf numFmtId="0" fontId="8" fillId="11" borderId="17" xfId="0" applyFont="1" applyFill="1" applyBorder="1" applyAlignment="1" applyProtection="1">
      <alignment horizontal="center"/>
    </xf>
    <xf numFmtId="0" fontId="8" fillId="11" borderId="34" xfId="0" applyFont="1" applyFill="1" applyBorder="1" applyAlignment="1" applyProtection="1">
      <alignment horizontal="center"/>
    </xf>
    <xf numFmtId="0" fontId="8" fillId="5" borderId="35" xfId="0" applyFont="1" applyFill="1" applyBorder="1" applyAlignment="1" applyProtection="1">
      <alignment horizontal="left"/>
    </xf>
    <xf numFmtId="0" fontId="44" fillId="0" borderId="17" xfId="0" applyFont="1" applyBorder="1" applyAlignment="1" applyProtection="1">
      <alignment horizontal="justify" wrapText="1"/>
    </xf>
    <xf numFmtId="0" fontId="0" fillId="0" borderId="34" xfId="0" applyBorder="1" applyAlignment="1">
      <alignment horizontal="justify" wrapText="1"/>
    </xf>
    <xf numFmtId="0" fontId="12" fillId="0" borderId="125" xfId="0" applyFont="1" applyBorder="1" applyAlignment="1" applyProtection="1">
      <alignment horizontal="justify" wrapText="1"/>
    </xf>
    <xf numFmtId="0" fontId="10" fillId="0" borderId="126" xfId="0" applyFont="1" applyBorder="1" applyAlignment="1">
      <alignment horizontal="justify" wrapText="1"/>
    </xf>
    <xf numFmtId="0" fontId="44" fillId="0" borderId="123" xfId="0" applyFont="1" applyBorder="1" applyAlignment="1" applyProtection="1">
      <alignment horizontal="justify" vertical="center" wrapText="1"/>
    </xf>
    <xf numFmtId="0" fontId="0" fillId="0" borderId="124" xfId="0" applyBorder="1" applyAlignment="1">
      <alignment horizontal="justify" vertical="center" wrapText="1"/>
    </xf>
    <xf numFmtId="0" fontId="48" fillId="0" borderId="17" xfId="0" applyFont="1" applyBorder="1" applyAlignment="1" applyProtection="1">
      <alignment horizontal="justify" wrapText="1"/>
    </xf>
    <xf numFmtId="0" fontId="12" fillId="0" borderId="0" xfId="0" applyFont="1" applyBorder="1" applyAlignment="1" applyProtection="1">
      <alignment horizontal="justify" vertical="top" wrapText="1"/>
    </xf>
    <xf numFmtId="0" fontId="35" fillId="0" borderId="120" xfId="0" applyFont="1" applyBorder="1" applyAlignment="1" applyProtection="1">
      <alignment horizontal="justify" vertical="center" wrapText="1"/>
    </xf>
    <xf numFmtId="0" fontId="34" fillId="0" borderId="120" xfId="0" applyFont="1" applyBorder="1" applyAlignment="1">
      <alignment horizontal="justify" vertical="center" wrapText="1"/>
    </xf>
    <xf numFmtId="0" fontId="35" fillId="0" borderId="121" xfId="0" applyFont="1" applyBorder="1" applyAlignment="1" applyProtection="1">
      <alignment horizontal="justify" vertical="center"/>
    </xf>
    <xf numFmtId="0" fontId="10" fillId="0" borderId="122" xfId="0" applyFont="1" applyBorder="1" applyAlignment="1">
      <alignment horizontal="justify" vertical="center"/>
    </xf>
    <xf numFmtId="0" fontId="20" fillId="0" borderId="0" xfId="0" applyFont="1" applyBorder="1" applyAlignment="1" applyProtection="1">
      <alignment horizontal="left" vertical="top" wrapText="1"/>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justify" vertical="top" wrapText="1"/>
    </xf>
    <xf numFmtId="0" fontId="12" fillId="0" borderId="121" xfId="0" applyFont="1" applyBorder="1" applyAlignment="1" applyProtection="1">
      <alignment horizontal="justify" vertical="center" wrapText="1"/>
    </xf>
    <xf numFmtId="0" fontId="10" fillId="0" borderId="122" xfId="0" applyFont="1" applyBorder="1" applyAlignment="1">
      <alignment horizontal="justify" vertical="center" wrapText="1"/>
    </xf>
    <xf numFmtId="0" fontId="46" fillId="0" borderId="123" xfId="0" applyFont="1" applyBorder="1" applyAlignment="1" applyProtection="1">
      <alignment horizontal="justify" vertical="center" wrapText="1"/>
    </xf>
    <xf numFmtId="0" fontId="47" fillId="0" borderId="124" xfId="0" applyFont="1" applyBorder="1" applyAlignment="1">
      <alignment horizontal="justify" vertical="center" wrapText="1"/>
    </xf>
    <xf numFmtId="0" fontId="17" fillId="0" borderId="38"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38" xfId="0" applyFont="1" applyFill="1" applyBorder="1" applyAlignment="1">
      <alignment horizontal="center" vertical="center"/>
    </xf>
    <xf numFmtId="0" fontId="17" fillId="0" borderId="39" xfId="0" applyFont="1" applyFill="1" applyBorder="1" applyAlignment="1">
      <alignment horizontal="center" vertical="center"/>
    </xf>
    <xf numFmtId="0" fontId="12" fillId="0" borderId="9" xfId="0" applyFont="1" applyFill="1" applyBorder="1" applyAlignment="1">
      <alignment horizontal="left"/>
    </xf>
    <xf numFmtId="0" fontId="26" fillId="0" borderId="9" xfId="0" applyFont="1" applyBorder="1" applyAlignment="1"/>
    <xf numFmtId="0" fontId="20" fillId="0" borderId="0" xfId="0" applyFont="1" applyFill="1" applyBorder="1" applyAlignment="1" applyProtection="1">
      <alignment horizontal="left" vertical="top" wrapText="1"/>
    </xf>
    <xf numFmtId="0" fontId="17" fillId="0" borderId="40" xfId="0" applyFont="1" applyFill="1" applyBorder="1" applyAlignment="1">
      <alignment horizontal="center" vertical="center"/>
    </xf>
    <xf numFmtId="0" fontId="17" fillId="0" borderId="38" xfId="0" applyFont="1" applyFill="1" applyBorder="1" applyAlignment="1" applyProtection="1">
      <alignment horizontal="center" vertical="center"/>
    </xf>
    <xf numFmtId="0" fontId="17" fillId="0" borderId="39" xfId="0" applyFont="1" applyFill="1" applyBorder="1" applyAlignment="1" applyProtection="1">
      <alignment horizontal="center" vertical="center"/>
    </xf>
    <xf numFmtId="0" fontId="17" fillId="0" borderId="38" xfId="0" applyFont="1" applyFill="1" applyBorder="1" applyAlignment="1" applyProtection="1">
      <alignment horizontal="center" vertical="center" wrapText="1"/>
    </xf>
    <xf numFmtId="0" fontId="17" fillId="0" borderId="39" xfId="0" applyFont="1" applyFill="1" applyBorder="1" applyAlignment="1" applyProtection="1">
      <alignment horizontal="center" vertical="center" wrapText="1"/>
    </xf>
    <xf numFmtId="0" fontId="17" fillId="0" borderId="40" xfId="0" applyFont="1" applyFill="1" applyBorder="1" applyAlignment="1" applyProtection="1">
      <alignment horizontal="center" vertical="center" wrapText="1"/>
    </xf>
    <xf numFmtId="0" fontId="17" fillId="2" borderId="17" xfId="0" applyFont="1" applyFill="1" applyBorder="1" applyAlignment="1">
      <alignment horizontal="center" vertical="center" wrapText="1"/>
    </xf>
    <xf numFmtId="0" fontId="26" fillId="0" borderId="35" xfId="0" applyFont="1" applyBorder="1"/>
    <xf numFmtId="0" fontId="26" fillId="0" borderId="34" xfId="0" applyFont="1" applyBorder="1"/>
    <xf numFmtId="0" fontId="17" fillId="2" borderId="35" xfId="0" applyFont="1" applyFill="1" applyBorder="1" applyAlignment="1">
      <alignment horizontal="center" vertical="center" wrapText="1"/>
    </xf>
    <xf numFmtId="0" fontId="17" fillId="2" borderId="34" xfId="0" applyFont="1" applyFill="1" applyBorder="1" applyAlignment="1">
      <alignment horizontal="center" vertical="center" wrapText="1"/>
    </xf>
    <xf numFmtId="0" fontId="20" fillId="0" borderId="0" xfId="0" applyFont="1" applyFill="1" applyBorder="1" applyAlignment="1" applyProtection="1">
      <alignment horizontal="left"/>
    </xf>
    <xf numFmtId="0" fontId="20" fillId="0" borderId="0" xfId="0" quotePrefix="1" applyFont="1" applyBorder="1" applyAlignment="1" applyProtection="1">
      <alignment horizontal="left" wrapText="1"/>
    </xf>
    <xf numFmtId="0" fontId="20" fillId="0" borderId="0" xfId="0" applyFont="1" applyBorder="1" applyAlignment="1" applyProtection="1">
      <alignment horizontal="left" wrapText="1"/>
    </xf>
    <xf numFmtId="0" fontId="17" fillId="0" borderId="40" xfId="0" applyFont="1" applyFill="1" applyBorder="1" applyAlignment="1" applyProtection="1">
      <alignment horizontal="center" vertical="center"/>
    </xf>
    <xf numFmtId="0" fontId="17" fillId="0" borderId="12" xfId="0" applyFont="1" applyFill="1" applyBorder="1" applyAlignment="1" applyProtection="1">
      <alignment horizontal="center" vertical="center"/>
    </xf>
    <xf numFmtId="0" fontId="17" fillId="0" borderId="4" xfId="0" applyFont="1" applyFill="1" applyBorder="1" applyAlignment="1" applyProtection="1">
      <alignment horizontal="center" vertical="center"/>
    </xf>
    <xf numFmtId="0" fontId="17" fillId="0" borderId="43" xfId="0" applyFont="1" applyFill="1" applyBorder="1" applyAlignment="1" applyProtection="1">
      <alignment horizontal="center" vertical="center"/>
    </xf>
    <xf numFmtId="0" fontId="17" fillId="0" borderId="36" xfId="0" applyFont="1" applyFill="1" applyBorder="1" applyAlignment="1" applyProtection="1">
      <alignment horizontal="center" vertical="center"/>
    </xf>
    <xf numFmtId="0" fontId="17" fillId="0" borderId="12" xfId="0" applyFont="1" applyFill="1" applyBorder="1" applyAlignment="1">
      <alignment horizontal="center" vertical="center"/>
    </xf>
    <xf numFmtId="0" fontId="17" fillId="0" borderId="3" xfId="0" applyFont="1" applyFill="1" applyBorder="1" applyAlignment="1">
      <alignment horizontal="center" vertical="center"/>
    </xf>
    <xf numFmtId="0" fontId="17" fillId="0" borderId="43" xfId="0" applyFont="1" applyFill="1" applyBorder="1" applyAlignment="1">
      <alignment horizontal="center" vertical="center"/>
    </xf>
    <xf numFmtId="0" fontId="17" fillId="0" borderId="42" xfId="0" applyFont="1" applyFill="1" applyBorder="1" applyAlignment="1">
      <alignment horizontal="center" vertical="center"/>
    </xf>
    <xf numFmtId="0" fontId="17" fillId="0" borderId="43" xfId="0" applyFont="1" applyFill="1" applyBorder="1" applyAlignment="1" applyProtection="1">
      <alignment horizontal="center" vertical="top" wrapText="1"/>
    </xf>
    <xf numFmtId="0" fontId="17" fillId="0" borderId="36" xfId="0" applyFont="1" applyFill="1" applyBorder="1" applyAlignment="1" applyProtection="1">
      <alignment horizontal="center" vertical="top" wrapText="1"/>
    </xf>
    <xf numFmtId="0" fontId="17" fillId="0" borderId="11" xfId="0" applyFont="1" applyFill="1" applyBorder="1" applyAlignment="1">
      <alignment horizontal="center" vertical="top" wrapText="1"/>
    </xf>
    <xf numFmtId="0" fontId="17" fillId="0" borderId="5" xfId="0" applyFont="1" applyFill="1" applyBorder="1" applyAlignment="1">
      <alignment horizontal="center" vertical="top" wrapText="1"/>
    </xf>
    <xf numFmtId="0" fontId="17" fillId="0" borderId="36" xfId="0" applyFont="1" applyFill="1" applyBorder="1" applyAlignment="1">
      <alignment horizontal="center" vertical="center"/>
    </xf>
    <xf numFmtId="0" fontId="17" fillId="0" borderId="75" xfId="0" applyFont="1" applyFill="1" applyBorder="1" applyAlignment="1">
      <alignment horizontal="center" vertical="center" wrapText="1"/>
    </xf>
    <xf numFmtId="0" fontId="17" fillId="0" borderId="77"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7" fillId="0" borderId="4" xfId="0" applyFont="1" applyFill="1" applyBorder="1" applyAlignment="1">
      <alignment horizontal="center" vertical="center" wrapText="1"/>
    </xf>
    <xf numFmtId="0" fontId="20" fillId="0" borderId="0" xfId="0" applyFont="1" applyBorder="1" applyAlignment="1">
      <alignment horizontal="left" vertical="top" wrapText="1"/>
    </xf>
    <xf numFmtId="0" fontId="17" fillId="0" borderId="39" xfId="0" applyFont="1" applyFill="1" applyBorder="1" applyAlignment="1">
      <alignment horizontal="center" vertical="top" wrapText="1"/>
    </xf>
    <xf numFmtId="0" fontId="17" fillId="0" borderId="40" xfId="0" applyFont="1" applyFill="1" applyBorder="1" applyAlignment="1">
      <alignment horizontal="center" vertical="top" wrapText="1"/>
    </xf>
    <xf numFmtId="0" fontId="17" fillId="0" borderId="11" xfId="0" applyFont="1" applyFill="1" applyBorder="1" applyAlignment="1">
      <alignment horizontal="center" vertical="center" wrapText="1"/>
    </xf>
    <xf numFmtId="0" fontId="17" fillId="0" borderId="5" xfId="0" applyFont="1" applyFill="1" applyBorder="1" applyAlignment="1">
      <alignment horizontal="center" vertical="center" wrapText="1"/>
    </xf>
    <xf numFmtId="0" fontId="15" fillId="0" borderId="11" xfId="0" applyFont="1" applyFill="1" applyBorder="1" applyAlignment="1">
      <alignment horizontal="center" wrapText="1"/>
    </xf>
    <xf numFmtId="0" fontId="15" fillId="0" borderId="5" xfId="0" applyFont="1" applyFill="1" applyBorder="1" applyAlignment="1">
      <alignment horizontal="center" wrapText="1"/>
    </xf>
    <xf numFmtId="178" fontId="12" fillId="20" borderId="2" xfId="0" applyNumberFormat="1" applyFont="1" applyFill="1" applyBorder="1" applyAlignment="1" applyProtection="1">
      <alignment horizontal="center" vertical="center"/>
      <protection locked="0"/>
    </xf>
    <xf numFmtId="0" fontId="17" fillId="0" borderId="6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43" xfId="0" applyFont="1" applyFill="1" applyBorder="1" applyAlignment="1">
      <alignment horizontal="center" vertical="center" wrapText="1"/>
    </xf>
    <xf numFmtId="0" fontId="17" fillId="0" borderId="36" xfId="0" applyFont="1" applyFill="1" applyBorder="1" applyAlignment="1">
      <alignment horizontal="center" vertical="center" wrapText="1"/>
    </xf>
    <xf numFmtId="0" fontId="17" fillId="0" borderId="45" xfId="0" applyFont="1" applyFill="1" applyBorder="1" applyAlignment="1">
      <alignment horizontal="center" vertical="center"/>
    </xf>
    <xf numFmtId="0" fontId="17" fillId="0" borderId="47" xfId="0" applyFont="1" applyFill="1" applyBorder="1" applyAlignment="1">
      <alignment horizontal="center" vertical="center"/>
    </xf>
    <xf numFmtId="0" fontId="17" fillId="0" borderId="43" xfId="0" applyFont="1" applyFill="1" applyBorder="1" applyAlignment="1">
      <alignment horizontal="center" vertical="top" wrapText="1"/>
    </xf>
    <xf numFmtId="0" fontId="17" fillId="0" borderId="36" xfId="0" applyFont="1" applyFill="1" applyBorder="1" applyAlignment="1">
      <alignment horizontal="center" vertical="top" wrapText="1"/>
    </xf>
    <xf numFmtId="0" fontId="17" fillId="0" borderId="119" xfId="0" applyFont="1" applyFill="1" applyBorder="1" applyAlignment="1">
      <alignment horizontal="center" vertical="center" wrapText="1"/>
    </xf>
    <xf numFmtId="0" fontId="26" fillId="0" borderId="39" xfId="0" applyFont="1" applyFill="1" applyBorder="1" applyAlignment="1">
      <alignment horizontal="center" vertical="center" wrapText="1"/>
    </xf>
    <xf numFmtId="0" fontId="26" fillId="0" borderId="40" xfId="0" applyFont="1" applyFill="1" applyBorder="1" applyAlignment="1">
      <alignment horizontal="center" vertical="center" wrapText="1"/>
    </xf>
    <xf numFmtId="0" fontId="17" fillId="0" borderId="11" xfId="0" applyFont="1" applyFill="1" applyBorder="1" applyAlignment="1">
      <alignment horizontal="center" vertical="center"/>
    </xf>
    <xf numFmtId="0" fontId="17" fillId="0" borderId="1" xfId="0" applyFont="1" applyFill="1" applyBorder="1" applyAlignment="1">
      <alignment horizontal="center" vertical="center"/>
    </xf>
    <xf numFmtId="0" fontId="20" fillId="0" borderId="0" xfId="0" applyNumberFormat="1" applyFont="1" applyBorder="1" applyAlignment="1" applyProtection="1">
      <alignment wrapText="1"/>
    </xf>
    <xf numFmtId="0" fontId="26" fillId="0" borderId="0" xfId="0" applyFont="1" applyAlignment="1" applyProtection="1">
      <alignment wrapText="1"/>
    </xf>
    <xf numFmtId="0" fontId="17" fillId="0" borderId="6" xfId="0" applyFont="1" applyFill="1" applyBorder="1" applyAlignment="1">
      <alignment horizontal="center" vertical="center" wrapText="1"/>
    </xf>
    <xf numFmtId="0" fontId="17" fillId="0" borderId="7" xfId="0" applyFont="1" applyFill="1" applyBorder="1" applyAlignment="1">
      <alignment horizontal="center" vertical="center" wrapText="1"/>
    </xf>
    <xf numFmtId="0" fontId="17" fillId="0" borderId="45" xfId="0" applyFont="1" applyFill="1" applyBorder="1" applyAlignment="1">
      <alignment horizontal="center" vertical="center" wrapText="1"/>
    </xf>
    <xf numFmtId="0" fontId="17" fillId="0" borderId="64" xfId="0" applyFont="1" applyFill="1" applyBorder="1" applyAlignment="1">
      <alignment horizontal="center" vertical="center" wrapText="1"/>
    </xf>
    <xf numFmtId="49" fontId="17" fillId="0" borderId="12"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03"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93" xfId="0" applyFont="1" applyFill="1" applyBorder="1" applyAlignment="1">
      <alignment horizontal="center" vertical="center" wrapText="1"/>
    </xf>
    <xf numFmtId="0" fontId="17" fillId="0" borderId="42"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76" xfId="0" applyFont="1" applyFill="1" applyBorder="1" applyAlignment="1">
      <alignment horizontal="center" vertical="center" wrapText="1"/>
    </xf>
    <xf numFmtId="0" fontId="8" fillId="2" borderId="17" xfId="0" applyFont="1" applyFill="1" applyBorder="1" applyAlignment="1">
      <alignment horizontal="center"/>
    </xf>
    <xf numFmtId="0" fontId="8" fillId="2" borderId="35" xfId="0" applyFont="1" applyFill="1" applyBorder="1" applyAlignment="1">
      <alignment horizontal="center"/>
    </xf>
    <xf numFmtId="0" fontId="8" fillId="2" borderId="34" xfId="0" applyFont="1" applyFill="1" applyBorder="1" applyAlignment="1">
      <alignment horizontal="center"/>
    </xf>
    <xf numFmtId="0" fontId="8" fillId="2" borderId="11"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5"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35" xfId="0" applyFont="1" applyFill="1" applyBorder="1" applyAlignment="1">
      <alignment horizontal="center" vertical="center"/>
    </xf>
    <xf numFmtId="0" fontId="8" fillId="2" borderId="127" xfId="0" applyFont="1" applyFill="1" applyBorder="1" applyAlignment="1">
      <alignment horizontal="center" vertical="center" wrapText="1"/>
    </xf>
    <xf numFmtId="0" fontId="8" fillId="2" borderId="128" xfId="0" applyFont="1" applyFill="1" applyBorder="1" applyAlignment="1">
      <alignment horizontal="center" vertical="center" wrapText="1"/>
    </xf>
    <xf numFmtId="0" fontId="8" fillId="2" borderId="129" xfId="0" applyFont="1" applyFill="1" applyBorder="1" applyAlignment="1">
      <alignment horizontal="center" vertical="center" wrapText="1"/>
    </xf>
    <xf numFmtId="0" fontId="8" fillId="5" borderId="17" xfId="0" applyFont="1" applyFill="1" applyBorder="1" applyAlignment="1">
      <alignment horizontal="center" vertical="top" wrapText="1"/>
    </xf>
    <xf numFmtId="0" fontId="8" fillId="5" borderId="34" xfId="0" applyFont="1" applyFill="1" applyBorder="1" applyAlignment="1">
      <alignment horizontal="center" vertical="top" wrapText="1"/>
    </xf>
    <xf numFmtId="0" fontId="8" fillId="14" borderId="17" xfId="0" applyFont="1" applyFill="1" applyBorder="1" applyAlignment="1">
      <alignment horizontal="center"/>
    </xf>
    <xf numFmtId="0" fontId="8" fillId="14" borderId="35" xfId="0" applyFont="1" applyFill="1" applyBorder="1" applyAlignment="1">
      <alignment horizontal="center"/>
    </xf>
    <xf numFmtId="0" fontId="8" fillId="14" borderId="34" xfId="0" applyFont="1" applyFill="1" applyBorder="1" applyAlignment="1">
      <alignment horizontal="center"/>
    </xf>
    <xf numFmtId="0" fontId="8" fillId="5" borderId="17" xfId="0" applyFont="1" applyFill="1" applyBorder="1" applyAlignment="1">
      <alignment horizontal="center"/>
    </xf>
    <xf numFmtId="0" fontId="8" fillId="5" borderId="35" xfId="0" applyFont="1" applyFill="1" applyBorder="1" applyAlignment="1">
      <alignment horizontal="center"/>
    </xf>
    <xf numFmtId="0" fontId="8" fillId="5" borderId="34" xfId="0" applyFont="1" applyFill="1" applyBorder="1" applyAlignment="1">
      <alignment horizontal="center"/>
    </xf>
  </cellXfs>
  <cellStyles count="7362">
    <cellStyle name="20% - Accent1 10" xfId="630"/>
    <cellStyle name="20% - Accent1 11" xfId="631"/>
    <cellStyle name="20% - Accent1 12" xfId="632"/>
    <cellStyle name="20% - Accent1 13" xfId="633"/>
    <cellStyle name="20% - Accent1 14" xfId="1335"/>
    <cellStyle name="20% - Accent1 15" xfId="1336"/>
    <cellStyle name="20% - Accent1 16" xfId="1337"/>
    <cellStyle name="20% - Accent1 17" xfId="5599"/>
    <cellStyle name="20% - Accent1 2" xfId="25"/>
    <cellStyle name="20% - Accent1 2 10" xfId="1338"/>
    <cellStyle name="20% - Accent1 2 11" xfId="1339"/>
    <cellStyle name="20% - Accent1 2 12" xfId="1340"/>
    <cellStyle name="20% - Accent1 2 13" xfId="1341"/>
    <cellStyle name="20% - Accent1 2 14" xfId="1342"/>
    <cellStyle name="20% - Accent1 2 15" xfId="1343"/>
    <cellStyle name="20% - Accent1 2 2" xfId="634"/>
    <cellStyle name="20% - Accent1 2 2 10" xfId="1344"/>
    <cellStyle name="20% - Accent1 2 2 2" xfId="1345"/>
    <cellStyle name="20% - Accent1 2 2 3" xfId="1346"/>
    <cellStyle name="20% - Accent1 2 2 4" xfId="1347"/>
    <cellStyle name="20% - Accent1 2 2 5" xfId="1348"/>
    <cellStyle name="20% - Accent1 2 2 6" xfId="1349"/>
    <cellStyle name="20% - Accent1 2 2 7" xfId="1350"/>
    <cellStyle name="20% - Accent1 2 2 8" xfId="1351"/>
    <cellStyle name="20% - Accent1 2 2 9" xfId="1352"/>
    <cellStyle name="20% - Accent1 2 2_Sheet1" xfId="1353"/>
    <cellStyle name="20% - Accent1 2 3" xfId="635"/>
    <cellStyle name="20% - Accent1 2 3 10" xfId="1354"/>
    <cellStyle name="20% - Accent1 2 3 2" xfId="1355"/>
    <cellStyle name="20% - Accent1 2 3 3" xfId="1356"/>
    <cellStyle name="20% - Accent1 2 3 4" xfId="1357"/>
    <cellStyle name="20% - Accent1 2 3 5" xfId="1358"/>
    <cellStyle name="20% - Accent1 2 3 6" xfId="1359"/>
    <cellStyle name="20% - Accent1 2 3 7" xfId="1360"/>
    <cellStyle name="20% - Accent1 2 3 8" xfId="1361"/>
    <cellStyle name="20% - Accent1 2 3 9" xfId="1362"/>
    <cellStyle name="20% - Accent1 2 3_Sheet1" xfId="1363"/>
    <cellStyle name="20% - Accent1 2 4" xfId="636"/>
    <cellStyle name="20% - Accent1 2 4 2" xfId="1364"/>
    <cellStyle name="20% - Accent1 2 4 3" xfId="1365"/>
    <cellStyle name="20% - Accent1 2 4 4" xfId="1366"/>
    <cellStyle name="20% - Accent1 2 4 5" xfId="1367"/>
    <cellStyle name="20% - Accent1 2 4 6" xfId="1368"/>
    <cellStyle name="20% - Accent1 2 4 7" xfId="1369"/>
    <cellStyle name="20% - Accent1 2 4 8" xfId="1370"/>
    <cellStyle name="20% - Accent1 2 4 9" xfId="1371"/>
    <cellStyle name="20% - Accent1 2 4_Sheet1" xfId="1372"/>
    <cellStyle name="20% - Accent1 2 5" xfId="637"/>
    <cellStyle name="20% - Accent1 2 6" xfId="638"/>
    <cellStyle name="20% - Accent1 2 7" xfId="639"/>
    <cellStyle name="20% - Accent1 2 8" xfId="1373"/>
    <cellStyle name="20% - Accent1 2 9" xfId="1374"/>
    <cellStyle name="20% - Accent1 2_Sheet1" xfId="1375"/>
    <cellStyle name="20% - Accent1 3" xfId="26"/>
    <cellStyle name="20% - Accent1 3 10" xfId="1376"/>
    <cellStyle name="20% - Accent1 3 11" xfId="1377"/>
    <cellStyle name="20% - Accent1 3 12" xfId="1378"/>
    <cellStyle name="20% - Accent1 3 13" xfId="1379"/>
    <cellStyle name="20% - Accent1 3 14" xfId="5600"/>
    <cellStyle name="20% - Accent1 3 14 2" xfId="6483"/>
    <cellStyle name="20% - Accent1 3 14 3" xfId="6891"/>
    <cellStyle name="20% - Accent1 3 14 4" xfId="6124"/>
    <cellStyle name="20% - Accent1 3 15" xfId="6046"/>
    <cellStyle name="20% - Accent1 3 16" xfId="7207"/>
    <cellStyle name="20% - Accent1 3 17" xfId="7307"/>
    <cellStyle name="20% - Accent1 3 2" xfId="1380"/>
    <cellStyle name="20% - Accent1 3 2 2" xfId="1381"/>
    <cellStyle name="20% - Accent1 3 2 3" xfId="5601"/>
    <cellStyle name="20% - Accent1 3 2 4" xfId="6244"/>
    <cellStyle name="20% - Accent1 3 2 5" xfId="7101"/>
    <cellStyle name="20% - Accent1 3 2 6" xfId="6638"/>
    <cellStyle name="20% - Accent1 3 2_Sheet1" xfId="1382"/>
    <cellStyle name="20% - Accent1 3 3" xfId="1383"/>
    <cellStyle name="20% - Accent1 3 3 2" xfId="1384"/>
    <cellStyle name="20% - Accent1 3 3_Sheet1" xfId="1385"/>
    <cellStyle name="20% - Accent1 3 4" xfId="1386"/>
    <cellStyle name="20% - Accent1 3 5" xfId="1387"/>
    <cellStyle name="20% - Accent1 3 6" xfId="1388"/>
    <cellStyle name="20% - Accent1 3 7" xfId="1389"/>
    <cellStyle name="20% - Accent1 3 8" xfId="1390"/>
    <cellStyle name="20% - Accent1 3 9" xfId="1391"/>
    <cellStyle name="20% - Accent1 3_A7-CFlow" xfId="640"/>
    <cellStyle name="20% - Accent1 4" xfId="27"/>
    <cellStyle name="20% - Accent1 4 10" xfId="6227"/>
    <cellStyle name="20% - Accent1 4 11" xfId="7116"/>
    <cellStyle name="20% - Accent1 4 2" xfId="1392"/>
    <cellStyle name="20% - Accent1 4 2 2" xfId="5602"/>
    <cellStyle name="20% - Accent1 4 2 3" xfId="5603"/>
    <cellStyle name="20% - Accent1 4 2 4" xfId="6245"/>
    <cellStyle name="20% - Accent1 4 2 5" xfId="7225"/>
    <cellStyle name="20% - Accent1 4 2 6" xfId="7324"/>
    <cellStyle name="20% - Accent1 4 3" xfId="1393"/>
    <cellStyle name="20% - Accent1 4 4" xfId="1394"/>
    <cellStyle name="20% - Accent1 4 5" xfId="1395"/>
    <cellStyle name="20% - Accent1 4 6" xfId="1396"/>
    <cellStyle name="20% - Accent1 4 7" xfId="1397"/>
    <cellStyle name="20% - Accent1 4 8" xfId="5604"/>
    <cellStyle name="20% - Accent1 4 8 2" xfId="6482"/>
    <cellStyle name="20% - Accent1 4 8 3" xfId="6892"/>
    <cellStyle name="20% - Accent1 4 8 4" xfId="6778"/>
    <cellStyle name="20% - Accent1 4 9" xfId="6047"/>
    <cellStyle name="20% - Accent1 4_A7-CFlow" xfId="641"/>
    <cellStyle name="20% - Accent1 5" xfId="28"/>
    <cellStyle name="20% - Accent1 5 10" xfId="7117"/>
    <cellStyle name="20% - Accent1 5 2" xfId="1398"/>
    <cellStyle name="20% - Accent1 5 2 2" xfId="5605"/>
    <cellStyle name="20% - Accent1 5 2 3" xfId="5606"/>
    <cellStyle name="20% - Accent1 5 2 4" xfId="6246"/>
    <cellStyle name="20% - Accent1 5 2 5" xfId="7100"/>
    <cellStyle name="20% - Accent1 5 2 6" xfId="6639"/>
    <cellStyle name="20% - Accent1 5 3" xfId="1399"/>
    <cellStyle name="20% - Accent1 5 4" xfId="1400"/>
    <cellStyle name="20% - Accent1 5 5" xfId="1401"/>
    <cellStyle name="20% - Accent1 5 6" xfId="1402"/>
    <cellStyle name="20% - Accent1 5 7" xfId="5607"/>
    <cellStyle name="20% - Accent1 5 7 2" xfId="6479"/>
    <cellStyle name="20% - Accent1 5 7 3" xfId="6894"/>
    <cellStyle name="20% - Accent1 5 7 4" xfId="6777"/>
    <cellStyle name="20% - Accent1 5 8" xfId="6048"/>
    <cellStyle name="20% - Accent1 5 9" xfId="6226"/>
    <cellStyle name="20% - Accent1 5_A7-CFlow" xfId="642"/>
    <cellStyle name="20% - Accent1 6" xfId="29"/>
    <cellStyle name="20% - Accent1 6 10" xfId="7337"/>
    <cellStyle name="20% - Accent1 6 2" xfId="1403"/>
    <cellStyle name="20% - Accent1 6 2 2" xfId="5608"/>
    <cellStyle name="20% - Accent1 6 2 3" xfId="5609"/>
    <cellStyle name="20% - Accent1 6 2 4" xfId="6247"/>
    <cellStyle name="20% - Accent1 6 2 5" xfId="7099"/>
    <cellStyle name="20% - Accent1 6 2 6" xfId="6640"/>
    <cellStyle name="20% - Accent1 6 3" xfId="1404"/>
    <cellStyle name="20% - Accent1 6 4" xfId="1405"/>
    <cellStyle name="20% - Accent1 6 5" xfId="1406"/>
    <cellStyle name="20% - Accent1 6 6" xfId="1407"/>
    <cellStyle name="20% - Accent1 6 7" xfId="5610"/>
    <cellStyle name="20% - Accent1 6 7 2" xfId="6476"/>
    <cellStyle name="20% - Accent1 6 7 3" xfId="6897"/>
    <cellStyle name="20% - Accent1 6 7 4" xfId="6123"/>
    <cellStyle name="20% - Accent1 6 8" xfId="6049"/>
    <cellStyle name="20% - Accent1 6 9" xfId="7239"/>
    <cellStyle name="20% - Accent1 6_A7-CFlow" xfId="643"/>
    <cellStyle name="20% - Accent1 7" xfId="30"/>
    <cellStyle name="20% - Accent1 7 10" xfId="1408"/>
    <cellStyle name="20% - Accent1 7 11" xfId="5611"/>
    <cellStyle name="20% - Accent1 7 11 2" xfId="6471"/>
    <cellStyle name="20% - Accent1 7 11 3" xfId="6370"/>
    <cellStyle name="20% - Accent1 7 11 4" xfId="6995"/>
    <cellStyle name="20% - Accent1 7 12" xfId="6050"/>
    <cellStyle name="20% - Accent1 7 13" xfId="7206"/>
    <cellStyle name="20% - Accent1 7 14" xfId="7306"/>
    <cellStyle name="20% - Accent1 7 2" xfId="1409"/>
    <cellStyle name="20% - Accent1 7 2 2" xfId="5612"/>
    <cellStyle name="20% - Accent1 7 2 3" xfId="5613"/>
    <cellStyle name="20% - Accent1 7 2 4" xfId="6248"/>
    <cellStyle name="20% - Accent1 7 2 5" xfId="7098"/>
    <cellStyle name="20% - Accent1 7 2 6" xfId="6641"/>
    <cellStyle name="20% - Accent1 7 3" xfId="1410"/>
    <cellStyle name="20% - Accent1 7 4" xfId="1411"/>
    <cellStyle name="20% - Accent1 7 5" xfId="1412"/>
    <cellStyle name="20% - Accent1 7 6" xfId="1413"/>
    <cellStyle name="20% - Accent1 7 7" xfId="1414"/>
    <cellStyle name="20% - Accent1 7 8" xfId="1415"/>
    <cellStyle name="20% - Accent1 7 9" xfId="1416"/>
    <cellStyle name="20% - Accent1 7_A7-CFlow" xfId="644"/>
    <cellStyle name="20% - Accent1 8" xfId="31"/>
    <cellStyle name="20% - Accent1 8 10" xfId="7305"/>
    <cellStyle name="20% - Accent1 8 2" xfId="1417"/>
    <cellStyle name="20% - Accent1 8 2 2" xfId="5614"/>
    <cellStyle name="20% - Accent1 8 2 3" xfId="5615"/>
    <cellStyle name="20% - Accent1 8 2 4" xfId="6249"/>
    <cellStyle name="20% - Accent1 8 2 5" xfId="7097"/>
    <cellStyle name="20% - Accent1 8 2 6" xfId="6642"/>
    <cellStyle name="20% - Accent1 8 3" xfId="1418"/>
    <cellStyle name="20% - Accent1 8 4" xfId="1419"/>
    <cellStyle name="20% - Accent1 8 5" xfId="1420"/>
    <cellStyle name="20% - Accent1 8 6" xfId="1421"/>
    <cellStyle name="20% - Accent1 8 7" xfId="5616"/>
    <cellStyle name="20% - Accent1 8 7 2" xfId="6470"/>
    <cellStyle name="20% - Accent1 8 7 3" xfId="6901"/>
    <cellStyle name="20% - Accent1 8 7 4" xfId="6122"/>
    <cellStyle name="20% - Accent1 8 8" xfId="6051"/>
    <cellStyle name="20% - Accent1 8 9" xfId="7205"/>
    <cellStyle name="20% - Accent1 8_A7-CFlow" xfId="645"/>
    <cellStyle name="20% - Accent1 9" xfId="646"/>
    <cellStyle name="20% - Accent2 10" xfId="647"/>
    <cellStyle name="20% - Accent2 11" xfId="648"/>
    <cellStyle name="20% - Accent2 12" xfId="649"/>
    <cellStyle name="20% - Accent2 13" xfId="650"/>
    <cellStyle name="20% - Accent2 14" xfId="1422"/>
    <cellStyle name="20% - Accent2 15" xfId="1423"/>
    <cellStyle name="20% - Accent2 16" xfId="1424"/>
    <cellStyle name="20% - Accent2 17" xfId="5617"/>
    <cellStyle name="20% - Accent2 2" xfId="32"/>
    <cellStyle name="20% - Accent2 2 10" xfId="1425"/>
    <cellStyle name="20% - Accent2 2 11" xfId="1426"/>
    <cellStyle name="20% - Accent2 2 12" xfId="1427"/>
    <cellStyle name="20% - Accent2 2 13" xfId="1428"/>
    <cellStyle name="20% - Accent2 2 14" xfId="1429"/>
    <cellStyle name="20% - Accent2 2 15" xfId="1430"/>
    <cellStyle name="20% - Accent2 2 2" xfId="651"/>
    <cellStyle name="20% - Accent2 2 2 10" xfId="1431"/>
    <cellStyle name="20% - Accent2 2 2 2" xfId="1432"/>
    <cellStyle name="20% - Accent2 2 2 3" xfId="1433"/>
    <cellStyle name="20% - Accent2 2 2 4" xfId="1434"/>
    <cellStyle name="20% - Accent2 2 2 5" xfId="1435"/>
    <cellStyle name="20% - Accent2 2 2 6" xfId="1436"/>
    <cellStyle name="20% - Accent2 2 2 7" xfId="1437"/>
    <cellStyle name="20% - Accent2 2 2 8" xfId="1438"/>
    <cellStyle name="20% - Accent2 2 2 9" xfId="1439"/>
    <cellStyle name="20% - Accent2 2 2_Sheet1" xfId="1440"/>
    <cellStyle name="20% - Accent2 2 3" xfId="652"/>
    <cellStyle name="20% - Accent2 2 3 10" xfId="1441"/>
    <cellStyle name="20% - Accent2 2 3 2" xfId="1442"/>
    <cellStyle name="20% - Accent2 2 3 3" xfId="1443"/>
    <cellStyle name="20% - Accent2 2 3 4" xfId="1444"/>
    <cellStyle name="20% - Accent2 2 3 5" xfId="1445"/>
    <cellStyle name="20% - Accent2 2 3 6" xfId="1446"/>
    <cellStyle name="20% - Accent2 2 3 7" xfId="1447"/>
    <cellStyle name="20% - Accent2 2 3 8" xfId="1448"/>
    <cellStyle name="20% - Accent2 2 3 9" xfId="1449"/>
    <cellStyle name="20% - Accent2 2 3_Sheet1" xfId="1450"/>
    <cellStyle name="20% - Accent2 2 4" xfId="653"/>
    <cellStyle name="20% - Accent2 2 4 2" xfId="1451"/>
    <cellStyle name="20% - Accent2 2 4 3" xfId="1452"/>
    <cellStyle name="20% - Accent2 2 4 4" xfId="1453"/>
    <cellStyle name="20% - Accent2 2 4 5" xfId="1454"/>
    <cellStyle name="20% - Accent2 2 4 6" xfId="1455"/>
    <cellStyle name="20% - Accent2 2 4 7" xfId="1456"/>
    <cellStyle name="20% - Accent2 2 4 8" xfId="1457"/>
    <cellStyle name="20% - Accent2 2 4 9" xfId="1458"/>
    <cellStyle name="20% - Accent2 2 4_Sheet1" xfId="1459"/>
    <cellStyle name="20% - Accent2 2 5" xfId="654"/>
    <cellStyle name="20% - Accent2 2 6" xfId="655"/>
    <cellStyle name="20% - Accent2 2 7" xfId="656"/>
    <cellStyle name="20% - Accent2 2 8" xfId="1460"/>
    <cellStyle name="20% - Accent2 2 9" xfId="1461"/>
    <cellStyle name="20% - Accent2 2_Sheet1" xfId="1462"/>
    <cellStyle name="20% - Accent2 3" xfId="33"/>
    <cellStyle name="20% - Accent2 3 10" xfId="1463"/>
    <cellStyle name="20% - Accent2 3 11" xfId="1464"/>
    <cellStyle name="20% - Accent2 3 12" xfId="1465"/>
    <cellStyle name="20% - Accent2 3 13" xfId="1466"/>
    <cellStyle name="20% - Accent2 3 14" xfId="5618"/>
    <cellStyle name="20% - Accent2 3 14 2" xfId="6590"/>
    <cellStyle name="20% - Accent2 3 14 3" xfId="6825"/>
    <cellStyle name="20% - Accent2 3 14 4" xfId="6816"/>
    <cellStyle name="20% - Accent2 3 15" xfId="6052"/>
    <cellStyle name="20% - Accent2 3 16" xfId="6225"/>
    <cellStyle name="20% - Accent2 3 17" xfId="7118"/>
    <cellStyle name="20% - Accent2 3 2" xfId="1467"/>
    <cellStyle name="20% - Accent2 3 2 2" xfId="1468"/>
    <cellStyle name="20% - Accent2 3 2 3" xfId="5619"/>
    <cellStyle name="20% - Accent2 3 2 4" xfId="6250"/>
    <cellStyle name="20% - Accent2 3 2 5" xfId="7096"/>
    <cellStyle name="20% - Accent2 3 2 6" xfId="6643"/>
    <cellStyle name="20% - Accent2 3 2_Sheet1" xfId="1469"/>
    <cellStyle name="20% - Accent2 3 3" xfId="1470"/>
    <cellStyle name="20% - Accent2 3 3 2" xfId="1471"/>
    <cellStyle name="20% - Accent2 3 3_Sheet1" xfId="1472"/>
    <cellStyle name="20% - Accent2 3 4" xfId="1473"/>
    <cellStyle name="20% - Accent2 3 5" xfId="1474"/>
    <cellStyle name="20% - Accent2 3 6" xfId="1475"/>
    <cellStyle name="20% - Accent2 3 7" xfId="1476"/>
    <cellStyle name="20% - Accent2 3 8" xfId="1477"/>
    <cellStyle name="20% - Accent2 3 9" xfId="1478"/>
    <cellStyle name="20% - Accent2 3_A7-CFlow" xfId="657"/>
    <cellStyle name="20% - Accent2 4" xfId="34"/>
    <cellStyle name="20% - Accent2 4 10" xfId="6224"/>
    <cellStyle name="20% - Accent2 4 11" xfId="7119"/>
    <cellStyle name="20% - Accent2 4 2" xfId="1479"/>
    <cellStyle name="20% - Accent2 4 2 2" xfId="5620"/>
    <cellStyle name="20% - Accent2 4 2 3" xfId="5621"/>
    <cellStyle name="20% - Accent2 4 2 4" xfId="6251"/>
    <cellStyle name="20% - Accent2 4 2 5" xfId="7095"/>
    <cellStyle name="20% - Accent2 4 2 6" xfId="6644"/>
    <cellStyle name="20% - Accent2 4 3" xfId="1480"/>
    <cellStyle name="20% - Accent2 4 4" xfId="1481"/>
    <cellStyle name="20% - Accent2 4 5" xfId="1482"/>
    <cellStyle name="20% - Accent2 4 6" xfId="1483"/>
    <cellStyle name="20% - Accent2 4 7" xfId="1484"/>
    <cellStyle name="20% - Accent2 4 8" xfId="5622"/>
    <cellStyle name="20% - Accent2 4 8 2" xfId="6589"/>
    <cellStyle name="20% - Accent2 4 8 3" xfId="7208"/>
    <cellStyle name="20% - Accent2 4 8 4" xfId="7308"/>
    <cellStyle name="20% - Accent2 4 9" xfId="6053"/>
    <cellStyle name="20% - Accent2 4_A7-CFlow" xfId="658"/>
    <cellStyle name="20% - Accent2 5" xfId="35"/>
    <cellStyle name="20% - Accent2 5 10" xfId="7120"/>
    <cellStyle name="20% - Accent2 5 2" xfId="1485"/>
    <cellStyle name="20% - Accent2 5 2 2" xfId="5623"/>
    <cellStyle name="20% - Accent2 5 2 3" xfId="5624"/>
    <cellStyle name="20% - Accent2 5 2 4" xfId="6252"/>
    <cellStyle name="20% - Accent2 5 2 5" xfId="7094"/>
    <cellStyle name="20% - Accent2 5 2 6" xfId="6495"/>
    <cellStyle name="20% - Accent2 5 3" xfId="1486"/>
    <cellStyle name="20% - Accent2 5 4" xfId="1487"/>
    <cellStyle name="20% - Accent2 5 5" xfId="1488"/>
    <cellStyle name="20% - Accent2 5 6" xfId="1489"/>
    <cellStyle name="20% - Accent2 5 7" xfId="5625"/>
    <cellStyle name="20% - Accent2 5 7 2" xfId="6588"/>
    <cellStyle name="20% - Accent2 5 7 3" xfId="6826"/>
    <cellStyle name="20% - Accent2 5 7 4" xfId="6815"/>
    <cellStyle name="20% - Accent2 5 8" xfId="6054"/>
    <cellStyle name="20% - Accent2 5 9" xfId="6223"/>
    <cellStyle name="20% - Accent2 5_A7-CFlow" xfId="659"/>
    <cellStyle name="20% - Accent2 6" xfId="36"/>
    <cellStyle name="20% - Accent2 6 10" xfId="7304"/>
    <cellStyle name="20% - Accent2 6 2" xfId="1490"/>
    <cellStyle name="20% - Accent2 6 2 2" xfId="5626"/>
    <cellStyle name="20% - Accent2 6 2 3" xfId="5627"/>
    <cellStyle name="20% - Accent2 6 2 4" xfId="6253"/>
    <cellStyle name="20% - Accent2 6 2 5" xfId="7093"/>
    <cellStyle name="20% - Accent2 6 2 6" xfId="6645"/>
    <cellStyle name="20% - Accent2 6 3" xfId="1491"/>
    <cellStyle name="20% - Accent2 6 4" xfId="1492"/>
    <cellStyle name="20% - Accent2 6 5" xfId="1493"/>
    <cellStyle name="20% - Accent2 6 6" xfId="1494"/>
    <cellStyle name="20% - Accent2 6 7" xfId="5628"/>
    <cellStyle name="20% - Accent2 6 7 2" xfId="6587"/>
    <cellStyle name="20% - Accent2 6 7 3" xfId="7210"/>
    <cellStyle name="20% - Accent2 6 7 4" xfId="7310"/>
    <cellStyle name="20% - Accent2 6 8" xfId="6055"/>
    <cellStyle name="20% - Accent2 6 9" xfId="7204"/>
    <cellStyle name="20% - Accent2 6_A7-CFlow" xfId="660"/>
    <cellStyle name="20% - Accent2 7" xfId="37"/>
    <cellStyle name="20% - Accent2 7 10" xfId="1495"/>
    <cellStyle name="20% - Accent2 7 11" xfId="5629"/>
    <cellStyle name="20% - Accent2 7 11 2" xfId="6586"/>
    <cellStyle name="20% - Accent2 7 11 3" xfId="6827"/>
    <cellStyle name="20% - Accent2 7 11 4" xfId="6814"/>
    <cellStyle name="20% - Accent2 7 12" xfId="6056"/>
    <cellStyle name="20% - Accent2 7 13" xfId="7203"/>
    <cellStyle name="20% - Accent2 7 14" xfId="7303"/>
    <cellStyle name="20% - Accent2 7 2" xfId="1496"/>
    <cellStyle name="20% - Accent2 7 2 2" xfId="5630"/>
    <cellStyle name="20% - Accent2 7 2 3" xfId="5631"/>
    <cellStyle name="20% - Accent2 7 2 4" xfId="6254"/>
    <cellStyle name="20% - Accent2 7 2 5" xfId="7224"/>
    <cellStyle name="20% - Accent2 7 2 6" xfId="7323"/>
    <cellStyle name="20% - Accent2 7 3" xfId="1497"/>
    <cellStyle name="20% - Accent2 7 4" xfId="1498"/>
    <cellStyle name="20% - Accent2 7 5" xfId="1499"/>
    <cellStyle name="20% - Accent2 7 6" xfId="1500"/>
    <cellStyle name="20% - Accent2 7 7" xfId="1501"/>
    <cellStyle name="20% - Accent2 7 8" xfId="1502"/>
    <cellStyle name="20% - Accent2 7 9" xfId="1503"/>
    <cellStyle name="20% - Accent2 7_A7-CFlow" xfId="661"/>
    <cellStyle name="20% - Accent2 8" xfId="38"/>
    <cellStyle name="20% - Accent2 8 10" xfId="7302"/>
    <cellStyle name="20% - Accent2 8 2" xfId="1504"/>
    <cellStyle name="20% - Accent2 8 2 2" xfId="5632"/>
    <cellStyle name="20% - Accent2 8 2 3" xfId="5633"/>
    <cellStyle name="20% - Accent2 8 2 4" xfId="6255"/>
    <cellStyle name="20% - Accent2 8 2 5" xfId="7092"/>
    <cellStyle name="20% - Accent2 8 2 6" xfId="7248"/>
    <cellStyle name="20% - Accent2 8 3" xfId="1505"/>
    <cellStyle name="20% - Accent2 8 4" xfId="1506"/>
    <cellStyle name="20% - Accent2 8 5" xfId="1507"/>
    <cellStyle name="20% - Accent2 8 6" xfId="1508"/>
    <cellStyle name="20% - Accent2 8 7" xfId="5634"/>
    <cellStyle name="20% - Accent2 8 7 2" xfId="6585"/>
    <cellStyle name="20% - Accent2 8 7 3" xfId="6828"/>
    <cellStyle name="20% - Accent2 8 7 4" xfId="6813"/>
    <cellStyle name="20% - Accent2 8 8" xfId="6057"/>
    <cellStyle name="20% - Accent2 8 9" xfId="7202"/>
    <cellStyle name="20% - Accent2 8_A7-CFlow" xfId="662"/>
    <cellStyle name="20% - Accent2 9" xfId="663"/>
    <cellStyle name="20% - Accent3 10" xfId="664"/>
    <cellStyle name="20% - Accent3 11" xfId="665"/>
    <cellStyle name="20% - Accent3 12" xfId="666"/>
    <cellStyle name="20% - Accent3 13" xfId="667"/>
    <cellStyle name="20% - Accent3 14" xfId="1509"/>
    <cellStyle name="20% - Accent3 15" xfId="1510"/>
    <cellStyle name="20% - Accent3 16" xfId="1511"/>
    <cellStyle name="20% - Accent3 17" xfId="5635"/>
    <cellStyle name="20% - Accent3 2" xfId="39"/>
    <cellStyle name="20% - Accent3 2 10" xfId="1512"/>
    <cellStyle name="20% - Accent3 2 11" xfId="1513"/>
    <cellStyle name="20% - Accent3 2 12" xfId="1514"/>
    <cellStyle name="20% - Accent3 2 13" xfId="1515"/>
    <cellStyle name="20% - Accent3 2 14" xfId="1516"/>
    <cellStyle name="20% - Accent3 2 15" xfId="1517"/>
    <cellStyle name="20% - Accent3 2 2" xfId="668"/>
    <cellStyle name="20% - Accent3 2 2 10" xfId="1518"/>
    <cellStyle name="20% - Accent3 2 2 2" xfId="1519"/>
    <cellStyle name="20% - Accent3 2 2 3" xfId="1520"/>
    <cellStyle name="20% - Accent3 2 2 4" xfId="1521"/>
    <cellStyle name="20% - Accent3 2 2 5" xfId="1522"/>
    <cellStyle name="20% - Accent3 2 2 6" xfId="1523"/>
    <cellStyle name="20% - Accent3 2 2 7" xfId="1524"/>
    <cellStyle name="20% - Accent3 2 2 8" xfId="1525"/>
    <cellStyle name="20% - Accent3 2 2 9" xfId="1526"/>
    <cellStyle name="20% - Accent3 2 2_Sheet1" xfId="1527"/>
    <cellStyle name="20% - Accent3 2 3" xfId="669"/>
    <cellStyle name="20% - Accent3 2 3 10" xfId="1528"/>
    <cellStyle name="20% - Accent3 2 3 2" xfId="1529"/>
    <cellStyle name="20% - Accent3 2 3 3" xfId="1530"/>
    <cellStyle name="20% - Accent3 2 3 4" xfId="1531"/>
    <cellStyle name="20% - Accent3 2 3 5" xfId="1532"/>
    <cellStyle name="20% - Accent3 2 3 6" xfId="1533"/>
    <cellStyle name="20% - Accent3 2 3 7" xfId="1534"/>
    <cellStyle name="20% - Accent3 2 3 8" xfId="1535"/>
    <cellStyle name="20% - Accent3 2 3 9" xfId="1536"/>
    <cellStyle name="20% - Accent3 2 3_Sheet1" xfId="1537"/>
    <cellStyle name="20% - Accent3 2 4" xfId="670"/>
    <cellStyle name="20% - Accent3 2 4 2" xfId="1538"/>
    <cellStyle name="20% - Accent3 2 4 3" xfId="1539"/>
    <cellStyle name="20% - Accent3 2 4 4" xfId="1540"/>
    <cellStyle name="20% - Accent3 2 4 5" xfId="1541"/>
    <cellStyle name="20% - Accent3 2 4 6" xfId="1542"/>
    <cellStyle name="20% - Accent3 2 4 7" xfId="1543"/>
    <cellStyle name="20% - Accent3 2 4 8" xfId="1544"/>
    <cellStyle name="20% - Accent3 2 4 9" xfId="1545"/>
    <cellStyle name="20% - Accent3 2 4_Sheet1" xfId="1546"/>
    <cellStyle name="20% - Accent3 2 5" xfId="671"/>
    <cellStyle name="20% - Accent3 2 6" xfId="672"/>
    <cellStyle name="20% - Accent3 2 7" xfId="673"/>
    <cellStyle name="20% - Accent3 2 8" xfId="1547"/>
    <cellStyle name="20% - Accent3 2 9" xfId="1548"/>
    <cellStyle name="20% - Accent3 2_Sheet1" xfId="1549"/>
    <cellStyle name="20% - Accent3 3" xfId="40"/>
    <cellStyle name="20% - Accent3 3 10" xfId="1550"/>
    <cellStyle name="20% - Accent3 3 11" xfId="1551"/>
    <cellStyle name="20% - Accent3 3 12" xfId="1552"/>
    <cellStyle name="20% - Accent3 3 13" xfId="1553"/>
    <cellStyle name="20% - Accent3 3 14" xfId="5636"/>
    <cellStyle name="20% - Accent3 3 14 2" xfId="6584"/>
    <cellStyle name="20% - Accent3 3 14 3" xfId="6829"/>
    <cellStyle name="20% - Accent3 3 14 4" xfId="7261"/>
    <cellStyle name="20% - Accent3 3 15" xfId="6058"/>
    <cellStyle name="20% - Accent3 3 16" xfId="7201"/>
    <cellStyle name="20% - Accent3 3 17" xfId="7301"/>
    <cellStyle name="20% - Accent3 3 2" xfId="1554"/>
    <cellStyle name="20% - Accent3 3 2 2" xfId="1555"/>
    <cellStyle name="20% - Accent3 3 2 3" xfId="5637"/>
    <cellStyle name="20% - Accent3 3 2 4" xfId="6256"/>
    <cellStyle name="20% - Accent3 3 2 5" xfId="7091"/>
    <cellStyle name="20% - Accent3 3 2 6" xfId="6646"/>
    <cellStyle name="20% - Accent3 3 2_Sheet1" xfId="1556"/>
    <cellStyle name="20% - Accent3 3 3" xfId="1557"/>
    <cellStyle name="20% - Accent3 3 3 2" xfId="1558"/>
    <cellStyle name="20% - Accent3 3 3_Sheet1" xfId="1559"/>
    <cellStyle name="20% - Accent3 3 4" xfId="1560"/>
    <cellStyle name="20% - Accent3 3 5" xfId="1561"/>
    <cellStyle name="20% - Accent3 3 6" xfId="1562"/>
    <cellStyle name="20% - Accent3 3 7" xfId="1563"/>
    <cellStyle name="20% - Accent3 3 8" xfId="1564"/>
    <cellStyle name="20% - Accent3 3 9" xfId="1565"/>
    <cellStyle name="20% - Accent3 3_A7-CFlow" xfId="674"/>
    <cellStyle name="20% - Accent3 4" xfId="41"/>
    <cellStyle name="20% - Accent3 4 10" xfId="6489"/>
    <cellStyle name="20% - Accent3 4 11" xfId="6886"/>
    <cellStyle name="20% - Accent3 4 2" xfId="1566"/>
    <cellStyle name="20% - Accent3 4 2 2" xfId="5638"/>
    <cellStyle name="20% - Accent3 4 2 3" xfId="5639"/>
    <cellStyle name="20% - Accent3 4 2 4" xfId="6257"/>
    <cellStyle name="20% - Accent3 4 2 5" xfId="7090"/>
    <cellStyle name="20% - Accent3 4 2 6" xfId="6647"/>
    <cellStyle name="20% - Accent3 4 3" xfId="1567"/>
    <cellStyle name="20% - Accent3 4 4" xfId="1568"/>
    <cellStyle name="20% - Accent3 4 5" xfId="1569"/>
    <cellStyle name="20% - Accent3 4 6" xfId="1570"/>
    <cellStyle name="20% - Accent3 4 7" xfId="1571"/>
    <cellStyle name="20% - Accent3 4 8" xfId="5640"/>
    <cellStyle name="20% - Accent3 4 8 2" xfId="6583"/>
    <cellStyle name="20% - Accent3 4 8 3" xfId="6830"/>
    <cellStyle name="20% - Accent3 4 8 4" xfId="6812"/>
    <cellStyle name="20% - Accent3 4 9" xfId="6059"/>
    <cellStyle name="20% - Accent3 4_A7-CFlow" xfId="675"/>
    <cellStyle name="20% - Accent3 5" xfId="42"/>
    <cellStyle name="20% - Accent3 5 10" xfId="7121"/>
    <cellStyle name="20% - Accent3 5 2" xfId="1572"/>
    <cellStyle name="20% - Accent3 5 2 2" xfId="5641"/>
    <cellStyle name="20% - Accent3 5 2 3" xfId="5642"/>
    <cellStyle name="20% - Accent3 5 2 4" xfId="6258"/>
    <cellStyle name="20% - Accent3 5 2 5" xfId="7089"/>
    <cellStyle name="20% - Accent3 5 2 6" xfId="6648"/>
    <cellStyle name="20% - Accent3 5 3" xfId="1573"/>
    <cellStyle name="20% - Accent3 5 4" xfId="1574"/>
    <cellStyle name="20% - Accent3 5 5" xfId="1575"/>
    <cellStyle name="20% - Accent3 5 6" xfId="1576"/>
    <cellStyle name="20% - Accent3 5 7" xfId="5643"/>
    <cellStyle name="20% - Accent3 5 7 2" xfId="6582"/>
    <cellStyle name="20% - Accent3 5 7 3" xfId="6831"/>
    <cellStyle name="20% - Accent3 5 7 4" xfId="6513"/>
    <cellStyle name="20% - Accent3 5 8" xfId="6060"/>
    <cellStyle name="20% - Accent3 5 9" xfId="6222"/>
    <cellStyle name="20% - Accent3 5_A7-CFlow" xfId="676"/>
    <cellStyle name="20% - Accent3 6" xfId="43"/>
    <cellStyle name="20% - Accent3 6 10" xfId="7122"/>
    <cellStyle name="20% - Accent3 6 2" xfId="1577"/>
    <cellStyle name="20% - Accent3 6 2 2" xfId="5644"/>
    <cellStyle name="20% - Accent3 6 2 3" xfId="5645"/>
    <cellStyle name="20% - Accent3 6 2 4" xfId="6259"/>
    <cellStyle name="20% - Accent3 6 2 5" xfId="7088"/>
    <cellStyle name="20% - Accent3 6 2 6" xfId="6649"/>
    <cellStyle name="20% - Accent3 6 3" xfId="1578"/>
    <cellStyle name="20% - Accent3 6 4" xfId="1579"/>
    <cellStyle name="20% - Accent3 6 5" xfId="1580"/>
    <cellStyle name="20% - Accent3 6 6" xfId="1581"/>
    <cellStyle name="20% - Accent3 6 7" xfId="5646"/>
    <cellStyle name="20% - Accent3 6 7 2" xfId="6581"/>
    <cellStyle name="20% - Accent3 6 7 3" xfId="6832"/>
    <cellStyle name="20% - Accent3 6 7 4" xfId="6811"/>
    <cellStyle name="20% - Accent3 6 8" xfId="6061"/>
    <cellStyle name="20% - Accent3 6 9" xfId="6221"/>
    <cellStyle name="20% - Accent3 6_A7-CFlow" xfId="677"/>
    <cellStyle name="20% - Accent3 7" xfId="44"/>
    <cellStyle name="20% - Accent3 7 10" xfId="1582"/>
    <cellStyle name="20% - Accent3 7 11" xfId="5647"/>
    <cellStyle name="20% - Accent3 7 11 2" xfId="6580"/>
    <cellStyle name="20% - Accent3 7 11 3" xfId="6833"/>
    <cellStyle name="20% - Accent3 7 11 4" xfId="6810"/>
    <cellStyle name="20% - Accent3 7 12" xfId="6062"/>
    <cellStyle name="20% - Accent3 7 13" xfId="6220"/>
    <cellStyle name="20% - Accent3 7 14" xfId="7123"/>
    <cellStyle name="20% - Accent3 7 2" xfId="1583"/>
    <cellStyle name="20% - Accent3 7 2 2" xfId="5648"/>
    <cellStyle name="20% - Accent3 7 2 3" xfId="5649"/>
    <cellStyle name="20% - Accent3 7 2 4" xfId="6260"/>
    <cellStyle name="20% - Accent3 7 2 5" xfId="7087"/>
    <cellStyle name="20% - Accent3 7 2 6" xfId="6496"/>
    <cellStyle name="20% - Accent3 7 3" xfId="1584"/>
    <cellStyle name="20% - Accent3 7 4" xfId="1585"/>
    <cellStyle name="20% - Accent3 7 5" xfId="1586"/>
    <cellStyle name="20% - Accent3 7 6" xfId="1587"/>
    <cellStyle name="20% - Accent3 7 7" xfId="1588"/>
    <cellStyle name="20% - Accent3 7 8" xfId="1589"/>
    <cellStyle name="20% - Accent3 7 9" xfId="1590"/>
    <cellStyle name="20% - Accent3 7_A7-CFlow" xfId="678"/>
    <cellStyle name="20% - Accent3 8" xfId="45"/>
    <cellStyle name="20% - Accent3 8 10" xfId="7336"/>
    <cellStyle name="20% - Accent3 8 2" xfId="1591"/>
    <cellStyle name="20% - Accent3 8 2 2" xfId="5650"/>
    <cellStyle name="20% - Accent3 8 2 3" xfId="5651"/>
    <cellStyle name="20% - Accent3 8 2 4" xfId="6261"/>
    <cellStyle name="20% - Accent3 8 2 5" xfId="7086"/>
    <cellStyle name="20% - Accent3 8 2 6" xfId="6071"/>
    <cellStyle name="20% - Accent3 8 3" xfId="1592"/>
    <cellStyle name="20% - Accent3 8 4" xfId="1593"/>
    <cellStyle name="20% - Accent3 8 5" xfId="1594"/>
    <cellStyle name="20% - Accent3 8 6" xfId="1595"/>
    <cellStyle name="20% - Accent3 8 7" xfId="5652"/>
    <cellStyle name="20% - Accent3 8 7 2" xfId="6579"/>
    <cellStyle name="20% - Accent3 8 7 3" xfId="6834"/>
    <cellStyle name="20% - Accent3 8 7 4" xfId="6809"/>
    <cellStyle name="20% - Accent3 8 8" xfId="6063"/>
    <cellStyle name="20% - Accent3 8 9" xfId="7238"/>
    <cellStyle name="20% - Accent3 8_A7-CFlow" xfId="679"/>
    <cellStyle name="20% - Accent3 9" xfId="680"/>
    <cellStyle name="20% - Accent4 10" xfId="681"/>
    <cellStyle name="20% - Accent4 11" xfId="682"/>
    <cellStyle name="20% - Accent4 12" xfId="683"/>
    <cellStyle name="20% - Accent4 13" xfId="684"/>
    <cellStyle name="20% - Accent4 14" xfId="1596"/>
    <cellStyle name="20% - Accent4 15" xfId="1597"/>
    <cellStyle name="20% - Accent4 16" xfId="1598"/>
    <cellStyle name="20% - Accent4 17" xfId="5653"/>
    <cellStyle name="20% - Accent4 2" xfId="46"/>
    <cellStyle name="20% - Accent4 2 10" xfId="1599"/>
    <cellStyle name="20% - Accent4 2 11" xfId="1600"/>
    <cellStyle name="20% - Accent4 2 12" xfId="1601"/>
    <cellStyle name="20% - Accent4 2 13" xfId="1602"/>
    <cellStyle name="20% - Accent4 2 14" xfId="1603"/>
    <cellStyle name="20% - Accent4 2 15" xfId="1604"/>
    <cellStyle name="20% - Accent4 2 2" xfId="685"/>
    <cellStyle name="20% - Accent4 2 2 10" xfId="1605"/>
    <cellStyle name="20% - Accent4 2 2 2" xfId="1606"/>
    <cellStyle name="20% - Accent4 2 2 3" xfId="1607"/>
    <cellStyle name="20% - Accent4 2 2 4" xfId="1608"/>
    <cellStyle name="20% - Accent4 2 2 5" xfId="1609"/>
    <cellStyle name="20% - Accent4 2 2 6" xfId="1610"/>
    <cellStyle name="20% - Accent4 2 2 7" xfId="1611"/>
    <cellStyle name="20% - Accent4 2 2 8" xfId="1612"/>
    <cellStyle name="20% - Accent4 2 2 9" xfId="1613"/>
    <cellStyle name="20% - Accent4 2 2_Sheet1" xfId="1614"/>
    <cellStyle name="20% - Accent4 2 3" xfId="686"/>
    <cellStyle name="20% - Accent4 2 3 10" xfId="1615"/>
    <cellStyle name="20% - Accent4 2 3 2" xfId="1616"/>
    <cellStyle name="20% - Accent4 2 3 3" xfId="1617"/>
    <cellStyle name="20% - Accent4 2 3 4" xfId="1618"/>
    <cellStyle name="20% - Accent4 2 3 5" xfId="1619"/>
    <cellStyle name="20% - Accent4 2 3 6" xfId="1620"/>
    <cellStyle name="20% - Accent4 2 3 7" xfId="1621"/>
    <cellStyle name="20% - Accent4 2 3 8" xfId="1622"/>
    <cellStyle name="20% - Accent4 2 3 9" xfId="1623"/>
    <cellStyle name="20% - Accent4 2 3_Sheet1" xfId="1624"/>
    <cellStyle name="20% - Accent4 2 4" xfId="687"/>
    <cellStyle name="20% - Accent4 2 4 2" xfId="1625"/>
    <cellStyle name="20% - Accent4 2 4 3" xfId="1626"/>
    <cellStyle name="20% - Accent4 2 4 4" xfId="1627"/>
    <cellStyle name="20% - Accent4 2 4 5" xfId="1628"/>
    <cellStyle name="20% - Accent4 2 4 6" xfId="1629"/>
    <cellStyle name="20% - Accent4 2 4 7" xfId="1630"/>
    <cellStyle name="20% - Accent4 2 4 8" xfId="1631"/>
    <cellStyle name="20% - Accent4 2 4 9" xfId="1632"/>
    <cellStyle name="20% - Accent4 2 4_Sheet1" xfId="1633"/>
    <cellStyle name="20% - Accent4 2 5" xfId="688"/>
    <cellStyle name="20% - Accent4 2 6" xfId="689"/>
    <cellStyle name="20% - Accent4 2 7" xfId="690"/>
    <cellStyle name="20% - Accent4 2 8" xfId="1634"/>
    <cellStyle name="20% - Accent4 2 9" xfId="1635"/>
    <cellStyle name="20% - Accent4 2_Sheet1" xfId="1636"/>
    <cellStyle name="20% - Accent4 3" xfId="47"/>
    <cellStyle name="20% - Accent4 3 10" xfId="1637"/>
    <cellStyle name="20% - Accent4 3 11" xfId="1638"/>
    <cellStyle name="20% - Accent4 3 12" xfId="1639"/>
    <cellStyle name="20% - Accent4 3 13" xfId="1640"/>
    <cellStyle name="20% - Accent4 3 14" xfId="5654"/>
    <cellStyle name="20% - Accent4 3 14 2" xfId="6578"/>
    <cellStyle name="20% - Accent4 3 14 3" xfId="7240"/>
    <cellStyle name="20% - Accent4 3 14 4" xfId="7338"/>
    <cellStyle name="20% - Accent4 3 15" xfId="6065"/>
    <cellStyle name="20% - Accent4 3 16" xfId="7200"/>
    <cellStyle name="20% - Accent4 3 17" xfId="7300"/>
    <cellStyle name="20% - Accent4 3 2" xfId="1641"/>
    <cellStyle name="20% - Accent4 3 2 2" xfId="1642"/>
    <cellStyle name="20% - Accent4 3 2 3" xfId="5655"/>
    <cellStyle name="20% - Accent4 3 2 4" xfId="6262"/>
    <cellStyle name="20% - Accent4 3 2 5" xfId="7085"/>
    <cellStyle name="20% - Accent4 3 2 6" xfId="6072"/>
    <cellStyle name="20% - Accent4 3 2_Sheet1" xfId="1643"/>
    <cellStyle name="20% - Accent4 3 3" xfId="1644"/>
    <cellStyle name="20% - Accent4 3 3 2" xfId="1645"/>
    <cellStyle name="20% - Accent4 3 3_Sheet1" xfId="1646"/>
    <cellStyle name="20% - Accent4 3 4" xfId="1647"/>
    <cellStyle name="20% - Accent4 3 5" xfId="1648"/>
    <cellStyle name="20% - Accent4 3 6" xfId="1649"/>
    <cellStyle name="20% - Accent4 3 7" xfId="1650"/>
    <cellStyle name="20% - Accent4 3 8" xfId="1651"/>
    <cellStyle name="20% - Accent4 3 9" xfId="1652"/>
    <cellStyle name="20% - Accent4 3_A7-CFlow" xfId="691"/>
    <cellStyle name="20% - Accent4 4" xfId="48"/>
    <cellStyle name="20% - Accent4 4 10" xfId="7199"/>
    <cellStyle name="20% - Accent4 4 11" xfId="7299"/>
    <cellStyle name="20% - Accent4 4 2" xfId="1653"/>
    <cellStyle name="20% - Accent4 4 2 2" xfId="5656"/>
    <cellStyle name="20% - Accent4 4 2 3" xfId="5657"/>
    <cellStyle name="20% - Accent4 4 2 4" xfId="6263"/>
    <cellStyle name="20% - Accent4 4 2 5" xfId="7223"/>
    <cellStyle name="20% - Accent4 4 2 6" xfId="7322"/>
    <cellStyle name="20% - Accent4 4 3" xfId="1654"/>
    <cellStyle name="20% - Accent4 4 4" xfId="1655"/>
    <cellStyle name="20% - Accent4 4 5" xfId="1656"/>
    <cellStyle name="20% - Accent4 4 6" xfId="1657"/>
    <cellStyle name="20% - Accent4 4 7" xfId="1658"/>
    <cellStyle name="20% - Accent4 4 8" xfId="5658"/>
    <cellStyle name="20% - Accent4 4 8 2" xfId="6577"/>
    <cellStyle name="20% - Accent4 4 8 3" xfId="6835"/>
    <cellStyle name="20% - Accent4 4 8 4" xfId="6808"/>
    <cellStyle name="20% - Accent4 4 9" xfId="6066"/>
    <cellStyle name="20% - Accent4 4_A7-CFlow" xfId="692"/>
    <cellStyle name="20% - Accent4 5" xfId="49"/>
    <cellStyle name="20% - Accent4 5 10" xfId="7298"/>
    <cellStyle name="20% - Accent4 5 2" xfId="1659"/>
    <cellStyle name="20% - Accent4 5 2 2" xfId="5659"/>
    <cellStyle name="20% - Accent4 5 2 3" xfId="5660"/>
    <cellStyle name="20% - Accent4 5 2 4" xfId="6264"/>
    <cellStyle name="20% - Accent4 5 2 5" xfId="7084"/>
    <cellStyle name="20% - Accent4 5 2 6" xfId="6073"/>
    <cellStyle name="20% - Accent4 5 3" xfId="1660"/>
    <cellStyle name="20% - Accent4 5 4" xfId="1661"/>
    <cellStyle name="20% - Accent4 5 5" xfId="1662"/>
    <cellStyle name="20% - Accent4 5 6" xfId="1663"/>
    <cellStyle name="20% - Accent4 5 7" xfId="5661"/>
    <cellStyle name="20% - Accent4 5 7 2" xfId="6469"/>
    <cellStyle name="20% - Accent4 5 7 3" xfId="6902"/>
    <cellStyle name="20% - Accent4 5 7 4" xfId="7274"/>
    <cellStyle name="20% - Accent4 5 8" xfId="6067"/>
    <cellStyle name="20% - Accent4 5 9" xfId="7198"/>
    <cellStyle name="20% - Accent4 5_A7-CFlow" xfId="693"/>
    <cellStyle name="20% - Accent4 6" xfId="50"/>
    <cellStyle name="20% - Accent4 6 10" xfId="7297"/>
    <cellStyle name="20% - Accent4 6 2" xfId="1664"/>
    <cellStyle name="20% - Accent4 6 2 2" xfId="5662"/>
    <cellStyle name="20% - Accent4 6 2 3" xfId="5663"/>
    <cellStyle name="20% - Accent4 6 2 4" xfId="6265"/>
    <cellStyle name="20% - Accent4 6 2 5" xfId="7083"/>
    <cellStyle name="20% - Accent4 6 2 6" xfId="6074"/>
    <cellStyle name="20% - Accent4 6 3" xfId="1665"/>
    <cellStyle name="20% - Accent4 6 4" xfId="1666"/>
    <cellStyle name="20% - Accent4 6 5" xfId="1667"/>
    <cellStyle name="20% - Accent4 6 6" xfId="1668"/>
    <cellStyle name="20% - Accent4 6 7" xfId="5664"/>
    <cellStyle name="20% - Accent4 6 7 2" xfId="6576"/>
    <cellStyle name="20% - Accent4 6 7 3" xfId="6836"/>
    <cellStyle name="20% - Accent4 6 7 4" xfId="7260"/>
    <cellStyle name="20% - Accent4 6 8" xfId="6068"/>
    <cellStyle name="20% - Accent4 6 9" xfId="7197"/>
    <cellStyle name="20% - Accent4 6_A7-CFlow" xfId="694"/>
    <cellStyle name="20% - Accent4 7" xfId="51"/>
    <cellStyle name="20% - Accent4 7 10" xfId="1669"/>
    <cellStyle name="20% - Accent4 7 11" xfId="5665"/>
    <cellStyle name="20% - Accent4 7 11 2" xfId="6575"/>
    <cellStyle name="20% - Accent4 7 11 3" xfId="6837"/>
    <cellStyle name="20% - Accent4 7 11 4" xfId="6807"/>
    <cellStyle name="20% - Accent4 7 12" xfId="6069"/>
    <cellStyle name="20% - Accent4 7 13" xfId="7196"/>
    <cellStyle name="20% - Accent4 7 14" xfId="7296"/>
    <cellStyle name="20% - Accent4 7 2" xfId="1670"/>
    <cellStyle name="20% - Accent4 7 2 2" xfId="5666"/>
    <cellStyle name="20% - Accent4 7 2 3" xfId="5667"/>
    <cellStyle name="20% - Accent4 7 2 4" xfId="6266"/>
    <cellStyle name="20% - Accent4 7 2 5" xfId="7082"/>
    <cellStyle name="20% - Accent4 7 2 6" xfId="6075"/>
    <cellStyle name="20% - Accent4 7 3" xfId="1671"/>
    <cellStyle name="20% - Accent4 7 4" xfId="1672"/>
    <cellStyle name="20% - Accent4 7 5" xfId="1673"/>
    <cellStyle name="20% - Accent4 7 6" xfId="1674"/>
    <cellStyle name="20% - Accent4 7 7" xfId="1675"/>
    <cellStyle name="20% - Accent4 7 8" xfId="1676"/>
    <cellStyle name="20% - Accent4 7 9" xfId="1677"/>
    <cellStyle name="20% - Accent4 7_A7-CFlow" xfId="695"/>
    <cellStyle name="20% - Accent4 8" xfId="52"/>
    <cellStyle name="20% - Accent4 8 10" xfId="7295"/>
    <cellStyle name="20% - Accent4 8 2" xfId="1678"/>
    <cellStyle name="20% - Accent4 8 2 2" xfId="5668"/>
    <cellStyle name="20% - Accent4 8 2 3" xfId="5669"/>
    <cellStyle name="20% - Accent4 8 2 4" xfId="6267"/>
    <cellStyle name="20% - Accent4 8 2 5" xfId="7081"/>
    <cellStyle name="20% - Accent4 8 2 6" xfId="6650"/>
    <cellStyle name="20% - Accent4 8 3" xfId="1679"/>
    <cellStyle name="20% - Accent4 8 4" xfId="1680"/>
    <cellStyle name="20% - Accent4 8 5" xfId="1681"/>
    <cellStyle name="20% - Accent4 8 6" xfId="1682"/>
    <cellStyle name="20% - Accent4 8 7" xfId="5670"/>
    <cellStyle name="20% - Accent4 8 7 2" xfId="6574"/>
    <cellStyle name="20% - Accent4 8 7 3" xfId="6838"/>
    <cellStyle name="20% - Accent4 8 7 4" xfId="6512"/>
    <cellStyle name="20% - Accent4 8 8" xfId="6070"/>
    <cellStyle name="20% - Accent4 8 9" xfId="7195"/>
    <cellStyle name="20% - Accent4 8_A7-CFlow" xfId="696"/>
    <cellStyle name="20% - Accent4 9" xfId="697"/>
    <cellStyle name="20% - Accent5 10" xfId="698"/>
    <cellStyle name="20% - Accent5 11" xfId="699"/>
    <cellStyle name="20% - Accent5 12" xfId="700"/>
    <cellStyle name="20% - Accent5 13" xfId="701"/>
    <cellStyle name="20% - Accent5 14" xfId="1683"/>
    <cellStyle name="20% - Accent5 15" xfId="1684"/>
    <cellStyle name="20% - Accent5 16" xfId="1685"/>
    <cellStyle name="20% - Accent5 17" xfId="5671"/>
    <cellStyle name="20% - Accent5 2" xfId="53"/>
    <cellStyle name="20% - Accent5 2 10" xfId="1686"/>
    <cellStyle name="20% - Accent5 2 11" xfId="1687"/>
    <cellStyle name="20% - Accent5 2 12" xfId="1688"/>
    <cellStyle name="20% - Accent5 2 13" xfId="1689"/>
    <cellStyle name="20% - Accent5 2 14" xfId="1690"/>
    <cellStyle name="20% - Accent5 2 15" xfId="1691"/>
    <cellStyle name="20% - Accent5 2 2" xfId="702"/>
    <cellStyle name="20% - Accent5 2 2 10" xfId="1692"/>
    <cellStyle name="20% - Accent5 2 2 2" xfId="1693"/>
    <cellStyle name="20% - Accent5 2 2 3" xfId="1694"/>
    <cellStyle name="20% - Accent5 2 2 4" xfId="1695"/>
    <cellStyle name="20% - Accent5 2 2 5" xfId="1696"/>
    <cellStyle name="20% - Accent5 2 2 6" xfId="1697"/>
    <cellStyle name="20% - Accent5 2 2 7" xfId="1698"/>
    <cellStyle name="20% - Accent5 2 2 8" xfId="1699"/>
    <cellStyle name="20% - Accent5 2 2 9" xfId="1700"/>
    <cellStyle name="20% - Accent5 2 2_Sheet1" xfId="1701"/>
    <cellStyle name="20% - Accent5 2 3" xfId="703"/>
    <cellStyle name="20% - Accent5 2 3 10" xfId="1702"/>
    <cellStyle name="20% - Accent5 2 3 2" xfId="1703"/>
    <cellStyle name="20% - Accent5 2 3 3" xfId="1704"/>
    <cellStyle name="20% - Accent5 2 3 4" xfId="1705"/>
    <cellStyle name="20% - Accent5 2 3 5" xfId="1706"/>
    <cellStyle name="20% - Accent5 2 3 6" xfId="1707"/>
    <cellStyle name="20% - Accent5 2 3 7" xfId="1708"/>
    <cellStyle name="20% - Accent5 2 3 8" xfId="1709"/>
    <cellStyle name="20% - Accent5 2 3 9" xfId="1710"/>
    <cellStyle name="20% - Accent5 2 3_Sheet1" xfId="1711"/>
    <cellStyle name="20% - Accent5 2 4" xfId="704"/>
    <cellStyle name="20% - Accent5 2 4 2" xfId="1712"/>
    <cellStyle name="20% - Accent5 2 4 3" xfId="1713"/>
    <cellStyle name="20% - Accent5 2 4 4" xfId="1714"/>
    <cellStyle name="20% - Accent5 2 4 5" xfId="1715"/>
    <cellStyle name="20% - Accent5 2 4 6" xfId="1716"/>
    <cellStyle name="20% - Accent5 2 4 7" xfId="1717"/>
    <cellStyle name="20% - Accent5 2 4 8" xfId="1718"/>
    <cellStyle name="20% - Accent5 2 4 9" xfId="1719"/>
    <cellStyle name="20% - Accent5 2 4_Sheet1" xfId="1720"/>
    <cellStyle name="20% - Accent5 2 5" xfId="705"/>
    <cellStyle name="20% - Accent5 2 6" xfId="706"/>
    <cellStyle name="20% - Accent5 2 7" xfId="707"/>
    <cellStyle name="20% - Accent5 2 8" xfId="1721"/>
    <cellStyle name="20% - Accent5 2 9" xfId="1722"/>
    <cellStyle name="20% - Accent5 2_Sheet1" xfId="1723"/>
    <cellStyle name="20% - Accent5 3" xfId="54"/>
    <cellStyle name="20% - Accent5 3 10" xfId="6081"/>
    <cellStyle name="20% - Accent5 3 11" xfId="6488"/>
    <cellStyle name="20% - Accent5 3 12" xfId="6887"/>
    <cellStyle name="20% - Accent5 3 2" xfId="1724"/>
    <cellStyle name="20% - Accent5 3 2 2" xfId="5672"/>
    <cellStyle name="20% - Accent5 3 2 3" xfId="5673"/>
    <cellStyle name="20% - Accent5 3 2 4" xfId="6268"/>
    <cellStyle name="20% - Accent5 3 2 5" xfId="7080"/>
    <cellStyle name="20% - Accent5 3 2 6" xfId="6651"/>
    <cellStyle name="20% - Accent5 3 3" xfId="1725"/>
    <cellStyle name="20% - Accent5 3 4" xfId="1726"/>
    <cellStyle name="20% - Accent5 3 5" xfId="1727"/>
    <cellStyle name="20% - Accent5 3 6" xfId="1728"/>
    <cellStyle name="20% - Accent5 3 7" xfId="1729"/>
    <cellStyle name="20% - Accent5 3 8" xfId="1730"/>
    <cellStyle name="20% - Accent5 3 9" xfId="5674"/>
    <cellStyle name="20% - Accent5 3 9 2" xfId="6466"/>
    <cellStyle name="20% - Accent5 3 9 3" xfId="6905"/>
    <cellStyle name="20% - Accent5 3 9 4" xfId="6121"/>
    <cellStyle name="20% - Accent5 3_A7-CFlow" xfId="708"/>
    <cellStyle name="20% - Accent5 4" xfId="55"/>
    <cellStyle name="20% - Accent5 4 10" xfId="6888"/>
    <cellStyle name="20% - Accent5 4 2" xfId="1731"/>
    <cellStyle name="20% - Accent5 4 2 2" xfId="5675"/>
    <cellStyle name="20% - Accent5 4 2 3" xfId="5676"/>
    <cellStyle name="20% - Accent5 4 2 4" xfId="6269"/>
    <cellStyle name="20% - Accent5 4 2 5" xfId="7079"/>
    <cellStyle name="20% - Accent5 4 2 6" xfId="6652"/>
    <cellStyle name="20% - Accent5 4 3" xfId="1732"/>
    <cellStyle name="20% - Accent5 4 4" xfId="1733"/>
    <cellStyle name="20% - Accent5 4 5" xfId="1734"/>
    <cellStyle name="20% - Accent5 4 6" xfId="1735"/>
    <cellStyle name="20% - Accent5 4 7" xfId="5677"/>
    <cellStyle name="20% - Accent5 4 7 2" xfId="6573"/>
    <cellStyle name="20% - Accent5 4 7 3" xfId="6839"/>
    <cellStyle name="20% - Accent5 4 7 4" xfId="6806"/>
    <cellStyle name="20% - Accent5 4 8" xfId="6082"/>
    <cellStyle name="20% - Accent5 4 9" xfId="6487"/>
    <cellStyle name="20% - Accent5 4_A7-CFlow" xfId="709"/>
    <cellStyle name="20% - Accent5 5" xfId="56"/>
    <cellStyle name="20% - Accent5 5 10" xfId="7265"/>
    <cellStyle name="20% - Accent5 5 2" xfId="1736"/>
    <cellStyle name="20% - Accent5 5 2 2" xfId="5678"/>
    <cellStyle name="20% - Accent5 5 2 3" xfId="5679"/>
    <cellStyle name="20% - Accent5 5 2 4" xfId="6270"/>
    <cellStyle name="20% - Accent5 5 2 5" xfId="7078"/>
    <cellStyle name="20% - Accent5 5 2 6" xfId="7276"/>
    <cellStyle name="20% - Accent5 5 3" xfId="1737"/>
    <cellStyle name="20% - Accent5 5 4" xfId="1738"/>
    <cellStyle name="20% - Accent5 5 5" xfId="1739"/>
    <cellStyle name="20% - Accent5 5 6" xfId="1740"/>
    <cellStyle name="20% - Accent5 5 7" xfId="5680"/>
    <cellStyle name="20% - Accent5 5 7 2" xfId="6572"/>
    <cellStyle name="20% - Accent5 5 7 3" xfId="6840"/>
    <cellStyle name="20% - Accent5 5 7 4" xfId="6805"/>
    <cellStyle name="20% - Accent5 5 8" xfId="6083"/>
    <cellStyle name="20% - Accent5 5 9" xfId="6486"/>
    <cellStyle name="20% - Accent5 5_A7-CFlow" xfId="710"/>
    <cellStyle name="20% - Accent5 6" xfId="57"/>
    <cellStyle name="20% - Accent5 6 2" xfId="1741"/>
    <cellStyle name="20% - Accent5 6 2 2" xfId="5681"/>
    <cellStyle name="20% - Accent5 6 2 3" xfId="5682"/>
    <cellStyle name="20% - Accent5 6 2 4" xfId="6271"/>
    <cellStyle name="20% - Accent5 6 2 5" xfId="7077"/>
    <cellStyle name="20% - Accent5 6 2 6" xfId="6076"/>
    <cellStyle name="20% - Accent5 6 3" xfId="1742"/>
    <cellStyle name="20% - Accent5 6 4" xfId="1743"/>
    <cellStyle name="20% - Accent5 6 5" xfId="1744"/>
    <cellStyle name="20% - Accent5 6 6" xfId="5683"/>
    <cellStyle name="20% - Accent5 6 6 2" xfId="6464"/>
    <cellStyle name="20% - Accent5 6 6 3" xfId="6907"/>
    <cellStyle name="20% - Accent5 6 6 4" xfId="6509"/>
    <cellStyle name="20% - Accent5 6 7" xfId="6084"/>
    <cellStyle name="20% - Accent5 6 8" xfId="7237"/>
    <cellStyle name="20% - Accent5 6 9" xfId="7335"/>
    <cellStyle name="20% - Accent5 6_A7-CFlow" xfId="711"/>
    <cellStyle name="20% - Accent5 7" xfId="58"/>
    <cellStyle name="20% - Accent5 7 10" xfId="1745"/>
    <cellStyle name="20% - Accent5 7 11" xfId="5684"/>
    <cellStyle name="20% - Accent5 7 11 2" xfId="6571"/>
    <cellStyle name="20% - Accent5 7 11 3" xfId="6841"/>
    <cellStyle name="20% - Accent5 7 11 4" xfId="6804"/>
    <cellStyle name="20% - Accent5 7 12" xfId="6085"/>
    <cellStyle name="20% - Accent5 7 13" xfId="6485"/>
    <cellStyle name="20% - Accent5 7 14" xfId="6889"/>
    <cellStyle name="20% - Accent5 7 2" xfId="1746"/>
    <cellStyle name="20% - Accent5 7 2 2" xfId="5685"/>
    <cellStyle name="20% - Accent5 7 2 3" xfId="5686"/>
    <cellStyle name="20% - Accent5 7 2 4" xfId="6272"/>
    <cellStyle name="20% - Accent5 7 2 5" xfId="7222"/>
    <cellStyle name="20% - Accent5 7 2 6" xfId="7321"/>
    <cellStyle name="20% - Accent5 7 3" xfId="1747"/>
    <cellStyle name="20% - Accent5 7 4" xfId="1748"/>
    <cellStyle name="20% - Accent5 7 5" xfId="1749"/>
    <cellStyle name="20% - Accent5 7 6" xfId="1750"/>
    <cellStyle name="20% - Accent5 7 7" xfId="1751"/>
    <cellStyle name="20% - Accent5 7 8" xfId="1752"/>
    <cellStyle name="20% - Accent5 7 9" xfId="1753"/>
    <cellStyle name="20% - Accent5 7_A7-CFlow" xfId="712"/>
    <cellStyle name="20% - Accent5 8" xfId="59"/>
    <cellStyle name="20% - Accent5 8 10" xfId="6890"/>
    <cellStyle name="20% - Accent5 8 2" xfId="1754"/>
    <cellStyle name="20% - Accent5 8 2 2" xfId="5687"/>
    <cellStyle name="20% - Accent5 8 2 3" xfId="5688"/>
    <cellStyle name="20% - Accent5 8 2 4" xfId="6273"/>
    <cellStyle name="20% - Accent5 8 2 5" xfId="7076"/>
    <cellStyle name="20% - Accent5 8 2 6" xfId="6653"/>
    <cellStyle name="20% - Accent5 8 3" xfId="1755"/>
    <cellStyle name="20% - Accent5 8 4" xfId="1756"/>
    <cellStyle name="20% - Accent5 8 5" xfId="1757"/>
    <cellStyle name="20% - Accent5 8 6" xfId="1758"/>
    <cellStyle name="20% - Accent5 8 7" xfId="5689"/>
    <cellStyle name="20% - Accent5 8 7 2" xfId="6570"/>
    <cellStyle name="20% - Accent5 8 7 3" xfId="6842"/>
    <cellStyle name="20% - Accent5 8 7 4" xfId="6803"/>
    <cellStyle name="20% - Accent5 8 8" xfId="6086"/>
    <cellStyle name="20% - Accent5 8 9" xfId="6484"/>
    <cellStyle name="20% - Accent5 8_A7-CFlow" xfId="713"/>
    <cellStyle name="20% - Accent5 9" xfId="714"/>
    <cellStyle name="20% - Accent6 10" xfId="715"/>
    <cellStyle name="20% - Accent6 11" xfId="716"/>
    <cellStyle name="20% - Accent6 12" xfId="717"/>
    <cellStyle name="20% - Accent6 13" xfId="718"/>
    <cellStyle name="20% - Accent6 14" xfId="1759"/>
    <cellStyle name="20% - Accent6 15" xfId="1760"/>
    <cellStyle name="20% - Accent6 16" xfId="1761"/>
    <cellStyle name="20% - Accent6 17" xfId="5690"/>
    <cellStyle name="20% - Accent6 2" xfId="60"/>
    <cellStyle name="20% - Accent6 2 10" xfId="1762"/>
    <cellStyle name="20% - Accent6 2 11" xfId="1763"/>
    <cellStyle name="20% - Accent6 2 12" xfId="1764"/>
    <cellStyle name="20% - Accent6 2 13" xfId="1765"/>
    <cellStyle name="20% - Accent6 2 14" xfId="1766"/>
    <cellStyle name="20% - Accent6 2 15" xfId="1767"/>
    <cellStyle name="20% - Accent6 2 2" xfId="719"/>
    <cellStyle name="20% - Accent6 2 2 10" xfId="1768"/>
    <cellStyle name="20% - Accent6 2 2 2" xfId="1769"/>
    <cellStyle name="20% - Accent6 2 2 3" xfId="1770"/>
    <cellStyle name="20% - Accent6 2 2 4" xfId="1771"/>
    <cellStyle name="20% - Accent6 2 2 5" xfId="1772"/>
    <cellStyle name="20% - Accent6 2 2 6" xfId="1773"/>
    <cellStyle name="20% - Accent6 2 2 7" xfId="1774"/>
    <cellStyle name="20% - Accent6 2 2 8" xfId="1775"/>
    <cellStyle name="20% - Accent6 2 2 9" xfId="1776"/>
    <cellStyle name="20% - Accent6 2 2_Sheet1" xfId="1777"/>
    <cellStyle name="20% - Accent6 2 3" xfId="720"/>
    <cellStyle name="20% - Accent6 2 3 10" xfId="1778"/>
    <cellStyle name="20% - Accent6 2 3 2" xfId="1779"/>
    <cellStyle name="20% - Accent6 2 3 3" xfId="1780"/>
    <cellStyle name="20% - Accent6 2 3 4" xfId="1781"/>
    <cellStyle name="20% - Accent6 2 3 5" xfId="1782"/>
    <cellStyle name="20% - Accent6 2 3 6" xfId="1783"/>
    <cellStyle name="20% - Accent6 2 3 7" xfId="1784"/>
    <cellStyle name="20% - Accent6 2 3 8" xfId="1785"/>
    <cellStyle name="20% - Accent6 2 3 9" xfId="1786"/>
    <cellStyle name="20% - Accent6 2 3_Sheet1" xfId="1787"/>
    <cellStyle name="20% - Accent6 2 4" xfId="721"/>
    <cellStyle name="20% - Accent6 2 4 2" xfId="1788"/>
    <cellStyle name="20% - Accent6 2 4 3" xfId="1789"/>
    <cellStyle name="20% - Accent6 2 4 4" xfId="1790"/>
    <cellStyle name="20% - Accent6 2 4 5" xfId="1791"/>
    <cellStyle name="20% - Accent6 2 4 6" xfId="1792"/>
    <cellStyle name="20% - Accent6 2 4 7" xfId="1793"/>
    <cellStyle name="20% - Accent6 2 4 8" xfId="1794"/>
    <cellStyle name="20% - Accent6 2 4 9" xfId="1795"/>
    <cellStyle name="20% - Accent6 2 4_Sheet1" xfId="1796"/>
    <cellStyle name="20% - Accent6 2 5" xfId="722"/>
    <cellStyle name="20% - Accent6 2 6" xfId="723"/>
    <cellStyle name="20% - Accent6 2 7" xfId="724"/>
    <cellStyle name="20% - Accent6 2 8" xfId="1797"/>
    <cellStyle name="20% - Accent6 2 9" xfId="1798"/>
    <cellStyle name="20% - Accent6 2_Sheet1" xfId="1799"/>
    <cellStyle name="20% - Accent6 3" xfId="61"/>
    <cellStyle name="20% - Accent6 3 10" xfId="6087"/>
    <cellStyle name="20% - Accent6 3 11" xfId="6481"/>
    <cellStyle name="20% - Accent6 3 12" xfId="6893"/>
    <cellStyle name="20% - Accent6 3 2" xfId="1800"/>
    <cellStyle name="20% - Accent6 3 2 2" xfId="5691"/>
    <cellStyle name="20% - Accent6 3 2 3" xfId="5692"/>
    <cellStyle name="20% - Accent6 3 2 4" xfId="6274"/>
    <cellStyle name="20% - Accent6 3 2 5" xfId="7075"/>
    <cellStyle name="20% - Accent6 3 2 6" xfId="6654"/>
    <cellStyle name="20% - Accent6 3 3" xfId="1801"/>
    <cellStyle name="20% - Accent6 3 4" xfId="1802"/>
    <cellStyle name="20% - Accent6 3 5" xfId="1803"/>
    <cellStyle name="20% - Accent6 3 6" xfId="1804"/>
    <cellStyle name="20% - Accent6 3 7" xfId="1805"/>
    <cellStyle name="20% - Accent6 3 8" xfId="1806"/>
    <cellStyle name="20% - Accent6 3 9" xfId="5693"/>
    <cellStyle name="20% - Accent6 3 9 2" xfId="6236"/>
    <cellStyle name="20% - Accent6 3 9 3" xfId="7108"/>
    <cellStyle name="20% - Accent6 3 9 4" xfId="6632"/>
    <cellStyle name="20% - Accent6 3_A7-CFlow" xfId="725"/>
    <cellStyle name="20% - Accent6 4" xfId="62"/>
    <cellStyle name="20% - Accent6 4 10" xfId="7266"/>
    <cellStyle name="20% - Accent6 4 2" xfId="1807"/>
    <cellStyle name="20% - Accent6 4 2 2" xfId="5694"/>
    <cellStyle name="20% - Accent6 4 2 3" xfId="5695"/>
    <cellStyle name="20% - Accent6 4 2 4" xfId="6275"/>
    <cellStyle name="20% - Accent6 4 2 5" xfId="7074"/>
    <cellStyle name="20% - Accent6 4 2 6" xfId="6655"/>
    <cellStyle name="20% - Accent6 4 3" xfId="1808"/>
    <cellStyle name="20% - Accent6 4 4" xfId="1809"/>
    <cellStyle name="20% - Accent6 4 5" xfId="1810"/>
    <cellStyle name="20% - Accent6 4 6" xfId="1811"/>
    <cellStyle name="20% - Accent6 4 7" xfId="5696"/>
    <cellStyle name="20% - Accent6 4 7 2" xfId="6569"/>
    <cellStyle name="20% - Accent6 4 7 3" xfId="6843"/>
    <cellStyle name="20% - Accent6 4 7 4" xfId="6802"/>
    <cellStyle name="20% - Accent6 4 8" xfId="6088"/>
    <cellStyle name="20% - Accent6 4 9" xfId="6480"/>
    <cellStyle name="20% - Accent6 4_A7-CFlow" xfId="726"/>
    <cellStyle name="20% - Accent6 5" xfId="63"/>
    <cellStyle name="20% - Accent6 5 10" xfId="7124"/>
    <cellStyle name="20% - Accent6 5 2" xfId="1812"/>
    <cellStyle name="20% - Accent6 5 2 2" xfId="5697"/>
    <cellStyle name="20% - Accent6 5 2 3" xfId="5698"/>
    <cellStyle name="20% - Accent6 5 2 4" xfId="6276"/>
    <cellStyle name="20% - Accent6 5 2 5" xfId="7073"/>
    <cellStyle name="20% - Accent6 5 2 6" xfId="6656"/>
    <cellStyle name="20% - Accent6 5 3" xfId="1813"/>
    <cellStyle name="20% - Accent6 5 4" xfId="1814"/>
    <cellStyle name="20% - Accent6 5 5" xfId="1815"/>
    <cellStyle name="20% - Accent6 5 6" xfId="1816"/>
    <cellStyle name="20% - Accent6 5 7" xfId="5699"/>
    <cellStyle name="20% - Accent6 5 7 2" xfId="6237"/>
    <cellStyle name="20% - Accent6 5 7 3" xfId="7226"/>
    <cellStyle name="20% - Accent6 5 7 4" xfId="7325"/>
    <cellStyle name="20% - Accent6 5 8" xfId="6089"/>
    <cellStyle name="20% - Accent6 5 9" xfId="6219"/>
    <cellStyle name="20% - Accent6 5_A7-CFlow" xfId="727"/>
    <cellStyle name="20% - Accent6 6" xfId="64"/>
    <cellStyle name="20% - Accent6 6 2" xfId="1817"/>
    <cellStyle name="20% - Accent6 6 2 2" xfId="5700"/>
    <cellStyle name="20% - Accent6 6 2 3" xfId="5701"/>
    <cellStyle name="20% - Accent6 6 2 4" xfId="6277"/>
    <cellStyle name="20% - Accent6 6 2 5" xfId="7072"/>
    <cellStyle name="20% - Accent6 6 2 6" xfId="6657"/>
    <cellStyle name="20% - Accent6 6 3" xfId="1818"/>
    <cellStyle name="20% - Accent6 6 4" xfId="1819"/>
    <cellStyle name="20% - Accent6 6 5" xfId="1820"/>
    <cellStyle name="20% - Accent6 6 6" xfId="5702"/>
    <cellStyle name="20% - Accent6 6 6 2" xfId="6461"/>
    <cellStyle name="20% - Accent6 6 6 3" xfId="6910"/>
    <cellStyle name="20% - Accent6 6 6 4" xfId="7257"/>
    <cellStyle name="20% - Accent6 6 7" xfId="6090"/>
    <cellStyle name="20% - Accent6 6 8" xfId="7236"/>
    <cellStyle name="20% - Accent6 6 9" xfId="7334"/>
    <cellStyle name="20% - Accent6 6_A7-CFlow" xfId="728"/>
    <cellStyle name="20% - Accent6 7" xfId="65"/>
    <cellStyle name="20% - Accent6 7 10" xfId="1821"/>
    <cellStyle name="20% - Accent6 7 11" xfId="5703"/>
    <cellStyle name="20% - Accent6 7 11 2" xfId="6460"/>
    <cellStyle name="20% - Accent6 7 11 3" xfId="6911"/>
    <cellStyle name="20% - Accent6 7 11 4" xfId="6774"/>
    <cellStyle name="20% - Accent6 7 12" xfId="6091"/>
    <cellStyle name="20% - Accent6 7 13" xfId="6478"/>
    <cellStyle name="20% - Accent6 7 14" xfId="6895"/>
    <cellStyle name="20% - Accent6 7 2" xfId="1822"/>
    <cellStyle name="20% - Accent6 7 2 2" xfId="5704"/>
    <cellStyle name="20% - Accent6 7 2 3" xfId="5705"/>
    <cellStyle name="20% - Accent6 7 2 4" xfId="6278"/>
    <cellStyle name="20% - Accent6 7 2 5" xfId="7071"/>
    <cellStyle name="20% - Accent6 7 2 6" xfId="6658"/>
    <cellStyle name="20% - Accent6 7 3" xfId="1823"/>
    <cellStyle name="20% - Accent6 7 4" xfId="1824"/>
    <cellStyle name="20% - Accent6 7 5" xfId="1825"/>
    <cellStyle name="20% - Accent6 7 6" xfId="1826"/>
    <cellStyle name="20% - Accent6 7 7" xfId="1827"/>
    <cellStyle name="20% - Accent6 7 8" xfId="1828"/>
    <cellStyle name="20% - Accent6 7 9" xfId="1829"/>
    <cellStyle name="20% - Accent6 7_A7-CFlow" xfId="729"/>
    <cellStyle name="20% - Accent6 8" xfId="66"/>
    <cellStyle name="20% - Accent6 8 10" xfId="6896"/>
    <cellStyle name="20% - Accent6 8 2" xfId="1830"/>
    <cellStyle name="20% - Accent6 8 2 2" xfId="5706"/>
    <cellStyle name="20% - Accent6 8 2 3" xfId="5707"/>
    <cellStyle name="20% - Accent6 8 2 4" xfId="6279"/>
    <cellStyle name="20% - Accent6 8 2 5" xfId="7070"/>
    <cellStyle name="20% - Accent6 8 2 6" xfId="6077"/>
    <cellStyle name="20% - Accent6 8 3" xfId="1831"/>
    <cellStyle name="20% - Accent6 8 4" xfId="1832"/>
    <cellStyle name="20% - Accent6 8 5" xfId="1833"/>
    <cellStyle name="20% - Accent6 8 6" xfId="1834"/>
    <cellStyle name="20% - Accent6 8 7" xfId="5708"/>
    <cellStyle name="20% - Accent6 8 7 2" xfId="6459"/>
    <cellStyle name="20% - Accent6 8 7 3" xfId="6912"/>
    <cellStyle name="20% - Accent6 8 7 4" xfId="6508"/>
    <cellStyle name="20% - Accent6 8 8" xfId="6092"/>
    <cellStyle name="20% - Accent6 8 9" xfId="6477"/>
    <cellStyle name="20% - Accent6 8_A7-CFlow" xfId="730"/>
    <cellStyle name="20% - Accent6 9" xfId="731"/>
    <cellStyle name="40% - Accent1 10" xfId="732"/>
    <cellStyle name="40% - Accent1 11" xfId="733"/>
    <cellStyle name="40% - Accent1 12" xfId="734"/>
    <cellStyle name="40% - Accent1 13" xfId="735"/>
    <cellStyle name="40% - Accent1 14" xfId="1835"/>
    <cellStyle name="40% - Accent1 15" xfId="1836"/>
    <cellStyle name="40% - Accent1 16" xfId="1837"/>
    <cellStyle name="40% - Accent1 17" xfId="5709"/>
    <cellStyle name="40% - Accent1 2" xfId="67"/>
    <cellStyle name="40% - Accent1 2 10" xfId="1838"/>
    <cellStyle name="40% - Accent1 2 11" xfId="1839"/>
    <cellStyle name="40% - Accent1 2 12" xfId="1840"/>
    <cellStyle name="40% - Accent1 2 13" xfId="1841"/>
    <cellStyle name="40% - Accent1 2 14" xfId="1842"/>
    <cellStyle name="40% - Accent1 2 15" xfId="1843"/>
    <cellStyle name="40% - Accent1 2 2" xfId="736"/>
    <cellStyle name="40% - Accent1 2 2 10" xfId="1844"/>
    <cellStyle name="40% - Accent1 2 2 2" xfId="1845"/>
    <cellStyle name="40% - Accent1 2 2 3" xfId="1846"/>
    <cellStyle name="40% - Accent1 2 2 4" xfId="1847"/>
    <cellStyle name="40% - Accent1 2 2 5" xfId="1848"/>
    <cellStyle name="40% - Accent1 2 2 6" xfId="1849"/>
    <cellStyle name="40% - Accent1 2 2 7" xfId="1850"/>
    <cellStyle name="40% - Accent1 2 2 8" xfId="1851"/>
    <cellStyle name="40% - Accent1 2 2 9" xfId="1852"/>
    <cellStyle name="40% - Accent1 2 2_Sheet1" xfId="1853"/>
    <cellStyle name="40% - Accent1 2 3" xfId="737"/>
    <cellStyle name="40% - Accent1 2 3 10" xfId="1854"/>
    <cellStyle name="40% - Accent1 2 3 2" xfId="1855"/>
    <cellStyle name="40% - Accent1 2 3 3" xfId="1856"/>
    <cellStyle name="40% - Accent1 2 3 4" xfId="1857"/>
    <cellStyle name="40% - Accent1 2 3 5" xfId="1858"/>
    <cellStyle name="40% - Accent1 2 3 6" xfId="1859"/>
    <cellStyle name="40% - Accent1 2 3 7" xfId="1860"/>
    <cellStyle name="40% - Accent1 2 3 8" xfId="1861"/>
    <cellStyle name="40% - Accent1 2 3 9" xfId="1862"/>
    <cellStyle name="40% - Accent1 2 3_Sheet1" xfId="1863"/>
    <cellStyle name="40% - Accent1 2 4" xfId="738"/>
    <cellStyle name="40% - Accent1 2 4 2" xfId="1864"/>
    <cellStyle name="40% - Accent1 2 4 3" xfId="1865"/>
    <cellStyle name="40% - Accent1 2 4 4" xfId="1866"/>
    <cellStyle name="40% - Accent1 2 4 5" xfId="1867"/>
    <cellStyle name="40% - Accent1 2 4 6" xfId="1868"/>
    <cellStyle name="40% - Accent1 2 4 7" xfId="1869"/>
    <cellStyle name="40% - Accent1 2 4 8" xfId="1870"/>
    <cellStyle name="40% - Accent1 2 4 9" xfId="1871"/>
    <cellStyle name="40% - Accent1 2 4_Sheet1" xfId="1872"/>
    <cellStyle name="40% - Accent1 2 5" xfId="739"/>
    <cellStyle name="40% - Accent1 2 6" xfId="740"/>
    <cellStyle name="40% - Accent1 2 7" xfId="741"/>
    <cellStyle name="40% - Accent1 2 8" xfId="1873"/>
    <cellStyle name="40% - Accent1 2 9" xfId="1874"/>
    <cellStyle name="40% - Accent1 2_Sheet1" xfId="1875"/>
    <cellStyle name="40% - Accent1 3" xfId="68"/>
    <cellStyle name="40% - Accent1 3 10" xfId="6096"/>
    <cellStyle name="40% - Accent1 3 11" xfId="6475"/>
    <cellStyle name="40% - Accent1 3 12" xfId="6898"/>
    <cellStyle name="40% - Accent1 3 2" xfId="1876"/>
    <cellStyle name="40% - Accent1 3 2 2" xfId="5710"/>
    <cellStyle name="40% - Accent1 3 2 3" xfId="5711"/>
    <cellStyle name="40% - Accent1 3 2 4" xfId="6280"/>
    <cellStyle name="40% - Accent1 3 2 5" xfId="7069"/>
    <cellStyle name="40% - Accent1 3 2 6" xfId="6659"/>
    <cellStyle name="40% - Accent1 3 3" xfId="1877"/>
    <cellStyle name="40% - Accent1 3 4" xfId="1878"/>
    <cellStyle name="40% - Accent1 3 5" xfId="1879"/>
    <cellStyle name="40% - Accent1 3 6" xfId="1880"/>
    <cellStyle name="40% - Accent1 3 7" xfId="1881"/>
    <cellStyle name="40% - Accent1 3 8" xfId="1882"/>
    <cellStyle name="40% - Accent1 3 9" xfId="5712"/>
    <cellStyle name="40% - Accent1 3 9 2" xfId="6458"/>
    <cellStyle name="40% - Accent1 3 9 3" xfId="6913"/>
    <cellStyle name="40% - Accent1 3 9 4" xfId="6773"/>
    <cellStyle name="40% - Accent1 3_A7-CFlow" xfId="742"/>
    <cellStyle name="40% - Accent1 4" xfId="69"/>
    <cellStyle name="40% - Accent1 4 10" xfId="6899"/>
    <cellStyle name="40% - Accent1 4 2" xfId="1883"/>
    <cellStyle name="40% - Accent1 4 2 2" xfId="5713"/>
    <cellStyle name="40% - Accent1 4 2 3" xfId="5714"/>
    <cellStyle name="40% - Accent1 4 2 4" xfId="6281"/>
    <cellStyle name="40% - Accent1 4 2 5" xfId="7221"/>
    <cellStyle name="40% - Accent1 4 2 6" xfId="7320"/>
    <cellStyle name="40% - Accent1 4 3" xfId="1884"/>
    <cellStyle name="40% - Accent1 4 4" xfId="1885"/>
    <cellStyle name="40% - Accent1 4 5" xfId="1886"/>
    <cellStyle name="40% - Accent1 4 6" xfId="1887"/>
    <cellStyle name="40% - Accent1 4 7" xfId="5715"/>
    <cellStyle name="40% - Accent1 4 7 2" xfId="6457"/>
    <cellStyle name="40% - Accent1 4 7 3" xfId="6914"/>
    <cellStyle name="40% - Accent1 4 7 4" xfId="6772"/>
    <cellStyle name="40% - Accent1 4 8" xfId="6097"/>
    <cellStyle name="40% - Accent1 4 9" xfId="6474"/>
    <cellStyle name="40% - Accent1 4_A7-CFlow" xfId="743"/>
    <cellStyle name="40% - Accent1 5" xfId="70"/>
    <cellStyle name="40% - Accent1 5 10" xfId="6900"/>
    <cellStyle name="40% - Accent1 5 2" xfId="1888"/>
    <cellStyle name="40% - Accent1 5 2 2" xfId="5716"/>
    <cellStyle name="40% - Accent1 5 2 3" xfId="5717"/>
    <cellStyle name="40% - Accent1 5 2 4" xfId="6282"/>
    <cellStyle name="40% - Accent1 5 2 5" xfId="7068"/>
    <cellStyle name="40% - Accent1 5 2 6" xfId="6660"/>
    <cellStyle name="40% - Accent1 5 3" xfId="1889"/>
    <cellStyle name="40% - Accent1 5 4" xfId="1890"/>
    <cellStyle name="40% - Accent1 5 5" xfId="1891"/>
    <cellStyle name="40% - Accent1 5 6" xfId="1892"/>
    <cellStyle name="40% - Accent1 5 7" xfId="5718"/>
    <cellStyle name="40% - Accent1 5 7 2" xfId="6235"/>
    <cellStyle name="40% - Accent1 5 7 3" xfId="7109"/>
    <cellStyle name="40% - Accent1 5 7 4" xfId="7247"/>
    <cellStyle name="40% - Accent1 5 8" xfId="6098"/>
    <cellStyle name="40% - Accent1 5 9" xfId="6473"/>
    <cellStyle name="40% - Accent1 5_A7-CFlow" xfId="744"/>
    <cellStyle name="40% - Accent1 6" xfId="71"/>
    <cellStyle name="40% - Accent1 6 2" xfId="1893"/>
    <cellStyle name="40% - Accent1 6 2 2" xfId="5719"/>
    <cellStyle name="40% - Accent1 6 2 3" xfId="5720"/>
    <cellStyle name="40% - Accent1 6 2 4" xfId="6283"/>
    <cellStyle name="40% - Accent1 6 2 5" xfId="7067"/>
    <cellStyle name="40% - Accent1 6 2 6" xfId="6661"/>
    <cellStyle name="40% - Accent1 6 3" xfId="1894"/>
    <cellStyle name="40% - Accent1 6 4" xfId="1895"/>
    <cellStyle name="40% - Accent1 6 5" xfId="1896"/>
    <cellStyle name="40% - Accent1 6 6" xfId="5721"/>
    <cellStyle name="40% - Accent1 6 6 2" xfId="6568"/>
    <cellStyle name="40% - Accent1 6 6 3" xfId="6844"/>
    <cellStyle name="40% - Accent1 6 6 4" xfId="6801"/>
    <cellStyle name="40% - Accent1 6 7" xfId="6099"/>
    <cellStyle name="40% - Accent1 6 8" xfId="6472"/>
    <cellStyle name="40% - Accent1 6 9" xfId="6545"/>
    <cellStyle name="40% - Accent1 6_A7-CFlow" xfId="745"/>
    <cellStyle name="40% - Accent1 7" xfId="72"/>
    <cellStyle name="40% - Accent1 7 10" xfId="1897"/>
    <cellStyle name="40% - Accent1 7 11" xfId="5722"/>
    <cellStyle name="40% - Accent1 7 11 2" xfId="6239"/>
    <cellStyle name="40% - Accent1 7 11 3" xfId="7106"/>
    <cellStyle name="40% - Accent1 7 11 4" xfId="6634"/>
    <cellStyle name="40% - Accent1 7 12" xfId="6100"/>
    <cellStyle name="40% - Accent1 7 13" xfId="6218"/>
    <cellStyle name="40% - Accent1 7 14" xfId="7228"/>
    <cellStyle name="40% - Accent1 7 2" xfId="1898"/>
    <cellStyle name="40% - Accent1 7 2 2" xfId="5723"/>
    <cellStyle name="40% - Accent1 7 2 3" xfId="5724"/>
    <cellStyle name="40% - Accent1 7 2 4" xfId="6284"/>
    <cellStyle name="40% - Accent1 7 2 5" xfId="7066"/>
    <cellStyle name="40% - Accent1 7 2 6" xfId="6662"/>
    <cellStyle name="40% - Accent1 7 3" xfId="1899"/>
    <cellStyle name="40% - Accent1 7 4" xfId="1900"/>
    <cellStyle name="40% - Accent1 7 5" xfId="1901"/>
    <cellStyle name="40% - Accent1 7 6" xfId="1902"/>
    <cellStyle name="40% - Accent1 7 7" xfId="1903"/>
    <cellStyle name="40% - Accent1 7 8" xfId="1904"/>
    <cellStyle name="40% - Accent1 7 9" xfId="1905"/>
    <cellStyle name="40% - Accent1 7_A7-CFlow" xfId="746"/>
    <cellStyle name="40% - Accent1 8" xfId="73"/>
    <cellStyle name="40% - Accent1 8 10" xfId="7294"/>
    <cellStyle name="40% - Accent1 8 2" xfId="1906"/>
    <cellStyle name="40% - Accent1 8 2 2" xfId="5725"/>
    <cellStyle name="40% - Accent1 8 2 3" xfId="5726"/>
    <cellStyle name="40% - Accent1 8 2 4" xfId="6285"/>
    <cellStyle name="40% - Accent1 8 2 5" xfId="7065"/>
    <cellStyle name="40% - Accent1 8 2 6" xfId="6663"/>
    <cellStyle name="40% - Accent1 8 3" xfId="1907"/>
    <cellStyle name="40% - Accent1 8 4" xfId="1908"/>
    <cellStyle name="40% - Accent1 8 5" xfId="1909"/>
    <cellStyle name="40% - Accent1 8 6" xfId="1910"/>
    <cellStyle name="40% - Accent1 8 7" xfId="5727"/>
    <cellStyle name="40% - Accent1 8 7 2" xfId="6240"/>
    <cellStyle name="40% - Accent1 8 7 3" xfId="7105"/>
    <cellStyle name="40% - Accent1 8 7 4" xfId="6635"/>
    <cellStyle name="40% - Accent1 8 8" xfId="6101"/>
    <cellStyle name="40% - Accent1 8 9" xfId="7194"/>
    <cellStyle name="40% - Accent1 8_A7-CFlow" xfId="747"/>
    <cellStyle name="40% - Accent1 9" xfId="748"/>
    <cellStyle name="40% - Accent2 10" xfId="749"/>
    <cellStyle name="40% - Accent2 11" xfId="750"/>
    <cellStyle name="40% - Accent2 12" xfId="751"/>
    <cellStyle name="40% - Accent2 13" xfId="752"/>
    <cellStyle name="40% - Accent2 14" xfId="1911"/>
    <cellStyle name="40% - Accent2 15" xfId="1912"/>
    <cellStyle name="40% - Accent2 16" xfId="1913"/>
    <cellStyle name="40% - Accent2 17" xfId="5728"/>
    <cellStyle name="40% - Accent2 2" xfId="74"/>
    <cellStyle name="40% - Accent2 2 10" xfId="1914"/>
    <cellStyle name="40% - Accent2 2 11" xfId="1915"/>
    <cellStyle name="40% - Accent2 2 12" xfId="1916"/>
    <cellStyle name="40% - Accent2 2 13" xfId="1917"/>
    <cellStyle name="40% - Accent2 2 14" xfId="1918"/>
    <cellStyle name="40% - Accent2 2 15" xfId="1919"/>
    <cellStyle name="40% - Accent2 2 2" xfId="753"/>
    <cellStyle name="40% - Accent2 2 2 10" xfId="1920"/>
    <cellStyle name="40% - Accent2 2 2 2" xfId="1921"/>
    <cellStyle name="40% - Accent2 2 2 3" xfId="1922"/>
    <cellStyle name="40% - Accent2 2 2 4" xfId="1923"/>
    <cellStyle name="40% - Accent2 2 2 5" xfId="1924"/>
    <cellStyle name="40% - Accent2 2 2 6" xfId="1925"/>
    <cellStyle name="40% - Accent2 2 2 7" xfId="1926"/>
    <cellStyle name="40% - Accent2 2 2 8" xfId="1927"/>
    <cellStyle name="40% - Accent2 2 2 9" xfId="1928"/>
    <cellStyle name="40% - Accent2 2 2_Sheet1" xfId="1929"/>
    <cellStyle name="40% - Accent2 2 3" xfId="754"/>
    <cellStyle name="40% - Accent2 2 3 10" xfId="1930"/>
    <cellStyle name="40% - Accent2 2 3 2" xfId="1931"/>
    <cellStyle name="40% - Accent2 2 3 3" xfId="1932"/>
    <cellStyle name="40% - Accent2 2 3 4" xfId="1933"/>
    <cellStyle name="40% - Accent2 2 3 5" xfId="1934"/>
    <cellStyle name="40% - Accent2 2 3 6" xfId="1935"/>
    <cellStyle name="40% - Accent2 2 3 7" xfId="1936"/>
    <cellStyle name="40% - Accent2 2 3 8" xfId="1937"/>
    <cellStyle name="40% - Accent2 2 3 9" xfId="1938"/>
    <cellStyle name="40% - Accent2 2 3_Sheet1" xfId="1939"/>
    <cellStyle name="40% - Accent2 2 4" xfId="755"/>
    <cellStyle name="40% - Accent2 2 4 2" xfId="1940"/>
    <cellStyle name="40% - Accent2 2 4 3" xfId="1941"/>
    <cellStyle name="40% - Accent2 2 4 4" xfId="1942"/>
    <cellStyle name="40% - Accent2 2 4 5" xfId="1943"/>
    <cellStyle name="40% - Accent2 2 4 6" xfId="1944"/>
    <cellStyle name="40% - Accent2 2 4 7" xfId="1945"/>
    <cellStyle name="40% - Accent2 2 4 8" xfId="1946"/>
    <cellStyle name="40% - Accent2 2 4 9" xfId="1947"/>
    <cellStyle name="40% - Accent2 2 4_Sheet1" xfId="1948"/>
    <cellStyle name="40% - Accent2 2 5" xfId="756"/>
    <cellStyle name="40% - Accent2 2 6" xfId="757"/>
    <cellStyle name="40% - Accent2 2 7" xfId="758"/>
    <cellStyle name="40% - Accent2 2 8" xfId="1949"/>
    <cellStyle name="40% - Accent2 2 9" xfId="1950"/>
    <cellStyle name="40% - Accent2 2_Sheet1" xfId="1951"/>
    <cellStyle name="40% - Accent2 3" xfId="75"/>
    <cellStyle name="40% - Accent2 3 10" xfId="6114"/>
    <cellStyle name="40% - Accent2 3 11" xfId="6217"/>
    <cellStyle name="40% - Accent2 3 12" xfId="7125"/>
    <cellStyle name="40% - Accent2 3 2" xfId="1952"/>
    <cellStyle name="40% - Accent2 3 2 2" xfId="5729"/>
    <cellStyle name="40% - Accent2 3 2 3" xfId="5730"/>
    <cellStyle name="40% - Accent2 3 2 4" xfId="6286"/>
    <cellStyle name="40% - Accent2 3 2 5" xfId="7064"/>
    <cellStyle name="40% - Accent2 3 2 6" xfId="6664"/>
    <cellStyle name="40% - Accent2 3 3" xfId="1953"/>
    <cellStyle name="40% - Accent2 3 4" xfId="1954"/>
    <cellStyle name="40% - Accent2 3 5" xfId="1955"/>
    <cellStyle name="40% - Accent2 3 6" xfId="1956"/>
    <cellStyle name="40% - Accent2 3 7" xfId="1957"/>
    <cellStyle name="40% - Accent2 3 8" xfId="1958"/>
    <cellStyle name="40% - Accent2 3 9" xfId="5731"/>
    <cellStyle name="40% - Accent2 3 9 2" xfId="6234"/>
    <cellStyle name="40% - Accent2 3 9 3" xfId="7110"/>
    <cellStyle name="40% - Accent2 3 9 4" xfId="6631"/>
    <cellStyle name="40% - Accent2 3_A7-CFlow" xfId="759"/>
    <cellStyle name="40% - Accent2 4" xfId="76"/>
    <cellStyle name="40% - Accent2 4 10" xfId="7126"/>
    <cellStyle name="40% - Accent2 4 2" xfId="1959"/>
    <cellStyle name="40% - Accent2 4 2 2" xfId="5732"/>
    <cellStyle name="40% - Accent2 4 2 3" xfId="5733"/>
    <cellStyle name="40% - Accent2 4 2 4" xfId="6287"/>
    <cellStyle name="40% - Accent2 4 2 5" xfId="7063"/>
    <cellStyle name="40% - Accent2 4 2 6" xfId="6665"/>
    <cellStyle name="40% - Accent2 4 3" xfId="1960"/>
    <cellStyle name="40% - Accent2 4 4" xfId="1961"/>
    <cellStyle name="40% - Accent2 4 5" xfId="1962"/>
    <cellStyle name="40% - Accent2 4 6" xfId="1963"/>
    <cellStyle name="40% - Accent2 4 7" xfId="5734"/>
    <cellStyle name="40% - Accent2 4 7 2" xfId="6567"/>
    <cellStyle name="40% - Accent2 4 7 3" xfId="6845"/>
    <cellStyle name="40% - Accent2 4 7 4" xfId="7259"/>
    <cellStyle name="40% - Accent2 4 8" xfId="6115"/>
    <cellStyle name="40% - Accent2 4 9" xfId="6216"/>
    <cellStyle name="40% - Accent2 4_A7-CFlow" xfId="760"/>
    <cellStyle name="40% - Accent2 5" xfId="77"/>
    <cellStyle name="40% - Accent2 5 10" xfId="7127"/>
    <cellStyle name="40% - Accent2 5 2" xfId="1964"/>
    <cellStyle name="40% - Accent2 5 2 2" xfId="5735"/>
    <cellStyle name="40% - Accent2 5 2 3" xfId="5736"/>
    <cellStyle name="40% - Accent2 5 2 4" xfId="6288"/>
    <cellStyle name="40% - Accent2 5 2 5" xfId="7062"/>
    <cellStyle name="40% - Accent2 5 2 6" xfId="6666"/>
    <cellStyle name="40% - Accent2 5 3" xfId="1965"/>
    <cellStyle name="40% - Accent2 5 4" xfId="1966"/>
    <cellStyle name="40% - Accent2 5 5" xfId="1967"/>
    <cellStyle name="40% - Accent2 5 6" xfId="1968"/>
    <cellStyle name="40% - Accent2 5 7" xfId="5737"/>
    <cellStyle name="40% - Accent2 5 7 2" xfId="6566"/>
    <cellStyle name="40% - Accent2 5 7 3" xfId="6846"/>
    <cellStyle name="40% - Accent2 5 7 4" xfId="6800"/>
    <cellStyle name="40% - Accent2 5 8" xfId="6116"/>
    <cellStyle name="40% - Accent2 5 9" xfId="6215"/>
    <cellStyle name="40% - Accent2 5_A7-CFlow" xfId="761"/>
    <cellStyle name="40% - Accent2 6" xfId="78"/>
    <cellStyle name="40% - Accent2 6 2" xfId="1969"/>
    <cellStyle name="40% - Accent2 6 2 2" xfId="5738"/>
    <cellStyle name="40% - Accent2 6 2 3" xfId="5739"/>
    <cellStyle name="40% - Accent2 6 2 4" xfId="6289"/>
    <cellStyle name="40% - Accent2 6 2 5" xfId="7061"/>
    <cellStyle name="40% - Accent2 6 2 6" xfId="6667"/>
    <cellStyle name="40% - Accent2 6 3" xfId="1970"/>
    <cellStyle name="40% - Accent2 6 4" xfId="1971"/>
    <cellStyle name="40% - Accent2 6 5" xfId="1972"/>
    <cellStyle name="40% - Accent2 6 6" xfId="5740"/>
    <cellStyle name="40% - Accent2 6 6 2" xfId="6565"/>
    <cellStyle name="40% - Accent2 6 6 3" xfId="6847"/>
    <cellStyle name="40% - Accent2 6 6 4" xfId="6799"/>
    <cellStyle name="40% - Accent2 6 7" xfId="6117"/>
    <cellStyle name="40% - Accent2 6 8" xfId="6214"/>
    <cellStyle name="40% - Accent2 6 9" xfId="7128"/>
    <cellStyle name="40% - Accent2 6_A7-CFlow" xfId="762"/>
    <cellStyle name="40% - Accent2 7" xfId="79"/>
    <cellStyle name="40% - Accent2 7 10" xfId="1973"/>
    <cellStyle name="40% - Accent2 7 11" xfId="5741"/>
    <cellStyle name="40% - Accent2 7 11 2" xfId="6564"/>
    <cellStyle name="40% - Accent2 7 11 3" xfId="6848"/>
    <cellStyle name="40% - Accent2 7 11 4" xfId="6798"/>
    <cellStyle name="40% - Accent2 7 12" xfId="6118"/>
    <cellStyle name="40% - Accent2 7 13" xfId="6213"/>
    <cellStyle name="40% - Accent2 7 14" xfId="6553"/>
    <cellStyle name="40% - Accent2 7 2" xfId="1974"/>
    <cellStyle name="40% - Accent2 7 2 2" xfId="5742"/>
    <cellStyle name="40% - Accent2 7 2 3" xfId="5743"/>
    <cellStyle name="40% - Accent2 7 2 4" xfId="6290"/>
    <cellStyle name="40% - Accent2 7 2 5" xfId="7220"/>
    <cellStyle name="40% - Accent2 7 2 6" xfId="7319"/>
    <cellStyle name="40% - Accent2 7 3" xfId="1975"/>
    <cellStyle name="40% - Accent2 7 4" xfId="1976"/>
    <cellStyle name="40% - Accent2 7 5" xfId="1977"/>
    <cellStyle name="40% - Accent2 7 6" xfId="1978"/>
    <cellStyle name="40% - Accent2 7 7" xfId="1979"/>
    <cellStyle name="40% - Accent2 7 8" xfId="1980"/>
    <cellStyle name="40% - Accent2 7 9" xfId="1981"/>
    <cellStyle name="40% - Accent2 7_A7-CFlow" xfId="763"/>
    <cellStyle name="40% - Accent2 8" xfId="80"/>
    <cellStyle name="40% - Accent2 8 10" xfId="7333"/>
    <cellStyle name="40% - Accent2 8 2" xfId="1982"/>
    <cellStyle name="40% - Accent2 8 2 2" xfId="5744"/>
    <cellStyle name="40% - Accent2 8 2 3" xfId="5745"/>
    <cellStyle name="40% - Accent2 8 2 4" xfId="6291"/>
    <cellStyle name="40% - Accent2 8 2 5" xfId="7060"/>
    <cellStyle name="40% - Accent2 8 2 6" xfId="6668"/>
    <cellStyle name="40% - Accent2 8 3" xfId="1983"/>
    <cellStyle name="40% - Accent2 8 4" xfId="1984"/>
    <cellStyle name="40% - Accent2 8 5" xfId="1985"/>
    <cellStyle name="40% - Accent2 8 6" xfId="1986"/>
    <cellStyle name="40% - Accent2 8 7" xfId="5746"/>
    <cellStyle name="40% - Accent2 8 7 2" xfId="6563"/>
    <cellStyle name="40% - Accent2 8 7 3" xfId="6849"/>
    <cellStyle name="40% - Accent2 8 7 4" xfId="6797"/>
    <cellStyle name="40% - Accent2 8 8" xfId="6119"/>
    <cellStyle name="40% - Accent2 8 9" xfId="7235"/>
    <cellStyle name="40% - Accent2 8_A7-CFlow" xfId="764"/>
    <cellStyle name="40% - Accent2 9" xfId="765"/>
    <cellStyle name="40% - Accent3 10" xfId="766"/>
    <cellStyle name="40% - Accent3 11" xfId="767"/>
    <cellStyle name="40% - Accent3 12" xfId="768"/>
    <cellStyle name="40% - Accent3 13" xfId="769"/>
    <cellStyle name="40% - Accent3 14" xfId="1987"/>
    <cellStyle name="40% - Accent3 15" xfId="1988"/>
    <cellStyle name="40% - Accent3 16" xfId="1989"/>
    <cellStyle name="40% - Accent3 17" xfId="5747"/>
    <cellStyle name="40% - Accent3 2" xfId="81"/>
    <cellStyle name="40% - Accent3 2 10" xfId="1990"/>
    <cellStyle name="40% - Accent3 2 11" xfId="1991"/>
    <cellStyle name="40% - Accent3 2 12" xfId="1992"/>
    <cellStyle name="40% - Accent3 2 13" xfId="1993"/>
    <cellStyle name="40% - Accent3 2 14" xfId="1994"/>
    <cellStyle name="40% - Accent3 2 15" xfId="1995"/>
    <cellStyle name="40% - Accent3 2 2" xfId="770"/>
    <cellStyle name="40% - Accent3 2 2 10" xfId="1996"/>
    <cellStyle name="40% - Accent3 2 2 2" xfId="1997"/>
    <cellStyle name="40% - Accent3 2 2 3" xfId="1998"/>
    <cellStyle name="40% - Accent3 2 2 4" xfId="1999"/>
    <cellStyle name="40% - Accent3 2 2 5" xfId="2000"/>
    <cellStyle name="40% - Accent3 2 2 6" xfId="2001"/>
    <cellStyle name="40% - Accent3 2 2 7" xfId="2002"/>
    <cellStyle name="40% - Accent3 2 2 8" xfId="2003"/>
    <cellStyle name="40% - Accent3 2 2 9" xfId="2004"/>
    <cellStyle name="40% - Accent3 2 2_Sheet1" xfId="2005"/>
    <cellStyle name="40% - Accent3 2 3" xfId="771"/>
    <cellStyle name="40% - Accent3 2 3 10" xfId="2006"/>
    <cellStyle name="40% - Accent3 2 3 2" xfId="2007"/>
    <cellStyle name="40% - Accent3 2 3 3" xfId="2008"/>
    <cellStyle name="40% - Accent3 2 3 4" xfId="2009"/>
    <cellStyle name="40% - Accent3 2 3 5" xfId="2010"/>
    <cellStyle name="40% - Accent3 2 3 6" xfId="2011"/>
    <cellStyle name="40% - Accent3 2 3 7" xfId="2012"/>
    <cellStyle name="40% - Accent3 2 3 8" xfId="2013"/>
    <cellStyle name="40% - Accent3 2 3 9" xfId="2014"/>
    <cellStyle name="40% - Accent3 2 3_Sheet1" xfId="2015"/>
    <cellStyle name="40% - Accent3 2 4" xfId="772"/>
    <cellStyle name="40% - Accent3 2 4 2" xfId="2016"/>
    <cellStyle name="40% - Accent3 2 4 3" xfId="2017"/>
    <cellStyle name="40% - Accent3 2 4 4" xfId="2018"/>
    <cellStyle name="40% - Accent3 2 4 5" xfId="2019"/>
    <cellStyle name="40% - Accent3 2 4 6" xfId="2020"/>
    <cellStyle name="40% - Accent3 2 4 7" xfId="2021"/>
    <cellStyle name="40% - Accent3 2 4 8" xfId="2022"/>
    <cellStyle name="40% - Accent3 2 4 9" xfId="2023"/>
    <cellStyle name="40% - Accent3 2 4_Sheet1" xfId="2024"/>
    <cellStyle name="40% - Accent3 2 5" xfId="773"/>
    <cellStyle name="40% - Accent3 2 6" xfId="774"/>
    <cellStyle name="40% - Accent3 2 7" xfId="775"/>
    <cellStyle name="40% - Accent3 2 8" xfId="2025"/>
    <cellStyle name="40% - Accent3 2 9" xfId="2026"/>
    <cellStyle name="40% - Accent3 2_Sheet1" xfId="2027"/>
    <cellStyle name="40% - Accent3 3" xfId="82"/>
    <cellStyle name="40% - Accent3 3 10" xfId="2028"/>
    <cellStyle name="40% - Accent3 3 11" xfId="2029"/>
    <cellStyle name="40% - Accent3 3 12" xfId="2030"/>
    <cellStyle name="40% - Accent3 3 13" xfId="2031"/>
    <cellStyle name="40% - Accent3 3 14" xfId="5748"/>
    <cellStyle name="40% - Accent3 3 14 2" xfId="6562"/>
    <cellStyle name="40% - Accent3 3 14 3" xfId="6850"/>
    <cellStyle name="40% - Accent3 3 14 4" xfId="6139"/>
    <cellStyle name="40% - Accent3 3 15" xfId="6125"/>
    <cellStyle name="40% - Accent3 3 16" xfId="7193"/>
    <cellStyle name="40% - Accent3 3 17" xfId="7293"/>
    <cellStyle name="40% - Accent3 3 2" xfId="2032"/>
    <cellStyle name="40% - Accent3 3 2 2" xfId="2033"/>
    <cellStyle name="40% - Accent3 3 2 3" xfId="5749"/>
    <cellStyle name="40% - Accent3 3 2 4" xfId="6292"/>
    <cellStyle name="40% - Accent3 3 2 5" xfId="7059"/>
    <cellStyle name="40% - Accent3 3 2 6" xfId="6078"/>
    <cellStyle name="40% - Accent3 3 2_Sheet1" xfId="2034"/>
    <cellStyle name="40% - Accent3 3 3" xfId="2035"/>
    <cellStyle name="40% - Accent3 3 3 2" xfId="2036"/>
    <cellStyle name="40% - Accent3 3 3_Sheet1" xfId="2037"/>
    <cellStyle name="40% - Accent3 3 4" xfId="2038"/>
    <cellStyle name="40% - Accent3 3 5" xfId="2039"/>
    <cellStyle name="40% - Accent3 3 6" xfId="2040"/>
    <cellStyle name="40% - Accent3 3 7" xfId="2041"/>
    <cellStyle name="40% - Accent3 3 8" xfId="2042"/>
    <cellStyle name="40% - Accent3 3 9" xfId="2043"/>
    <cellStyle name="40% - Accent3 3_A7-CFlow" xfId="776"/>
    <cellStyle name="40% - Accent3 4" xfId="83"/>
    <cellStyle name="40% - Accent3 4 10" xfId="7192"/>
    <cellStyle name="40% - Accent3 4 11" xfId="7292"/>
    <cellStyle name="40% - Accent3 4 2" xfId="2044"/>
    <cellStyle name="40% - Accent3 4 2 2" xfId="5750"/>
    <cellStyle name="40% - Accent3 4 2 3" xfId="5751"/>
    <cellStyle name="40% - Accent3 4 2 4" xfId="6293"/>
    <cellStyle name="40% - Accent3 4 2 5" xfId="7058"/>
    <cellStyle name="40% - Accent3 4 2 6" xfId="6669"/>
    <cellStyle name="40% - Accent3 4 3" xfId="2045"/>
    <cellStyle name="40% - Accent3 4 4" xfId="2046"/>
    <cellStyle name="40% - Accent3 4 5" xfId="2047"/>
    <cellStyle name="40% - Accent3 4 6" xfId="2048"/>
    <cellStyle name="40% - Accent3 4 7" xfId="2049"/>
    <cellStyle name="40% - Accent3 4 8" xfId="5752"/>
    <cellStyle name="40% - Accent3 4 8 2" xfId="6456"/>
    <cellStyle name="40% - Accent3 4 8 3" xfId="6915"/>
    <cellStyle name="40% - Accent3 4 8 4" xfId="6771"/>
    <cellStyle name="40% - Accent3 4 9" xfId="6126"/>
    <cellStyle name="40% - Accent3 4_A7-CFlow" xfId="777"/>
    <cellStyle name="40% - Accent3 5" xfId="84"/>
    <cellStyle name="40% - Accent3 5 10" xfId="7291"/>
    <cellStyle name="40% - Accent3 5 2" xfId="2050"/>
    <cellStyle name="40% - Accent3 5 2 2" xfId="5753"/>
    <cellStyle name="40% - Accent3 5 2 3" xfId="5754"/>
    <cellStyle name="40% - Accent3 5 2 4" xfId="6294"/>
    <cellStyle name="40% - Accent3 5 2 5" xfId="7057"/>
    <cellStyle name="40% - Accent3 5 2 6" xfId="6670"/>
    <cellStyle name="40% - Accent3 5 3" xfId="2051"/>
    <cellStyle name="40% - Accent3 5 4" xfId="2052"/>
    <cellStyle name="40% - Accent3 5 5" xfId="2053"/>
    <cellStyle name="40% - Accent3 5 6" xfId="2054"/>
    <cellStyle name="40% - Accent3 5 7" xfId="5755"/>
    <cellStyle name="40% - Accent3 5 7 2" xfId="6455"/>
    <cellStyle name="40% - Accent3 5 7 3" xfId="6916"/>
    <cellStyle name="40% - Accent3 5 7 4" xfId="7256"/>
    <cellStyle name="40% - Accent3 5 8" xfId="6127"/>
    <cellStyle name="40% - Accent3 5 9" xfId="7191"/>
    <cellStyle name="40% - Accent3 5_A7-CFlow" xfId="778"/>
    <cellStyle name="40% - Accent3 6" xfId="85"/>
    <cellStyle name="40% - Accent3 6 10" xfId="7290"/>
    <cellStyle name="40% - Accent3 6 2" xfId="2055"/>
    <cellStyle name="40% - Accent3 6 2 2" xfId="5756"/>
    <cellStyle name="40% - Accent3 6 2 3" xfId="5757"/>
    <cellStyle name="40% - Accent3 6 2 4" xfId="6295"/>
    <cellStyle name="40% - Accent3 6 2 5" xfId="7056"/>
    <cellStyle name="40% - Accent3 6 2 6" xfId="6671"/>
    <cellStyle name="40% - Accent3 6 3" xfId="2056"/>
    <cellStyle name="40% - Accent3 6 4" xfId="2057"/>
    <cellStyle name="40% - Accent3 6 5" xfId="2058"/>
    <cellStyle name="40% - Accent3 6 6" xfId="2059"/>
    <cellStyle name="40% - Accent3 6 7" xfId="5758"/>
    <cellStyle name="40% - Accent3 6 7 2" xfId="6454"/>
    <cellStyle name="40% - Accent3 6 7 3" xfId="6917"/>
    <cellStyle name="40% - Accent3 6 7 4" xfId="6770"/>
    <cellStyle name="40% - Accent3 6 8" xfId="6128"/>
    <cellStyle name="40% - Accent3 6 9" xfId="7190"/>
    <cellStyle name="40% - Accent3 6_A7-CFlow" xfId="779"/>
    <cellStyle name="40% - Accent3 7" xfId="86"/>
    <cellStyle name="40% - Accent3 7 10" xfId="2060"/>
    <cellStyle name="40% - Accent3 7 11" xfId="5759"/>
    <cellStyle name="40% - Accent3 7 11 2" xfId="6453"/>
    <cellStyle name="40% - Accent3 7 11 3" xfId="6918"/>
    <cellStyle name="40% - Accent3 7 11 4" xfId="6507"/>
    <cellStyle name="40% - Accent3 7 12" xfId="6129"/>
    <cellStyle name="40% - Accent3 7 13" xfId="7189"/>
    <cellStyle name="40% - Accent3 7 14" xfId="7289"/>
    <cellStyle name="40% - Accent3 7 2" xfId="2061"/>
    <cellStyle name="40% - Accent3 7 2 2" xfId="5760"/>
    <cellStyle name="40% - Accent3 7 2 3" xfId="5761"/>
    <cellStyle name="40% - Accent3 7 2 4" xfId="6296"/>
    <cellStyle name="40% - Accent3 7 2 5" xfId="7055"/>
    <cellStyle name="40% - Accent3 7 2 6" xfId="6672"/>
    <cellStyle name="40% - Accent3 7 3" xfId="2062"/>
    <cellStyle name="40% - Accent3 7 4" xfId="2063"/>
    <cellStyle name="40% - Accent3 7 5" xfId="2064"/>
    <cellStyle name="40% - Accent3 7 6" xfId="2065"/>
    <cellStyle name="40% - Accent3 7 7" xfId="2066"/>
    <cellStyle name="40% - Accent3 7 8" xfId="2067"/>
    <cellStyle name="40% - Accent3 7 9" xfId="2068"/>
    <cellStyle name="40% - Accent3 7_A7-CFlow" xfId="780"/>
    <cellStyle name="40% - Accent3 8" xfId="87"/>
    <cellStyle name="40% - Accent3 8 10" xfId="7288"/>
    <cellStyle name="40% - Accent3 8 2" xfId="2069"/>
    <cellStyle name="40% - Accent3 8 2 2" xfId="5762"/>
    <cellStyle name="40% - Accent3 8 2 3" xfId="5763"/>
    <cellStyle name="40% - Accent3 8 2 4" xfId="6297"/>
    <cellStyle name="40% - Accent3 8 2 5" xfId="7054"/>
    <cellStyle name="40% - Accent3 8 2 6" xfId="6673"/>
    <cellStyle name="40% - Accent3 8 3" xfId="2070"/>
    <cellStyle name="40% - Accent3 8 4" xfId="2071"/>
    <cellStyle name="40% - Accent3 8 5" xfId="2072"/>
    <cellStyle name="40% - Accent3 8 6" xfId="2073"/>
    <cellStyle name="40% - Accent3 8 7" xfId="5764"/>
    <cellStyle name="40% - Accent3 8 7 2" xfId="6452"/>
    <cellStyle name="40% - Accent3 8 7 3" xfId="6919"/>
    <cellStyle name="40% - Accent3 8 7 4" xfId="6769"/>
    <cellStyle name="40% - Accent3 8 8" xfId="6130"/>
    <cellStyle name="40% - Accent3 8 9" xfId="7188"/>
    <cellStyle name="40% - Accent3 8_A7-CFlow" xfId="781"/>
    <cellStyle name="40% - Accent3 9" xfId="782"/>
    <cellStyle name="40% - Accent4 10" xfId="783"/>
    <cellStyle name="40% - Accent4 11" xfId="784"/>
    <cellStyle name="40% - Accent4 12" xfId="785"/>
    <cellStyle name="40% - Accent4 13" xfId="786"/>
    <cellStyle name="40% - Accent4 14" xfId="2074"/>
    <cellStyle name="40% - Accent4 15" xfId="2075"/>
    <cellStyle name="40% - Accent4 16" xfId="2076"/>
    <cellStyle name="40% - Accent4 17" xfId="5765"/>
    <cellStyle name="40% - Accent4 2" xfId="88"/>
    <cellStyle name="40% - Accent4 2 10" xfId="2077"/>
    <cellStyle name="40% - Accent4 2 11" xfId="2078"/>
    <cellStyle name="40% - Accent4 2 12" xfId="2079"/>
    <cellStyle name="40% - Accent4 2 13" xfId="2080"/>
    <cellStyle name="40% - Accent4 2 14" xfId="2081"/>
    <cellStyle name="40% - Accent4 2 15" xfId="2082"/>
    <cellStyle name="40% - Accent4 2 2" xfId="787"/>
    <cellStyle name="40% - Accent4 2 2 10" xfId="2083"/>
    <cellStyle name="40% - Accent4 2 2 2" xfId="2084"/>
    <cellStyle name="40% - Accent4 2 2 3" xfId="2085"/>
    <cellStyle name="40% - Accent4 2 2 4" xfId="2086"/>
    <cellStyle name="40% - Accent4 2 2 5" xfId="2087"/>
    <cellStyle name="40% - Accent4 2 2 6" xfId="2088"/>
    <cellStyle name="40% - Accent4 2 2 7" xfId="2089"/>
    <cellStyle name="40% - Accent4 2 2 8" xfId="2090"/>
    <cellStyle name="40% - Accent4 2 2 9" xfId="2091"/>
    <cellStyle name="40% - Accent4 2 2_Sheet1" xfId="2092"/>
    <cellStyle name="40% - Accent4 2 3" xfId="788"/>
    <cellStyle name="40% - Accent4 2 3 10" xfId="2093"/>
    <cellStyle name="40% - Accent4 2 3 2" xfId="2094"/>
    <cellStyle name="40% - Accent4 2 3 3" xfId="2095"/>
    <cellStyle name="40% - Accent4 2 3 4" xfId="2096"/>
    <cellStyle name="40% - Accent4 2 3 5" xfId="2097"/>
    <cellStyle name="40% - Accent4 2 3 6" xfId="2098"/>
    <cellStyle name="40% - Accent4 2 3 7" xfId="2099"/>
    <cellStyle name="40% - Accent4 2 3 8" xfId="2100"/>
    <cellStyle name="40% - Accent4 2 3 9" xfId="2101"/>
    <cellStyle name="40% - Accent4 2 3_Sheet1" xfId="2102"/>
    <cellStyle name="40% - Accent4 2 4" xfId="789"/>
    <cellStyle name="40% - Accent4 2 4 2" xfId="2103"/>
    <cellStyle name="40% - Accent4 2 4 3" xfId="2104"/>
    <cellStyle name="40% - Accent4 2 4 4" xfId="2105"/>
    <cellStyle name="40% - Accent4 2 4 5" xfId="2106"/>
    <cellStyle name="40% - Accent4 2 4 6" xfId="2107"/>
    <cellStyle name="40% - Accent4 2 4 7" xfId="2108"/>
    <cellStyle name="40% - Accent4 2 4 8" xfId="2109"/>
    <cellStyle name="40% - Accent4 2 4 9" xfId="2110"/>
    <cellStyle name="40% - Accent4 2 4_Sheet1" xfId="2111"/>
    <cellStyle name="40% - Accent4 2 5" xfId="790"/>
    <cellStyle name="40% - Accent4 2 6" xfId="791"/>
    <cellStyle name="40% - Accent4 2 7" xfId="792"/>
    <cellStyle name="40% - Accent4 2 8" xfId="2112"/>
    <cellStyle name="40% - Accent4 2 9" xfId="2113"/>
    <cellStyle name="40% - Accent4 2_Sheet1" xfId="2114"/>
    <cellStyle name="40% - Accent4 3" xfId="89"/>
    <cellStyle name="40% - Accent4 3 10" xfId="6140"/>
    <cellStyle name="40% - Accent4 3 11" xfId="7187"/>
    <cellStyle name="40% - Accent4 3 12" xfId="7287"/>
    <cellStyle name="40% - Accent4 3 2" xfId="2115"/>
    <cellStyle name="40% - Accent4 3 2 2" xfId="5766"/>
    <cellStyle name="40% - Accent4 3 2 3" xfId="5767"/>
    <cellStyle name="40% - Accent4 3 2 4" xfId="6298"/>
    <cellStyle name="40% - Accent4 3 2 5" xfId="7053"/>
    <cellStyle name="40% - Accent4 3 2 6" xfId="6674"/>
    <cellStyle name="40% - Accent4 3 3" xfId="2116"/>
    <cellStyle name="40% - Accent4 3 4" xfId="2117"/>
    <cellStyle name="40% - Accent4 3 5" xfId="2118"/>
    <cellStyle name="40% - Accent4 3 6" xfId="2119"/>
    <cellStyle name="40% - Accent4 3 7" xfId="2120"/>
    <cellStyle name="40% - Accent4 3 8" xfId="2121"/>
    <cellStyle name="40% - Accent4 3 9" xfId="5768"/>
    <cellStyle name="40% - Accent4 3 9 2" xfId="6451"/>
    <cellStyle name="40% - Accent4 3 9 3" xfId="6920"/>
    <cellStyle name="40% - Accent4 3 9 4" xfId="6768"/>
    <cellStyle name="40% - Accent4 3_A7-CFlow" xfId="793"/>
    <cellStyle name="40% - Accent4 4" xfId="90"/>
    <cellStyle name="40% - Accent4 4 10" xfId="7129"/>
    <cellStyle name="40% - Accent4 4 2" xfId="2122"/>
    <cellStyle name="40% - Accent4 4 2 2" xfId="5769"/>
    <cellStyle name="40% - Accent4 4 2 3" xfId="5770"/>
    <cellStyle name="40% - Accent4 4 2 4" xfId="6299"/>
    <cellStyle name="40% - Accent4 4 2 5" xfId="6551"/>
    <cellStyle name="40% - Accent4 4 2 6" xfId="7211"/>
    <cellStyle name="40% - Accent4 4 3" xfId="2123"/>
    <cellStyle name="40% - Accent4 4 4" xfId="2124"/>
    <cellStyle name="40% - Accent4 4 5" xfId="2125"/>
    <cellStyle name="40% - Accent4 4 6" xfId="2126"/>
    <cellStyle name="40% - Accent4 4 7" xfId="5771"/>
    <cellStyle name="40% - Accent4 4 7 2" xfId="6450"/>
    <cellStyle name="40% - Accent4 4 7 3" xfId="6921"/>
    <cellStyle name="40% - Accent4 4 7 4" xfId="6767"/>
    <cellStyle name="40% - Accent4 4 8" xfId="6141"/>
    <cellStyle name="40% - Accent4 4 9" xfId="6212"/>
    <cellStyle name="40% - Accent4 4_A7-CFlow" xfId="794"/>
    <cellStyle name="40% - Accent4 5" xfId="91"/>
    <cellStyle name="40% - Accent4 5 10" xfId="7130"/>
    <cellStyle name="40% - Accent4 5 2" xfId="2127"/>
    <cellStyle name="40% - Accent4 5 2 2" xfId="5772"/>
    <cellStyle name="40% - Accent4 5 2 3" xfId="5773"/>
    <cellStyle name="40% - Accent4 5 2 4" xfId="6300"/>
    <cellStyle name="40% - Accent4 5 2 5" xfId="7052"/>
    <cellStyle name="40% - Accent4 5 2 6" xfId="6675"/>
    <cellStyle name="40% - Accent4 5 3" xfId="2128"/>
    <cellStyle name="40% - Accent4 5 4" xfId="2129"/>
    <cellStyle name="40% - Accent4 5 5" xfId="2130"/>
    <cellStyle name="40% - Accent4 5 6" xfId="2131"/>
    <cellStyle name="40% - Accent4 5 7" xfId="5774"/>
    <cellStyle name="40% - Accent4 5 7 2" xfId="6561"/>
    <cellStyle name="40% - Accent4 5 7 3" xfId="6544"/>
    <cellStyle name="40% - Accent4 5 7 4" xfId="6861"/>
    <cellStyle name="40% - Accent4 5 8" xfId="6142"/>
    <cellStyle name="40% - Accent4 5 9" xfId="6211"/>
    <cellStyle name="40% - Accent4 5_A7-CFlow" xfId="795"/>
    <cellStyle name="40% - Accent4 6" xfId="92"/>
    <cellStyle name="40% - Accent4 6 2" xfId="2132"/>
    <cellStyle name="40% - Accent4 6 2 2" xfId="5775"/>
    <cellStyle name="40% - Accent4 6 2 3" xfId="5776"/>
    <cellStyle name="40% - Accent4 6 2 4" xfId="6301"/>
    <cellStyle name="40% - Accent4 6 2 5" xfId="7051"/>
    <cellStyle name="40% - Accent4 6 2 6" xfId="6676"/>
    <cellStyle name="40% - Accent4 6 3" xfId="2133"/>
    <cellStyle name="40% - Accent4 6 4" xfId="2134"/>
    <cellStyle name="40% - Accent4 6 5" xfId="2135"/>
    <cellStyle name="40% - Accent4 6 6" xfId="5777"/>
    <cellStyle name="40% - Accent4 6 6 2" xfId="6560"/>
    <cellStyle name="40% - Accent4 6 6 3" xfId="6851"/>
    <cellStyle name="40% - Accent4 6 6 4" xfId="6138"/>
    <cellStyle name="40% - Accent4 6 7" xfId="6143"/>
    <cellStyle name="40% - Accent4 6 8" xfId="6210"/>
    <cellStyle name="40% - Accent4 6 9" xfId="7131"/>
    <cellStyle name="40% - Accent4 6_A7-CFlow" xfId="796"/>
    <cellStyle name="40% - Accent4 7" xfId="93"/>
    <cellStyle name="40% - Accent4 7 10" xfId="2136"/>
    <cellStyle name="40% - Accent4 7 11" xfId="5778"/>
    <cellStyle name="40% - Accent4 7 11 2" xfId="6559"/>
    <cellStyle name="40% - Accent4 7 11 3" xfId="7263"/>
    <cellStyle name="40% - Accent4 7 11 4" xfId="7340"/>
    <cellStyle name="40% - Accent4 7 12" xfId="6144"/>
    <cellStyle name="40% - Accent4 7 13" xfId="6209"/>
    <cellStyle name="40% - Accent4 7 14" xfId="7132"/>
    <cellStyle name="40% - Accent4 7 2" xfId="2137"/>
    <cellStyle name="40% - Accent4 7 2 2" xfId="5779"/>
    <cellStyle name="40% - Accent4 7 2 3" xfId="5780"/>
    <cellStyle name="40% - Accent4 7 2 4" xfId="6302"/>
    <cellStyle name="40% - Accent4 7 2 5" xfId="7050"/>
    <cellStyle name="40% - Accent4 7 2 6" xfId="6677"/>
    <cellStyle name="40% - Accent4 7 3" xfId="2138"/>
    <cellStyle name="40% - Accent4 7 4" xfId="2139"/>
    <cellStyle name="40% - Accent4 7 5" xfId="2140"/>
    <cellStyle name="40% - Accent4 7 6" xfId="2141"/>
    <cellStyle name="40% - Accent4 7 7" xfId="2142"/>
    <cellStyle name="40% - Accent4 7 8" xfId="2143"/>
    <cellStyle name="40% - Accent4 7 9" xfId="2144"/>
    <cellStyle name="40% - Accent4 7_A7-CFlow" xfId="797"/>
    <cellStyle name="40% - Accent4 8" xfId="94"/>
    <cellStyle name="40% - Accent4 8 10" xfId="6903"/>
    <cellStyle name="40% - Accent4 8 2" xfId="2145"/>
    <cellStyle name="40% - Accent4 8 2 2" xfId="5781"/>
    <cellStyle name="40% - Accent4 8 2 3" xfId="5782"/>
    <cellStyle name="40% - Accent4 8 2 4" xfId="6303"/>
    <cellStyle name="40% - Accent4 8 2 5" xfId="7049"/>
    <cellStyle name="40% - Accent4 8 2 6" xfId="6678"/>
    <cellStyle name="40% - Accent4 8 3" xfId="2146"/>
    <cellStyle name="40% - Accent4 8 4" xfId="2147"/>
    <cellStyle name="40% - Accent4 8 5" xfId="2148"/>
    <cellStyle name="40% - Accent4 8 6" xfId="2149"/>
    <cellStyle name="40% - Accent4 8 7" xfId="5783"/>
    <cellStyle name="40% - Accent4 8 7 2" xfId="6558"/>
    <cellStyle name="40% - Accent4 8 7 3" xfId="6852"/>
    <cellStyle name="40% - Accent4 8 7 4" xfId="6137"/>
    <cellStyle name="40% - Accent4 8 8" xfId="6145"/>
    <cellStyle name="40% - Accent4 8 9" xfId="6468"/>
    <cellStyle name="40% - Accent4 8_A7-CFlow" xfId="798"/>
    <cellStyle name="40% - Accent4 9" xfId="799"/>
    <cellStyle name="40% - Accent5 10" xfId="800"/>
    <cellStyle name="40% - Accent5 11" xfId="801"/>
    <cellStyle name="40% - Accent5 12" xfId="802"/>
    <cellStyle name="40% - Accent5 13" xfId="803"/>
    <cellStyle name="40% - Accent5 14" xfId="2150"/>
    <cellStyle name="40% - Accent5 15" xfId="2151"/>
    <cellStyle name="40% - Accent5 16" xfId="2152"/>
    <cellStyle name="40% - Accent5 17" xfId="5784"/>
    <cellStyle name="40% - Accent5 2" xfId="95"/>
    <cellStyle name="40% - Accent5 2 10" xfId="2153"/>
    <cellStyle name="40% - Accent5 2 11" xfId="2154"/>
    <cellStyle name="40% - Accent5 2 12" xfId="2155"/>
    <cellStyle name="40% - Accent5 2 13" xfId="2156"/>
    <cellStyle name="40% - Accent5 2 14" xfId="2157"/>
    <cellStyle name="40% - Accent5 2 15" xfId="2158"/>
    <cellStyle name="40% - Accent5 2 2" xfId="804"/>
    <cellStyle name="40% - Accent5 2 2 10" xfId="2159"/>
    <cellStyle name="40% - Accent5 2 2 2" xfId="2160"/>
    <cellStyle name="40% - Accent5 2 2 3" xfId="2161"/>
    <cellStyle name="40% - Accent5 2 2 4" xfId="2162"/>
    <cellStyle name="40% - Accent5 2 2 5" xfId="2163"/>
    <cellStyle name="40% - Accent5 2 2 6" xfId="2164"/>
    <cellStyle name="40% - Accent5 2 2 7" xfId="2165"/>
    <cellStyle name="40% - Accent5 2 2 8" xfId="2166"/>
    <cellStyle name="40% - Accent5 2 2 9" xfId="2167"/>
    <cellStyle name="40% - Accent5 2 2_Sheet1" xfId="2168"/>
    <cellStyle name="40% - Accent5 2 3" xfId="805"/>
    <cellStyle name="40% - Accent5 2 3 10" xfId="2169"/>
    <cellStyle name="40% - Accent5 2 3 2" xfId="2170"/>
    <cellStyle name="40% - Accent5 2 3 3" xfId="2171"/>
    <cellStyle name="40% - Accent5 2 3 4" xfId="2172"/>
    <cellStyle name="40% - Accent5 2 3 5" xfId="2173"/>
    <cellStyle name="40% - Accent5 2 3 6" xfId="2174"/>
    <cellStyle name="40% - Accent5 2 3 7" xfId="2175"/>
    <cellStyle name="40% - Accent5 2 3 8" xfId="2176"/>
    <cellStyle name="40% - Accent5 2 3 9" xfId="2177"/>
    <cellStyle name="40% - Accent5 2 3_Sheet1" xfId="2178"/>
    <cellStyle name="40% - Accent5 2 4" xfId="806"/>
    <cellStyle name="40% - Accent5 2 4 2" xfId="2179"/>
    <cellStyle name="40% - Accent5 2 4 3" xfId="2180"/>
    <cellStyle name="40% - Accent5 2 4 4" xfId="2181"/>
    <cellStyle name="40% - Accent5 2 4 5" xfId="2182"/>
    <cellStyle name="40% - Accent5 2 4 6" xfId="2183"/>
    <cellStyle name="40% - Accent5 2 4 7" xfId="2184"/>
    <cellStyle name="40% - Accent5 2 4 8" xfId="2185"/>
    <cellStyle name="40% - Accent5 2 4 9" xfId="2186"/>
    <cellStyle name="40% - Accent5 2 4_Sheet1" xfId="2187"/>
    <cellStyle name="40% - Accent5 2 5" xfId="807"/>
    <cellStyle name="40% - Accent5 2 6" xfId="808"/>
    <cellStyle name="40% - Accent5 2 7" xfId="809"/>
    <cellStyle name="40% - Accent5 2 8" xfId="2188"/>
    <cellStyle name="40% - Accent5 2 9" xfId="2189"/>
    <cellStyle name="40% - Accent5 2_Sheet1" xfId="2190"/>
    <cellStyle name="40% - Accent5 3" xfId="96"/>
    <cellStyle name="40% - Accent5 3 10" xfId="6146"/>
    <cellStyle name="40% - Accent5 3 11" xfId="7186"/>
    <cellStyle name="40% - Accent5 3 12" xfId="7286"/>
    <cellStyle name="40% - Accent5 3 2" xfId="2191"/>
    <cellStyle name="40% - Accent5 3 2 2" xfId="5785"/>
    <cellStyle name="40% - Accent5 3 2 3" xfId="5786"/>
    <cellStyle name="40% - Accent5 3 2 4" xfId="6304"/>
    <cellStyle name="40% - Accent5 3 2 5" xfId="7048"/>
    <cellStyle name="40% - Accent5 3 2 6" xfId="6079"/>
    <cellStyle name="40% - Accent5 3 3" xfId="2192"/>
    <cellStyle name="40% - Accent5 3 4" xfId="2193"/>
    <cellStyle name="40% - Accent5 3 5" xfId="2194"/>
    <cellStyle name="40% - Accent5 3 6" xfId="2195"/>
    <cellStyle name="40% - Accent5 3 7" xfId="2196"/>
    <cellStyle name="40% - Accent5 3 8" xfId="2197"/>
    <cellStyle name="40% - Accent5 3 9" xfId="5787"/>
    <cellStyle name="40% - Accent5 3 9 2" xfId="6557"/>
    <cellStyle name="40% - Accent5 3 9 3" xfId="6853"/>
    <cellStyle name="40% - Accent5 3 9 4" xfId="6796"/>
    <cellStyle name="40% - Accent5 3_A7-CFlow" xfId="810"/>
    <cellStyle name="40% - Accent5 4" xfId="97"/>
    <cellStyle name="40% - Accent5 4 10" xfId="7285"/>
    <cellStyle name="40% - Accent5 4 2" xfId="2198"/>
    <cellStyle name="40% - Accent5 4 2 2" xfId="5788"/>
    <cellStyle name="40% - Accent5 4 2 3" xfId="5789"/>
    <cellStyle name="40% - Accent5 4 2 4" xfId="6305"/>
    <cellStyle name="40% - Accent5 4 2 5" xfId="7047"/>
    <cellStyle name="40% - Accent5 4 2 6" xfId="6679"/>
    <cellStyle name="40% - Accent5 4 3" xfId="2199"/>
    <cellStyle name="40% - Accent5 4 4" xfId="2200"/>
    <cellStyle name="40% - Accent5 4 5" xfId="2201"/>
    <cellStyle name="40% - Accent5 4 6" xfId="2202"/>
    <cellStyle name="40% - Accent5 4 7" xfId="5790"/>
    <cellStyle name="40% - Accent5 4 7 2" xfId="6556"/>
    <cellStyle name="40% - Accent5 4 7 3" xfId="6854"/>
    <cellStyle name="40% - Accent5 4 7 4" xfId="6795"/>
    <cellStyle name="40% - Accent5 4 8" xfId="6147"/>
    <cellStyle name="40% - Accent5 4 9" xfId="7185"/>
    <cellStyle name="40% - Accent5 4_A7-CFlow" xfId="811"/>
    <cellStyle name="40% - Accent5 5" xfId="98"/>
    <cellStyle name="40% - Accent5 5 10" xfId="7284"/>
    <cellStyle name="40% - Accent5 5 2" xfId="2203"/>
    <cellStyle name="40% - Accent5 5 2 2" xfId="5791"/>
    <cellStyle name="40% - Accent5 5 2 3" xfId="5792"/>
    <cellStyle name="40% - Accent5 5 2 4" xfId="6306"/>
    <cellStyle name="40% - Accent5 5 2 5" xfId="7271"/>
    <cellStyle name="40% - Accent5 5 2 6" xfId="7345"/>
    <cellStyle name="40% - Accent5 5 3" xfId="2204"/>
    <cellStyle name="40% - Accent5 5 4" xfId="2205"/>
    <cellStyle name="40% - Accent5 5 5" xfId="2206"/>
    <cellStyle name="40% - Accent5 5 6" xfId="2207"/>
    <cellStyle name="40% - Accent5 5 7" xfId="5793"/>
    <cellStyle name="40% - Accent5 5 7 2" xfId="6555"/>
    <cellStyle name="40% - Accent5 5 7 3" xfId="6855"/>
    <cellStyle name="40% - Accent5 5 7 4" xfId="6794"/>
    <cellStyle name="40% - Accent5 5 8" xfId="6148"/>
    <cellStyle name="40% - Accent5 5 9" xfId="7184"/>
    <cellStyle name="40% - Accent5 5_A7-CFlow" xfId="812"/>
    <cellStyle name="40% - Accent5 6" xfId="99"/>
    <cellStyle name="40% - Accent5 6 2" xfId="2208"/>
    <cellStyle name="40% - Accent5 6 2 2" xfId="5794"/>
    <cellStyle name="40% - Accent5 6 2 3" xfId="5795"/>
    <cellStyle name="40% - Accent5 6 2 4" xfId="6307"/>
    <cellStyle name="40% - Accent5 6 2 5" xfId="7046"/>
    <cellStyle name="40% - Accent5 6 2 6" xfId="6680"/>
    <cellStyle name="40% - Accent5 6 3" xfId="2209"/>
    <cellStyle name="40% - Accent5 6 4" xfId="2210"/>
    <cellStyle name="40% - Accent5 6 5" xfId="2211"/>
    <cellStyle name="40% - Accent5 6 6" xfId="5796"/>
    <cellStyle name="40% - Accent5 6 6 2" xfId="6554"/>
    <cellStyle name="40% - Accent5 6 6 3" xfId="6856"/>
    <cellStyle name="40% - Accent5 6 6 4" xfId="6793"/>
    <cellStyle name="40% - Accent5 6 7" xfId="6149"/>
    <cellStyle name="40% - Accent5 6 8" xfId="6467"/>
    <cellStyle name="40% - Accent5 6 9" xfId="6904"/>
    <cellStyle name="40% - Accent5 6_A7-CFlow" xfId="813"/>
    <cellStyle name="40% - Accent5 7" xfId="100"/>
    <cellStyle name="40% - Accent5 7 10" xfId="2212"/>
    <cellStyle name="40% - Accent5 7 11" xfId="5797"/>
    <cellStyle name="40% - Accent5 7 11 2" xfId="6552"/>
    <cellStyle name="40% - Accent5 7 11 3" xfId="6350"/>
    <cellStyle name="40% - Accent5 7 11 4" xfId="7010"/>
    <cellStyle name="40% - Accent5 7 12" xfId="6150"/>
    <cellStyle name="40% - Accent5 7 13" xfId="7183"/>
    <cellStyle name="40% - Accent5 7 14" xfId="7283"/>
    <cellStyle name="40% - Accent5 7 2" xfId="2213"/>
    <cellStyle name="40% - Accent5 7 2 2" xfId="5798"/>
    <cellStyle name="40% - Accent5 7 2 3" xfId="5799"/>
    <cellStyle name="40% - Accent5 7 2 4" xfId="6308"/>
    <cellStyle name="40% - Accent5 7 2 5" xfId="7219"/>
    <cellStyle name="40% - Accent5 7 2 6" xfId="7318"/>
    <cellStyle name="40% - Accent5 7 3" xfId="2214"/>
    <cellStyle name="40% - Accent5 7 4" xfId="2215"/>
    <cellStyle name="40% - Accent5 7 5" xfId="2216"/>
    <cellStyle name="40% - Accent5 7 6" xfId="2217"/>
    <cellStyle name="40% - Accent5 7 7" xfId="2218"/>
    <cellStyle name="40% - Accent5 7 8" xfId="2219"/>
    <cellStyle name="40% - Accent5 7 9" xfId="2220"/>
    <cellStyle name="40% - Accent5 7_A7-CFlow" xfId="814"/>
    <cellStyle name="40% - Accent5 8" xfId="101"/>
    <cellStyle name="40% - Accent5 8 10" xfId="7282"/>
    <cellStyle name="40% - Accent5 8 2" xfId="2221"/>
    <cellStyle name="40% - Accent5 8 2 2" xfId="5800"/>
    <cellStyle name="40% - Accent5 8 2 3" xfId="5801"/>
    <cellStyle name="40% - Accent5 8 2 4" xfId="6309"/>
    <cellStyle name="40% - Accent5 8 2 5" xfId="7045"/>
    <cellStyle name="40% - Accent5 8 2 6" xfId="6681"/>
    <cellStyle name="40% - Accent5 8 3" xfId="2222"/>
    <cellStyle name="40% - Accent5 8 4" xfId="2223"/>
    <cellStyle name="40% - Accent5 8 5" xfId="2224"/>
    <cellStyle name="40% - Accent5 8 6" xfId="2225"/>
    <cellStyle name="40% - Accent5 8 7" xfId="5802"/>
    <cellStyle name="40% - Accent5 8 7 2" xfId="6388"/>
    <cellStyle name="40% - Accent5 8 7 3" xfId="6980"/>
    <cellStyle name="40% - Accent5 8 7 4" xfId="6723"/>
    <cellStyle name="40% - Accent5 8 8" xfId="6151"/>
    <cellStyle name="40% - Accent5 8 9" xfId="7182"/>
    <cellStyle name="40% - Accent5 8_A7-CFlow" xfId="815"/>
    <cellStyle name="40% - Accent5 9" xfId="816"/>
    <cellStyle name="40% - Accent6 10" xfId="817"/>
    <cellStyle name="40% - Accent6 11" xfId="818"/>
    <cellStyle name="40% - Accent6 12" xfId="819"/>
    <cellStyle name="40% - Accent6 13" xfId="820"/>
    <cellStyle name="40% - Accent6 14" xfId="2226"/>
    <cellStyle name="40% - Accent6 15" xfId="2227"/>
    <cellStyle name="40% - Accent6 16" xfId="2228"/>
    <cellStyle name="40% - Accent6 17" xfId="5803"/>
    <cellStyle name="40% - Accent6 2" xfId="102"/>
    <cellStyle name="40% - Accent6 2 10" xfId="2229"/>
    <cellStyle name="40% - Accent6 2 11" xfId="2230"/>
    <cellStyle name="40% - Accent6 2 12" xfId="2231"/>
    <cellStyle name="40% - Accent6 2 13" xfId="2232"/>
    <cellStyle name="40% - Accent6 2 14" xfId="2233"/>
    <cellStyle name="40% - Accent6 2 15" xfId="2234"/>
    <cellStyle name="40% - Accent6 2 2" xfId="821"/>
    <cellStyle name="40% - Accent6 2 2 10" xfId="2235"/>
    <cellStyle name="40% - Accent6 2 2 2" xfId="2236"/>
    <cellStyle name="40% - Accent6 2 2 3" xfId="2237"/>
    <cellStyle name="40% - Accent6 2 2 4" xfId="2238"/>
    <cellStyle name="40% - Accent6 2 2 5" xfId="2239"/>
    <cellStyle name="40% - Accent6 2 2 6" xfId="2240"/>
    <cellStyle name="40% - Accent6 2 2 7" xfId="2241"/>
    <cellStyle name="40% - Accent6 2 2 8" xfId="2242"/>
    <cellStyle name="40% - Accent6 2 2 9" xfId="2243"/>
    <cellStyle name="40% - Accent6 2 2_Sheet1" xfId="2244"/>
    <cellStyle name="40% - Accent6 2 3" xfId="822"/>
    <cellStyle name="40% - Accent6 2 3 10" xfId="2245"/>
    <cellStyle name="40% - Accent6 2 3 2" xfId="2246"/>
    <cellStyle name="40% - Accent6 2 3 3" xfId="2247"/>
    <cellStyle name="40% - Accent6 2 3 4" xfId="2248"/>
    <cellStyle name="40% - Accent6 2 3 5" xfId="2249"/>
    <cellStyle name="40% - Accent6 2 3 6" xfId="2250"/>
    <cellStyle name="40% - Accent6 2 3 7" xfId="2251"/>
    <cellStyle name="40% - Accent6 2 3 8" xfId="2252"/>
    <cellStyle name="40% - Accent6 2 3 9" xfId="2253"/>
    <cellStyle name="40% - Accent6 2 3_Sheet1" xfId="2254"/>
    <cellStyle name="40% - Accent6 2 4" xfId="823"/>
    <cellStyle name="40% - Accent6 2 4 2" xfId="2255"/>
    <cellStyle name="40% - Accent6 2 4 3" xfId="2256"/>
    <cellStyle name="40% - Accent6 2 4 4" xfId="2257"/>
    <cellStyle name="40% - Accent6 2 4 5" xfId="2258"/>
    <cellStyle name="40% - Accent6 2 4 6" xfId="2259"/>
    <cellStyle name="40% - Accent6 2 4 7" xfId="2260"/>
    <cellStyle name="40% - Accent6 2 4 8" xfId="2261"/>
    <cellStyle name="40% - Accent6 2 4 9" xfId="2262"/>
    <cellStyle name="40% - Accent6 2 4_Sheet1" xfId="2263"/>
    <cellStyle name="40% - Accent6 2 5" xfId="824"/>
    <cellStyle name="40% - Accent6 2 6" xfId="825"/>
    <cellStyle name="40% - Accent6 2 7" xfId="826"/>
    <cellStyle name="40% - Accent6 2 8" xfId="2264"/>
    <cellStyle name="40% - Accent6 2 9" xfId="2265"/>
    <cellStyle name="40% - Accent6 2_Sheet1" xfId="2266"/>
    <cellStyle name="40% - Accent6 3" xfId="103"/>
    <cellStyle name="40% - Accent6 3 10" xfId="6153"/>
    <cellStyle name="40% - Accent6 3 11" xfId="7180"/>
    <cellStyle name="40% - Accent6 3 12" xfId="7281"/>
    <cellStyle name="40% - Accent6 3 2" xfId="2267"/>
    <cellStyle name="40% - Accent6 3 2 2" xfId="5804"/>
    <cellStyle name="40% - Accent6 3 2 3" xfId="5805"/>
    <cellStyle name="40% - Accent6 3 2 4" xfId="6311"/>
    <cellStyle name="40% - Accent6 3 2 5" xfId="7043"/>
    <cellStyle name="40% - Accent6 3 2 6" xfId="6683"/>
    <cellStyle name="40% - Accent6 3 3" xfId="2268"/>
    <cellStyle name="40% - Accent6 3 4" xfId="2269"/>
    <cellStyle name="40% - Accent6 3 5" xfId="2270"/>
    <cellStyle name="40% - Accent6 3 6" xfId="2271"/>
    <cellStyle name="40% - Accent6 3 7" xfId="2272"/>
    <cellStyle name="40% - Accent6 3 8" xfId="2273"/>
    <cellStyle name="40% - Accent6 3 9" xfId="5806"/>
    <cellStyle name="40% - Accent6 3 9 2" xfId="6374"/>
    <cellStyle name="40% - Accent6 3 9 3" xfId="6991"/>
    <cellStyle name="40% - Accent6 3 9 4" xfId="6716"/>
    <cellStyle name="40% - Accent6 3_A7-CFlow" xfId="827"/>
    <cellStyle name="40% - Accent6 4" xfId="104"/>
    <cellStyle name="40% - Accent6 4 10" xfId="7133"/>
    <cellStyle name="40% - Accent6 4 2" xfId="2274"/>
    <cellStyle name="40% - Accent6 4 2 2" xfId="5807"/>
    <cellStyle name="40% - Accent6 4 2 3" xfId="5808"/>
    <cellStyle name="40% - Accent6 4 2 4" xfId="6312"/>
    <cellStyle name="40% - Accent6 4 2 5" xfId="7042"/>
    <cellStyle name="40% - Accent6 4 2 6" xfId="6684"/>
    <cellStyle name="40% - Accent6 4 3" xfId="2275"/>
    <cellStyle name="40% - Accent6 4 4" xfId="2276"/>
    <cellStyle name="40% - Accent6 4 5" xfId="2277"/>
    <cellStyle name="40% - Accent6 4 6" xfId="2278"/>
    <cellStyle name="40% - Accent6 4 7" xfId="5809"/>
    <cellStyle name="40% - Accent6 4 7 2" xfId="6243"/>
    <cellStyle name="40% - Accent6 4 7 3" xfId="7102"/>
    <cellStyle name="40% - Accent6 4 7 4" xfId="6637"/>
    <cellStyle name="40% - Accent6 4 8" xfId="6154"/>
    <cellStyle name="40% - Accent6 4 9" xfId="6208"/>
    <cellStyle name="40% - Accent6 4_A7-CFlow" xfId="828"/>
    <cellStyle name="40% - Accent6 5" xfId="105"/>
    <cellStyle name="40% - Accent6 5 10" xfId="7332"/>
    <cellStyle name="40% - Accent6 5 2" xfId="2279"/>
    <cellStyle name="40% - Accent6 5 2 2" xfId="5810"/>
    <cellStyle name="40% - Accent6 5 2 3" xfId="5811"/>
    <cellStyle name="40% - Accent6 5 2 4" xfId="6313"/>
    <cellStyle name="40% - Accent6 5 2 5" xfId="7041"/>
    <cellStyle name="40% - Accent6 5 2 6" xfId="6685"/>
    <cellStyle name="40% - Accent6 5 3" xfId="2280"/>
    <cellStyle name="40% - Accent6 5 4" xfId="2281"/>
    <cellStyle name="40% - Accent6 5 5" xfId="2282"/>
    <cellStyle name="40% - Accent6 5 6" xfId="2283"/>
    <cellStyle name="40% - Accent6 5 7" xfId="5812"/>
    <cellStyle name="40% - Accent6 5 7 2" xfId="6242"/>
    <cellStyle name="40% - Accent6 5 7 3" xfId="7103"/>
    <cellStyle name="40% - Accent6 5 7 4" xfId="6636"/>
    <cellStyle name="40% - Accent6 5 8" xfId="6155"/>
    <cellStyle name="40% - Accent6 5 9" xfId="7234"/>
    <cellStyle name="40% - Accent6 5_A7-CFlow" xfId="829"/>
    <cellStyle name="40% - Accent6 6" xfId="106"/>
    <cellStyle name="40% - Accent6 6 2" xfId="2284"/>
    <cellStyle name="40% - Accent6 6 2 2" xfId="5813"/>
    <cellStyle name="40% - Accent6 6 2 3" xfId="5814"/>
    <cellStyle name="40% - Accent6 6 2 4" xfId="6314"/>
    <cellStyle name="40% - Accent6 6 2 5" xfId="7040"/>
    <cellStyle name="40% - Accent6 6 2 6" xfId="6686"/>
    <cellStyle name="40% - Accent6 6 3" xfId="2285"/>
    <cellStyle name="40% - Accent6 6 4" xfId="2286"/>
    <cellStyle name="40% - Accent6 6 5" xfId="2287"/>
    <cellStyle name="40% - Accent6 6 6" xfId="5815"/>
    <cellStyle name="40% - Accent6 6 6 2" xfId="6821"/>
    <cellStyle name="40% - Accent6 6 6 3" xfId="6152"/>
    <cellStyle name="40% - Accent6 6 6 4" xfId="7181"/>
    <cellStyle name="40% - Accent6 6 7" xfId="6156"/>
    <cellStyle name="40% - Accent6 6 8" xfId="7179"/>
    <cellStyle name="40% - Accent6 6 9" xfId="7280"/>
    <cellStyle name="40% - Accent6 6_A7-CFlow" xfId="830"/>
    <cellStyle name="40% - Accent6 7" xfId="107"/>
    <cellStyle name="40% - Accent6 7 10" xfId="2288"/>
    <cellStyle name="40% - Accent6 7 11" xfId="5816"/>
    <cellStyle name="40% - Accent6 7 11 2" xfId="6820"/>
    <cellStyle name="40% - Accent6 7 11 3" xfId="6159"/>
    <cellStyle name="40% - Accent6 7 11 4" xfId="7241"/>
    <cellStyle name="40% - Accent6 7 12" xfId="6157"/>
    <cellStyle name="40% - Accent6 7 13" xfId="7178"/>
    <cellStyle name="40% - Accent6 7 14" xfId="7279"/>
    <cellStyle name="40% - Accent6 7 2" xfId="2289"/>
    <cellStyle name="40% - Accent6 7 2 2" xfId="5817"/>
    <cellStyle name="40% - Accent6 7 2 3" xfId="5818"/>
    <cellStyle name="40% - Accent6 7 2 4" xfId="6315"/>
    <cellStyle name="40% - Accent6 7 2 5" xfId="7039"/>
    <cellStyle name="40% - Accent6 7 2 6" xfId="6687"/>
    <cellStyle name="40% - Accent6 7 3" xfId="2290"/>
    <cellStyle name="40% - Accent6 7 4" xfId="2291"/>
    <cellStyle name="40% - Accent6 7 5" xfId="2292"/>
    <cellStyle name="40% - Accent6 7 6" xfId="2293"/>
    <cellStyle name="40% - Accent6 7 7" xfId="2294"/>
    <cellStyle name="40% - Accent6 7 8" xfId="2295"/>
    <cellStyle name="40% - Accent6 7 9" xfId="2296"/>
    <cellStyle name="40% - Accent6 7_A7-CFlow" xfId="831"/>
    <cellStyle name="40% - Accent6 8" xfId="108"/>
    <cellStyle name="40% - Accent6 8 10" xfId="7278"/>
    <cellStyle name="40% - Accent6 8 2" xfId="2297"/>
    <cellStyle name="40% - Accent6 8 2 2" xfId="5819"/>
    <cellStyle name="40% - Accent6 8 2 3" xfId="5820"/>
    <cellStyle name="40% - Accent6 8 2 4" xfId="6316"/>
    <cellStyle name="40% - Accent6 8 2 5" xfId="7038"/>
    <cellStyle name="40% - Accent6 8 2 6" xfId="6080"/>
    <cellStyle name="40% - Accent6 8 3" xfId="2298"/>
    <cellStyle name="40% - Accent6 8 4" xfId="2299"/>
    <cellStyle name="40% - Accent6 8 5" xfId="2300"/>
    <cellStyle name="40% - Accent6 8 6" xfId="2301"/>
    <cellStyle name="40% - Accent6 8 7" xfId="5821"/>
    <cellStyle name="40% - Accent6 8 7 2" xfId="6232"/>
    <cellStyle name="40% - Accent6 8 7 3" xfId="7112"/>
    <cellStyle name="40% - Accent6 8 7 4" xfId="6630"/>
    <cellStyle name="40% - Accent6 8 8" xfId="6158"/>
    <cellStyle name="40% - Accent6 8 9" xfId="7177"/>
    <cellStyle name="40% - Accent6 8_A7-CFlow" xfId="832"/>
    <cellStyle name="40% - Accent6 9" xfId="833"/>
    <cellStyle name="60% - Accent1 10" xfId="834"/>
    <cellStyle name="60% - Accent1 11" xfId="835"/>
    <cellStyle name="60% - Accent1 12" xfId="836"/>
    <cellStyle name="60% - Accent1 13" xfId="837"/>
    <cellStyle name="60% - Accent1 14" xfId="2302"/>
    <cellStyle name="60% - Accent1 15" xfId="2303"/>
    <cellStyle name="60% - Accent1 16" xfId="2304"/>
    <cellStyle name="60% - Accent1 17" xfId="5822"/>
    <cellStyle name="60% - Accent1 2" xfId="109"/>
    <cellStyle name="60% - Accent1 2 2" xfId="838"/>
    <cellStyle name="60% - Accent1 2 3" xfId="839"/>
    <cellStyle name="60% - Accent1 2 4" xfId="840"/>
    <cellStyle name="60% - Accent1 2 5" xfId="841"/>
    <cellStyle name="60% - Accent1 2 6" xfId="842"/>
    <cellStyle name="60% - Accent1 2 7" xfId="843"/>
    <cellStyle name="60% - Accent1 3" xfId="844"/>
    <cellStyle name="60% - Accent1 3 2" xfId="2305"/>
    <cellStyle name="60% - Accent1 3 3" xfId="2306"/>
    <cellStyle name="60% - Accent1 3 4" xfId="2307"/>
    <cellStyle name="60% - Accent1 3 5" xfId="2308"/>
    <cellStyle name="60% - Accent1 3 6" xfId="2309"/>
    <cellStyle name="60% - Accent1 3 7" xfId="2310"/>
    <cellStyle name="60% - Accent1 3 8" xfId="2311"/>
    <cellStyle name="60% - Accent1 3 9" xfId="2312"/>
    <cellStyle name="60% - Accent1 3_Sheet1" xfId="2313"/>
    <cellStyle name="60% - Accent1 4" xfId="845"/>
    <cellStyle name="60% - Accent1 5" xfId="846"/>
    <cellStyle name="60% - Accent1 5 2" xfId="2314"/>
    <cellStyle name="60% - Accent1 5 3" xfId="2315"/>
    <cellStyle name="60% - Accent1 5 4" xfId="2316"/>
    <cellStyle name="60% - Accent1 5 5" xfId="2317"/>
    <cellStyle name="60% - Accent1 5 6" xfId="2318"/>
    <cellStyle name="60% - Accent1 5 7" xfId="2319"/>
    <cellStyle name="60% - Accent1 5 8" xfId="2320"/>
    <cellStyle name="60% - Accent1 5 9" xfId="2321"/>
    <cellStyle name="60% - Accent1 6" xfId="847"/>
    <cellStyle name="60% - Accent1 7" xfId="848"/>
    <cellStyle name="60% - Accent1 8" xfId="849"/>
    <cellStyle name="60% - Accent1 9" xfId="850"/>
    <cellStyle name="60% - Accent2 10" xfId="851"/>
    <cellStyle name="60% - Accent2 11" xfId="852"/>
    <cellStyle name="60% - Accent2 12" xfId="853"/>
    <cellStyle name="60% - Accent2 13" xfId="854"/>
    <cellStyle name="60% - Accent2 14" xfId="2322"/>
    <cellStyle name="60% - Accent2 15" xfId="2323"/>
    <cellStyle name="60% - Accent2 16" xfId="2324"/>
    <cellStyle name="60% - Accent2 17" xfId="5823"/>
    <cellStyle name="60% - Accent2 2" xfId="110"/>
    <cellStyle name="60% - Accent2 2 2" xfId="855"/>
    <cellStyle name="60% - Accent2 2 3" xfId="856"/>
    <cellStyle name="60% - Accent2 2 4" xfId="857"/>
    <cellStyle name="60% - Accent2 2 5" xfId="858"/>
    <cellStyle name="60% - Accent2 2 6" xfId="859"/>
    <cellStyle name="60% - Accent2 2 7" xfId="860"/>
    <cellStyle name="60% - Accent2 3" xfId="861"/>
    <cellStyle name="60% - Accent2 3 2" xfId="2325"/>
    <cellStyle name="60% - Accent2 3 3" xfId="2326"/>
    <cellStyle name="60% - Accent2 3 4" xfId="2327"/>
    <cellStyle name="60% - Accent2 3 5" xfId="2328"/>
    <cellStyle name="60% - Accent2 3 6" xfId="2329"/>
    <cellStyle name="60% - Accent2 3 7" xfId="2330"/>
    <cellStyle name="60% - Accent2 3 8" xfId="2331"/>
    <cellStyle name="60% - Accent2 3 9" xfId="2332"/>
    <cellStyle name="60% - Accent2 3_Sheet1" xfId="2333"/>
    <cellStyle name="60% - Accent2 4" xfId="862"/>
    <cellStyle name="60% - Accent2 5" xfId="863"/>
    <cellStyle name="60% - Accent2 5 2" xfId="2334"/>
    <cellStyle name="60% - Accent2 5 3" xfId="2335"/>
    <cellStyle name="60% - Accent2 5 4" xfId="2336"/>
    <cellStyle name="60% - Accent2 5 5" xfId="2337"/>
    <cellStyle name="60% - Accent2 5 6" xfId="2338"/>
    <cellStyle name="60% - Accent2 5 7" xfId="2339"/>
    <cellStyle name="60% - Accent2 5 8" xfId="2340"/>
    <cellStyle name="60% - Accent2 5 9" xfId="2341"/>
    <cellStyle name="60% - Accent2 6" xfId="864"/>
    <cellStyle name="60% - Accent2 7" xfId="865"/>
    <cellStyle name="60% - Accent2 8" xfId="866"/>
    <cellStyle name="60% - Accent2 9" xfId="867"/>
    <cellStyle name="60% - Accent3 10" xfId="868"/>
    <cellStyle name="60% - Accent3 11" xfId="869"/>
    <cellStyle name="60% - Accent3 12" xfId="870"/>
    <cellStyle name="60% - Accent3 13" xfId="871"/>
    <cellStyle name="60% - Accent3 14" xfId="2342"/>
    <cellStyle name="60% - Accent3 15" xfId="2343"/>
    <cellStyle name="60% - Accent3 16" xfId="2344"/>
    <cellStyle name="60% - Accent3 17" xfId="5824"/>
    <cellStyle name="60% - Accent3 2" xfId="111"/>
    <cellStyle name="60% - Accent3 2 10" xfId="2345"/>
    <cellStyle name="60% - Accent3 2 11" xfId="2346"/>
    <cellStyle name="60% - Accent3 2 12" xfId="2347"/>
    <cellStyle name="60% - Accent3 2 13" xfId="2348"/>
    <cellStyle name="60% - Accent3 2 14" xfId="2349"/>
    <cellStyle name="60% - Accent3 2 15" xfId="2350"/>
    <cellStyle name="60% - Accent3 2 2" xfId="872"/>
    <cellStyle name="60% - Accent3 2 3" xfId="873"/>
    <cellStyle name="60% - Accent3 2 4" xfId="874"/>
    <cellStyle name="60% - Accent3 2 5" xfId="875"/>
    <cellStyle name="60% - Accent3 2 6" xfId="876"/>
    <cellStyle name="60% - Accent3 2 7" xfId="877"/>
    <cellStyle name="60% - Accent3 2 8" xfId="2351"/>
    <cellStyle name="60% - Accent3 2 9" xfId="2352"/>
    <cellStyle name="60% - Accent3 2_Sheet1" xfId="2353"/>
    <cellStyle name="60% - Accent3 3" xfId="878"/>
    <cellStyle name="60% - Accent3 4" xfId="879"/>
    <cellStyle name="60% - Accent3 4 2" xfId="2354"/>
    <cellStyle name="60% - Accent3 4 3" xfId="2355"/>
    <cellStyle name="60% - Accent3 4 4" xfId="2356"/>
    <cellStyle name="60% - Accent3 4 5" xfId="2357"/>
    <cellStyle name="60% - Accent3 4 6" xfId="2358"/>
    <cellStyle name="60% - Accent3 4 7" xfId="2359"/>
    <cellStyle name="60% - Accent3 4 8" xfId="2360"/>
    <cellStyle name="60% - Accent3 4 9" xfId="2361"/>
    <cellStyle name="60% - Accent3 4_Sheet1" xfId="2362"/>
    <cellStyle name="60% - Accent3 5" xfId="880"/>
    <cellStyle name="60% - Accent3 6" xfId="881"/>
    <cellStyle name="60% - Accent3 6 2" xfId="2363"/>
    <cellStyle name="60% - Accent3 6 3" xfId="2364"/>
    <cellStyle name="60% - Accent3 6 4" xfId="2365"/>
    <cellStyle name="60% - Accent3 6 5" xfId="2366"/>
    <cellStyle name="60% - Accent3 6 6" xfId="2367"/>
    <cellStyle name="60% - Accent3 6 7" xfId="2368"/>
    <cellStyle name="60% - Accent3 6 8" xfId="2369"/>
    <cellStyle name="60% - Accent3 6 9" xfId="2370"/>
    <cellStyle name="60% - Accent3 7" xfId="882"/>
    <cellStyle name="60% - Accent3 8" xfId="883"/>
    <cellStyle name="60% - Accent3 9" xfId="884"/>
    <cellStyle name="60% - Accent4 10" xfId="885"/>
    <cellStyle name="60% - Accent4 11" xfId="886"/>
    <cellStyle name="60% - Accent4 12" xfId="887"/>
    <cellStyle name="60% - Accent4 13" xfId="888"/>
    <cellStyle name="60% - Accent4 14" xfId="2371"/>
    <cellStyle name="60% - Accent4 15" xfId="2372"/>
    <cellStyle name="60% - Accent4 16" xfId="2373"/>
    <cellStyle name="60% - Accent4 17" xfId="5825"/>
    <cellStyle name="60% - Accent4 2" xfId="112"/>
    <cellStyle name="60% - Accent4 2 10" xfId="2374"/>
    <cellStyle name="60% - Accent4 2 11" xfId="2375"/>
    <cellStyle name="60% - Accent4 2 12" xfId="2376"/>
    <cellStyle name="60% - Accent4 2 13" xfId="2377"/>
    <cellStyle name="60% - Accent4 2 14" xfId="2378"/>
    <cellStyle name="60% - Accent4 2 15" xfId="2379"/>
    <cellStyle name="60% - Accent4 2 2" xfId="889"/>
    <cellStyle name="60% - Accent4 2 3" xfId="890"/>
    <cellStyle name="60% - Accent4 2 4" xfId="891"/>
    <cellStyle name="60% - Accent4 2 5" xfId="892"/>
    <cellStyle name="60% - Accent4 2 6" xfId="893"/>
    <cellStyle name="60% - Accent4 2 7" xfId="894"/>
    <cellStyle name="60% - Accent4 2 8" xfId="2380"/>
    <cellStyle name="60% - Accent4 2 9" xfId="2381"/>
    <cellStyle name="60% - Accent4 2_Sheet1" xfId="2382"/>
    <cellStyle name="60% - Accent4 3" xfId="895"/>
    <cellStyle name="60% - Accent4 4" xfId="896"/>
    <cellStyle name="60% - Accent4 4 2" xfId="2383"/>
    <cellStyle name="60% - Accent4 4 3" xfId="2384"/>
    <cellStyle name="60% - Accent4 4 4" xfId="2385"/>
    <cellStyle name="60% - Accent4 4 5" xfId="2386"/>
    <cellStyle name="60% - Accent4 4 6" xfId="2387"/>
    <cellStyle name="60% - Accent4 4 7" xfId="2388"/>
    <cellStyle name="60% - Accent4 4 8" xfId="2389"/>
    <cellStyle name="60% - Accent4 4 9" xfId="2390"/>
    <cellStyle name="60% - Accent4 4_Sheet1" xfId="2391"/>
    <cellStyle name="60% - Accent4 5" xfId="897"/>
    <cellStyle name="60% - Accent4 6" xfId="898"/>
    <cellStyle name="60% - Accent4 6 2" xfId="2392"/>
    <cellStyle name="60% - Accent4 6 3" xfId="2393"/>
    <cellStyle name="60% - Accent4 6 4" xfId="2394"/>
    <cellStyle name="60% - Accent4 6 5" xfId="2395"/>
    <cellStyle name="60% - Accent4 6 6" xfId="2396"/>
    <cellStyle name="60% - Accent4 6 7" xfId="2397"/>
    <cellStyle name="60% - Accent4 6 8" xfId="2398"/>
    <cellStyle name="60% - Accent4 6 9" xfId="2399"/>
    <cellStyle name="60% - Accent4 7" xfId="899"/>
    <cellStyle name="60% - Accent4 8" xfId="900"/>
    <cellStyle name="60% - Accent4 9" xfId="901"/>
    <cellStyle name="60% - Accent5 10" xfId="902"/>
    <cellStyle name="60% - Accent5 11" xfId="903"/>
    <cellStyle name="60% - Accent5 12" xfId="904"/>
    <cellStyle name="60% - Accent5 13" xfId="905"/>
    <cellStyle name="60% - Accent5 14" xfId="2400"/>
    <cellStyle name="60% - Accent5 15" xfId="2401"/>
    <cellStyle name="60% - Accent5 16" xfId="2402"/>
    <cellStyle name="60% - Accent5 17" xfId="5826"/>
    <cellStyle name="60% - Accent5 2" xfId="113"/>
    <cellStyle name="60% - Accent5 2 2" xfId="906"/>
    <cellStyle name="60% - Accent5 2 3" xfId="907"/>
    <cellStyle name="60% - Accent5 2 4" xfId="908"/>
    <cellStyle name="60% - Accent5 2 5" xfId="909"/>
    <cellStyle name="60% - Accent5 2 6" xfId="910"/>
    <cellStyle name="60% - Accent5 2 7" xfId="911"/>
    <cellStyle name="60% - Accent5 3" xfId="912"/>
    <cellStyle name="60% - Accent5 3 2" xfId="2403"/>
    <cellStyle name="60% - Accent5 3 3" xfId="2404"/>
    <cellStyle name="60% - Accent5 3 4" xfId="2405"/>
    <cellStyle name="60% - Accent5 3 5" xfId="2406"/>
    <cellStyle name="60% - Accent5 3 6" xfId="2407"/>
    <cellStyle name="60% - Accent5 3 7" xfId="2408"/>
    <cellStyle name="60% - Accent5 3 8" xfId="2409"/>
    <cellStyle name="60% - Accent5 3 9" xfId="2410"/>
    <cellStyle name="60% - Accent5 3_Sheet1" xfId="2411"/>
    <cellStyle name="60% - Accent5 4" xfId="913"/>
    <cellStyle name="60% - Accent5 5" xfId="914"/>
    <cellStyle name="60% - Accent5 5 2" xfId="2412"/>
    <cellStyle name="60% - Accent5 5 3" xfId="2413"/>
    <cellStyle name="60% - Accent5 5 4" xfId="2414"/>
    <cellStyle name="60% - Accent5 5 5" xfId="2415"/>
    <cellStyle name="60% - Accent5 5 6" xfId="2416"/>
    <cellStyle name="60% - Accent5 5 7" xfId="2417"/>
    <cellStyle name="60% - Accent5 5 8" xfId="2418"/>
    <cellStyle name="60% - Accent5 5 9" xfId="2419"/>
    <cellStyle name="60% - Accent5 6" xfId="915"/>
    <cellStyle name="60% - Accent5 7" xfId="916"/>
    <cellStyle name="60% - Accent5 8" xfId="917"/>
    <cellStyle name="60% - Accent5 9" xfId="918"/>
    <cellStyle name="60% - Accent6 10" xfId="919"/>
    <cellStyle name="60% - Accent6 11" xfId="920"/>
    <cellStyle name="60% - Accent6 12" xfId="921"/>
    <cellStyle name="60% - Accent6 13" xfId="922"/>
    <cellStyle name="60% - Accent6 14" xfId="2420"/>
    <cellStyle name="60% - Accent6 15" xfId="2421"/>
    <cellStyle name="60% - Accent6 16" xfId="2422"/>
    <cellStyle name="60% - Accent6 17" xfId="5827"/>
    <cellStyle name="60% - Accent6 2" xfId="114"/>
    <cellStyle name="60% - Accent6 2 10" xfId="2423"/>
    <cellStyle name="60% - Accent6 2 11" xfId="2424"/>
    <cellStyle name="60% - Accent6 2 12" xfId="2425"/>
    <cellStyle name="60% - Accent6 2 13" xfId="2426"/>
    <cellStyle name="60% - Accent6 2 14" xfId="2427"/>
    <cellStyle name="60% - Accent6 2 15" xfId="2428"/>
    <cellStyle name="60% - Accent6 2 2" xfId="923"/>
    <cellStyle name="60% - Accent6 2 3" xfId="924"/>
    <cellStyle name="60% - Accent6 2 4" xfId="925"/>
    <cellStyle name="60% - Accent6 2 5" xfId="926"/>
    <cellStyle name="60% - Accent6 2 6" xfId="927"/>
    <cellStyle name="60% - Accent6 2 7" xfId="928"/>
    <cellStyle name="60% - Accent6 2 8" xfId="2429"/>
    <cellStyle name="60% - Accent6 2 9" xfId="2430"/>
    <cellStyle name="60% - Accent6 2_Sheet1" xfId="2431"/>
    <cellStyle name="60% - Accent6 3" xfId="929"/>
    <cellStyle name="60% - Accent6 4" xfId="930"/>
    <cellStyle name="60% - Accent6 4 2" xfId="2432"/>
    <cellStyle name="60% - Accent6 4 3" xfId="2433"/>
    <cellStyle name="60% - Accent6 4 4" xfId="2434"/>
    <cellStyle name="60% - Accent6 4 5" xfId="2435"/>
    <cellStyle name="60% - Accent6 4 6" xfId="2436"/>
    <cellStyle name="60% - Accent6 4 7" xfId="2437"/>
    <cellStyle name="60% - Accent6 4 8" xfId="2438"/>
    <cellStyle name="60% - Accent6 4 9" xfId="2439"/>
    <cellStyle name="60% - Accent6 4_Sheet1" xfId="2440"/>
    <cellStyle name="60% - Accent6 5" xfId="931"/>
    <cellStyle name="60% - Accent6 6" xfId="932"/>
    <cellStyle name="60% - Accent6 6 2" xfId="2441"/>
    <cellStyle name="60% - Accent6 6 3" xfId="2442"/>
    <cellStyle name="60% - Accent6 6 4" xfId="2443"/>
    <cellStyle name="60% - Accent6 6 5" xfId="2444"/>
    <cellStyle name="60% - Accent6 6 6" xfId="2445"/>
    <cellStyle name="60% - Accent6 6 7" xfId="2446"/>
    <cellStyle name="60% - Accent6 6 8" xfId="2447"/>
    <cellStyle name="60% - Accent6 6 9" xfId="2448"/>
    <cellStyle name="60% - Accent6 7" xfId="933"/>
    <cellStyle name="60% - Accent6 8" xfId="934"/>
    <cellStyle name="60% - Accent6 9" xfId="935"/>
    <cellStyle name="Accent1 10" xfId="936"/>
    <cellStyle name="Accent1 11" xfId="937"/>
    <cellStyle name="Accent1 12" xfId="938"/>
    <cellStyle name="Accent1 13" xfId="939"/>
    <cellStyle name="Accent1 14" xfId="2449"/>
    <cellStyle name="Accent1 15" xfId="2450"/>
    <cellStyle name="Accent1 16" xfId="2451"/>
    <cellStyle name="Accent1 17" xfId="5828"/>
    <cellStyle name="Accent1 2" xfId="115"/>
    <cellStyle name="Accent1 2 2" xfId="940"/>
    <cellStyle name="Accent1 2 3" xfId="941"/>
    <cellStyle name="Accent1 2 4" xfId="942"/>
    <cellStyle name="Accent1 2 5" xfId="943"/>
    <cellStyle name="Accent1 2 6" xfId="944"/>
    <cellStyle name="Accent1 2 7" xfId="945"/>
    <cellStyle name="Accent1 3" xfId="946"/>
    <cellStyle name="Accent1 3 2" xfId="2452"/>
    <cellStyle name="Accent1 3 3" xfId="2453"/>
    <cellStyle name="Accent1 3 4" xfId="2454"/>
    <cellStyle name="Accent1 3 5" xfId="2455"/>
    <cellStyle name="Accent1 3 6" xfId="2456"/>
    <cellStyle name="Accent1 3 7" xfId="2457"/>
    <cellStyle name="Accent1 3 8" xfId="2458"/>
    <cellStyle name="Accent1 3 9" xfId="2459"/>
    <cellStyle name="Accent1 3_Sheet1" xfId="2460"/>
    <cellStyle name="Accent1 4" xfId="947"/>
    <cellStyle name="Accent1 5" xfId="948"/>
    <cellStyle name="Accent1 5 2" xfId="2461"/>
    <cellStyle name="Accent1 5 3" xfId="2462"/>
    <cellStyle name="Accent1 5 4" xfId="2463"/>
    <cellStyle name="Accent1 5 5" xfId="2464"/>
    <cellStyle name="Accent1 5 6" xfId="2465"/>
    <cellStyle name="Accent1 5 7" xfId="2466"/>
    <cellStyle name="Accent1 5 8" xfId="2467"/>
    <cellStyle name="Accent1 5 9" xfId="2468"/>
    <cellStyle name="Accent1 6" xfId="949"/>
    <cellStyle name="Accent1 7" xfId="950"/>
    <cellStyle name="Accent1 8" xfId="951"/>
    <cellStyle name="Accent1 9" xfId="952"/>
    <cellStyle name="Accent2 10" xfId="953"/>
    <cellStyle name="Accent2 11" xfId="954"/>
    <cellStyle name="Accent2 12" xfId="955"/>
    <cellStyle name="Accent2 13" xfId="956"/>
    <cellStyle name="Accent2 14" xfId="2469"/>
    <cellStyle name="Accent2 15" xfId="2470"/>
    <cellStyle name="Accent2 16" xfId="2471"/>
    <cellStyle name="Accent2 17" xfId="5829"/>
    <cellStyle name="Accent2 2" xfId="116"/>
    <cellStyle name="Accent2 2 2" xfId="957"/>
    <cellStyle name="Accent2 2 3" xfId="958"/>
    <cellStyle name="Accent2 2 4" xfId="959"/>
    <cellStyle name="Accent2 2 5" xfId="960"/>
    <cellStyle name="Accent2 2 6" xfId="961"/>
    <cellStyle name="Accent2 2 7" xfId="962"/>
    <cellStyle name="Accent2 3" xfId="963"/>
    <cellStyle name="Accent2 3 2" xfId="2472"/>
    <cellStyle name="Accent2 3 3" xfId="2473"/>
    <cellStyle name="Accent2 3 4" xfId="2474"/>
    <cellStyle name="Accent2 3 5" xfId="2475"/>
    <cellStyle name="Accent2 3 6" xfId="2476"/>
    <cellStyle name="Accent2 3 7" xfId="2477"/>
    <cellStyle name="Accent2 3 8" xfId="2478"/>
    <cellStyle name="Accent2 3 9" xfId="2479"/>
    <cellStyle name="Accent2 3_Sheet1" xfId="2480"/>
    <cellStyle name="Accent2 4" xfId="964"/>
    <cellStyle name="Accent2 5" xfId="965"/>
    <cellStyle name="Accent2 5 2" xfId="2481"/>
    <cellStyle name="Accent2 5 3" xfId="2482"/>
    <cellStyle name="Accent2 5 4" xfId="2483"/>
    <cellStyle name="Accent2 5 5" xfId="2484"/>
    <cellStyle name="Accent2 5 6" xfId="2485"/>
    <cellStyle name="Accent2 5 7" xfId="2486"/>
    <cellStyle name="Accent2 5 8" xfId="2487"/>
    <cellStyle name="Accent2 5 9" xfId="2488"/>
    <cellStyle name="Accent2 6" xfId="966"/>
    <cellStyle name="Accent2 7" xfId="967"/>
    <cellStyle name="Accent2 8" xfId="968"/>
    <cellStyle name="Accent2 9" xfId="969"/>
    <cellStyle name="Accent3 10" xfId="970"/>
    <cellStyle name="Accent3 11" xfId="971"/>
    <cellStyle name="Accent3 12" xfId="972"/>
    <cellStyle name="Accent3 13" xfId="973"/>
    <cellStyle name="Accent3 14" xfId="2489"/>
    <cellStyle name="Accent3 15" xfId="2490"/>
    <cellStyle name="Accent3 16" xfId="2491"/>
    <cellStyle name="Accent3 17" xfId="5830"/>
    <cellStyle name="Accent3 2" xfId="117"/>
    <cellStyle name="Accent3 2 2" xfId="974"/>
    <cellStyle name="Accent3 2 3" xfId="975"/>
    <cellStyle name="Accent3 2 4" xfId="976"/>
    <cellStyle name="Accent3 2 5" xfId="977"/>
    <cellStyle name="Accent3 2 6" xfId="978"/>
    <cellStyle name="Accent3 2 7" xfId="979"/>
    <cellStyle name="Accent3 3" xfId="980"/>
    <cellStyle name="Accent3 3 2" xfId="2492"/>
    <cellStyle name="Accent3 3 3" xfId="2493"/>
    <cellStyle name="Accent3 3 4" xfId="2494"/>
    <cellStyle name="Accent3 3 5" xfId="2495"/>
    <cellStyle name="Accent3 3 6" xfId="2496"/>
    <cellStyle name="Accent3 3 7" xfId="2497"/>
    <cellStyle name="Accent3 3 8" xfId="2498"/>
    <cellStyle name="Accent3 3 9" xfId="2499"/>
    <cellStyle name="Accent3 3_Sheet1" xfId="2500"/>
    <cellStyle name="Accent3 4" xfId="981"/>
    <cellStyle name="Accent3 5" xfId="982"/>
    <cellStyle name="Accent3 5 2" xfId="2501"/>
    <cellStyle name="Accent3 5 3" xfId="2502"/>
    <cellStyle name="Accent3 5 4" xfId="2503"/>
    <cellStyle name="Accent3 5 5" xfId="2504"/>
    <cellStyle name="Accent3 5 6" xfId="2505"/>
    <cellStyle name="Accent3 5 7" xfId="2506"/>
    <cellStyle name="Accent3 5 8" xfId="2507"/>
    <cellStyle name="Accent3 5 9" xfId="2508"/>
    <cellStyle name="Accent3 6" xfId="983"/>
    <cellStyle name="Accent3 7" xfId="984"/>
    <cellStyle name="Accent3 8" xfId="985"/>
    <cellStyle name="Accent3 9" xfId="986"/>
    <cellStyle name="Accent4 10" xfId="987"/>
    <cellStyle name="Accent4 11" xfId="988"/>
    <cellStyle name="Accent4 12" xfId="989"/>
    <cellStyle name="Accent4 13" xfId="990"/>
    <cellStyle name="Accent4 14" xfId="2509"/>
    <cellStyle name="Accent4 15" xfId="2510"/>
    <cellStyle name="Accent4 16" xfId="2511"/>
    <cellStyle name="Accent4 17" xfId="5831"/>
    <cellStyle name="Accent4 2" xfId="118"/>
    <cellStyle name="Accent4 2 2" xfId="991"/>
    <cellStyle name="Accent4 2 3" xfId="992"/>
    <cellStyle name="Accent4 2 4" xfId="993"/>
    <cellStyle name="Accent4 2 5" xfId="994"/>
    <cellStyle name="Accent4 2 6" xfId="995"/>
    <cellStyle name="Accent4 2 7" xfId="996"/>
    <cellStyle name="Accent4 3" xfId="997"/>
    <cellStyle name="Accent4 3 2" xfId="2512"/>
    <cellStyle name="Accent4 3 3" xfId="2513"/>
    <cellStyle name="Accent4 3 4" xfId="2514"/>
    <cellStyle name="Accent4 3 5" xfId="2515"/>
    <cellStyle name="Accent4 3 6" xfId="2516"/>
    <cellStyle name="Accent4 3 7" xfId="2517"/>
    <cellStyle name="Accent4 3 8" xfId="2518"/>
    <cellStyle name="Accent4 3 9" xfId="2519"/>
    <cellStyle name="Accent4 3_Sheet1" xfId="2520"/>
    <cellStyle name="Accent4 4" xfId="998"/>
    <cellStyle name="Accent4 5" xfId="999"/>
    <cellStyle name="Accent4 5 2" xfId="2521"/>
    <cellStyle name="Accent4 5 3" xfId="2522"/>
    <cellStyle name="Accent4 5 4" xfId="2523"/>
    <cellStyle name="Accent4 5 5" xfId="2524"/>
    <cellStyle name="Accent4 5 6" xfId="2525"/>
    <cellStyle name="Accent4 5 7" xfId="2526"/>
    <cellStyle name="Accent4 5 8" xfId="2527"/>
    <cellStyle name="Accent4 5 9" xfId="2528"/>
    <cellStyle name="Accent4 6" xfId="1000"/>
    <cellStyle name="Accent4 7" xfId="1001"/>
    <cellStyle name="Accent4 8" xfId="1002"/>
    <cellStyle name="Accent4 9" xfId="1003"/>
    <cellStyle name="Accent5 10" xfId="1004"/>
    <cellStyle name="Accent5 11" xfId="1005"/>
    <cellStyle name="Accent5 12" xfId="1006"/>
    <cellStyle name="Accent5 13" xfId="1007"/>
    <cellStyle name="Accent5 14" xfId="2529"/>
    <cellStyle name="Accent5 15" xfId="2530"/>
    <cellStyle name="Accent5 16" xfId="2531"/>
    <cellStyle name="Accent5 17" xfId="5832"/>
    <cellStyle name="Accent5 2" xfId="119"/>
    <cellStyle name="Accent5 2 2" xfId="1008"/>
    <cellStyle name="Accent5 2 3" xfId="1009"/>
    <cellStyle name="Accent5 2 4" xfId="1010"/>
    <cellStyle name="Accent5 2 5" xfId="1011"/>
    <cellStyle name="Accent5 2 6" xfId="1012"/>
    <cellStyle name="Accent5 2 7" xfId="1013"/>
    <cellStyle name="Accent5 3" xfId="1014"/>
    <cellStyle name="Accent5 3 2" xfId="2532"/>
    <cellStyle name="Accent5 3 3" xfId="2533"/>
    <cellStyle name="Accent5 3 4" xfId="2534"/>
    <cellStyle name="Accent5 3 5" xfId="2535"/>
    <cellStyle name="Accent5 3 6" xfId="2536"/>
    <cellStyle name="Accent5 3 7" xfId="2537"/>
    <cellStyle name="Accent5 3 8" xfId="2538"/>
    <cellStyle name="Accent5 3 9" xfId="2539"/>
    <cellStyle name="Accent5 3_Sheet1" xfId="2540"/>
    <cellStyle name="Accent5 4" xfId="1015"/>
    <cellStyle name="Accent5 5" xfId="1016"/>
    <cellStyle name="Accent5 5 2" xfId="2541"/>
    <cellStyle name="Accent5 5 3" xfId="2542"/>
    <cellStyle name="Accent5 5 4" xfId="2543"/>
    <cellStyle name="Accent5 5 5" xfId="2544"/>
    <cellStyle name="Accent5 5 6" xfId="2545"/>
    <cellStyle name="Accent5 5 7" xfId="2546"/>
    <cellStyle name="Accent5 5 8" xfId="2547"/>
    <cellStyle name="Accent5 5 9" xfId="2548"/>
    <cellStyle name="Accent5 6" xfId="1017"/>
    <cellStyle name="Accent5 7" xfId="1018"/>
    <cellStyle name="Accent5 8" xfId="1019"/>
    <cellStyle name="Accent5 9" xfId="1020"/>
    <cellStyle name="Accent6 10" xfId="1021"/>
    <cellStyle name="Accent6 11" xfId="1022"/>
    <cellStyle name="Accent6 12" xfId="1023"/>
    <cellStyle name="Accent6 13" xfId="1024"/>
    <cellStyle name="Accent6 14" xfId="2549"/>
    <cellStyle name="Accent6 15" xfId="2550"/>
    <cellStyle name="Accent6 16" xfId="2551"/>
    <cellStyle name="Accent6 17" xfId="5833"/>
    <cellStyle name="Accent6 2" xfId="120"/>
    <cellStyle name="Accent6 2 2" xfId="1025"/>
    <cellStyle name="Accent6 2 3" xfId="1026"/>
    <cellStyle name="Accent6 2 4" xfId="1027"/>
    <cellStyle name="Accent6 2 5" xfId="1028"/>
    <cellStyle name="Accent6 2 6" xfId="1029"/>
    <cellStyle name="Accent6 2 7" xfId="1030"/>
    <cellStyle name="Accent6 3" xfId="1031"/>
    <cellStyle name="Accent6 3 2" xfId="2552"/>
    <cellStyle name="Accent6 3 3" xfId="2553"/>
    <cellStyle name="Accent6 3 4" xfId="2554"/>
    <cellStyle name="Accent6 3 5" xfId="2555"/>
    <cellStyle name="Accent6 3 6" xfId="2556"/>
    <cellStyle name="Accent6 3 7" xfId="2557"/>
    <cellStyle name="Accent6 3 8" xfId="2558"/>
    <cellStyle name="Accent6 3 9" xfId="2559"/>
    <cellStyle name="Accent6 3_Sheet1" xfId="2560"/>
    <cellStyle name="Accent6 4" xfId="1032"/>
    <cellStyle name="Accent6 5" xfId="1033"/>
    <cellStyle name="Accent6 5 2" xfId="2561"/>
    <cellStyle name="Accent6 5 3" xfId="2562"/>
    <cellStyle name="Accent6 5 4" xfId="2563"/>
    <cellStyle name="Accent6 5 5" xfId="2564"/>
    <cellStyle name="Accent6 5 6" xfId="2565"/>
    <cellStyle name="Accent6 5 7" xfId="2566"/>
    <cellStyle name="Accent6 5 8" xfId="2567"/>
    <cellStyle name="Accent6 5 9" xfId="2568"/>
    <cellStyle name="Accent6 6" xfId="1034"/>
    <cellStyle name="Accent6 7" xfId="1035"/>
    <cellStyle name="Accent6 8" xfId="1036"/>
    <cellStyle name="Accent6 9" xfId="1037"/>
    <cellStyle name="Bad 10" xfId="1038"/>
    <cellStyle name="Bad 11" xfId="1039"/>
    <cellStyle name="Bad 12" xfId="1040"/>
    <cellStyle name="Bad 13" xfId="1041"/>
    <cellStyle name="Bad 14" xfId="2569"/>
    <cellStyle name="Bad 15" xfId="2570"/>
    <cellStyle name="Bad 16" xfId="2571"/>
    <cellStyle name="Bad 17" xfId="5834"/>
    <cellStyle name="Bad 2" xfId="121"/>
    <cellStyle name="Bad 2 2" xfId="1042"/>
    <cellStyle name="Bad 2 3" xfId="1043"/>
    <cellStyle name="Bad 2 4" xfId="1044"/>
    <cellStyle name="Bad 2 5" xfId="1045"/>
    <cellStyle name="Bad 2 6" xfId="1046"/>
    <cellStyle name="Bad 2 7" xfId="1047"/>
    <cellStyle name="Bad 3" xfId="1048"/>
    <cellStyle name="Bad 3 2" xfId="2572"/>
    <cellStyle name="Bad 3 3" xfId="2573"/>
    <cellStyle name="Bad 3 4" xfId="2574"/>
    <cellStyle name="Bad 3 5" xfId="2575"/>
    <cellStyle name="Bad 3 6" xfId="2576"/>
    <cellStyle name="Bad 3 7" xfId="2577"/>
    <cellStyle name="Bad 3 8" xfId="2578"/>
    <cellStyle name="Bad 3 9" xfId="2579"/>
    <cellStyle name="Bad 3_Sheet1" xfId="2580"/>
    <cellStyle name="Bad 4" xfId="1049"/>
    <cellStyle name="Bad 5" xfId="1050"/>
    <cellStyle name="Bad 5 2" xfId="2581"/>
    <cellStyle name="Bad 5 3" xfId="2582"/>
    <cellStyle name="Bad 5 4" xfId="2583"/>
    <cellStyle name="Bad 5 5" xfId="2584"/>
    <cellStyle name="Bad 5 6" xfId="2585"/>
    <cellStyle name="Bad 5 7" xfId="2586"/>
    <cellStyle name="Bad 5 8" xfId="2587"/>
    <cellStyle name="Bad 5 9" xfId="2588"/>
    <cellStyle name="Bad 6" xfId="1051"/>
    <cellStyle name="Bad 7" xfId="1052"/>
    <cellStyle name="Bad 8" xfId="1053"/>
    <cellStyle name="Bad 9" xfId="1054"/>
    <cellStyle name="Calc Currency (0)" xfId="2589"/>
    <cellStyle name="Calc Currency (2)" xfId="2590"/>
    <cellStyle name="Calc Percent (0)" xfId="2591"/>
    <cellStyle name="Calc Percent (1)" xfId="2592"/>
    <cellStyle name="Calc Percent (2)" xfId="2593"/>
    <cellStyle name="Calc Units (0)" xfId="2594"/>
    <cellStyle name="Calc Units (1)" xfId="2595"/>
    <cellStyle name="Calc Units (2)" xfId="2596"/>
    <cellStyle name="Calculation 10" xfId="1055"/>
    <cellStyle name="Calculation 11" xfId="1056"/>
    <cellStyle name="Calculation 12" xfId="1057"/>
    <cellStyle name="Calculation 13" xfId="1058"/>
    <cellStyle name="Calculation 14" xfId="2597"/>
    <cellStyle name="Calculation 15" xfId="2598"/>
    <cellStyle name="Calculation 16" xfId="2599"/>
    <cellStyle name="Calculation 17" xfId="5835"/>
    <cellStyle name="Calculation 2" xfId="122"/>
    <cellStyle name="Calculation 2 2" xfId="123"/>
    <cellStyle name="Calculation 2 2 2" xfId="124"/>
    <cellStyle name="Calculation 2 2 2 2" xfId="125"/>
    <cellStyle name="Calculation 2 2 2 3" xfId="126"/>
    <cellStyle name="Calculation 2 2 2 4" xfId="127"/>
    <cellStyle name="Calculation 2 2 2 5" xfId="128"/>
    <cellStyle name="Calculation 2 2 3" xfId="129"/>
    <cellStyle name="Calculation 2 2 4" xfId="130"/>
    <cellStyle name="Calculation 2 2 5" xfId="131"/>
    <cellStyle name="Calculation 2 2 6" xfId="132"/>
    <cellStyle name="Calculation 2 3" xfId="133"/>
    <cellStyle name="Calculation 2 3 2" xfId="134"/>
    <cellStyle name="Calculation 2 3 3" xfId="135"/>
    <cellStyle name="Calculation 2 3 4" xfId="136"/>
    <cellStyle name="Calculation 2 3 5" xfId="137"/>
    <cellStyle name="Calculation 2 4" xfId="138"/>
    <cellStyle name="Calculation 2 5" xfId="139"/>
    <cellStyle name="Calculation 2 6" xfId="140"/>
    <cellStyle name="Calculation 2 7" xfId="141"/>
    <cellStyle name="Calculation 3" xfId="1059"/>
    <cellStyle name="Calculation 3 2" xfId="2600"/>
    <cellStyle name="Calculation 3 3" xfId="2601"/>
    <cellStyle name="Calculation 3 4" xfId="2602"/>
    <cellStyle name="Calculation 3 5" xfId="2603"/>
    <cellStyle name="Calculation 3 6" xfId="2604"/>
    <cellStyle name="Calculation 3 7" xfId="2605"/>
    <cellStyle name="Calculation 3 8" xfId="2606"/>
    <cellStyle name="Calculation 3 9" xfId="2607"/>
    <cellStyle name="Calculation 3_Sheet1" xfId="2608"/>
    <cellStyle name="Calculation 4" xfId="1060"/>
    <cellStyle name="Calculation 5" xfId="1061"/>
    <cellStyle name="Calculation 5 2" xfId="2609"/>
    <cellStyle name="Calculation 5 3" xfId="2610"/>
    <cellStyle name="Calculation 5 4" xfId="2611"/>
    <cellStyle name="Calculation 5 5" xfId="2612"/>
    <cellStyle name="Calculation 5 6" xfId="2613"/>
    <cellStyle name="Calculation 5 7" xfId="2614"/>
    <cellStyle name="Calculation 5 8" xfId="2615"/>
    <cellStyle name="Calculation 5 9" xfId="2616"/>
    <cellStyle name="Calculation 6" xfId="1062"/>
    <cellStyle name="Calculation 7" xfId="1063"/>
    <cellStyle name="Calculation 8" xfId="1064"/>
    <cellStyle name="Calculation 9" xfId="1065"/>
    <cellStyle name="Check Cell 10" xfId="1066"/>
    <cellStyle name="Check Cell 11" xfId="1067"/>
    <cellStyle name="Check Cell 12" xfId="1068"/>
    <cellStyle name="Check Cell 13" xfId="1069"/>
    <cellStyle name="Check Cell 14" xfId="2617"/>
    <cellStyle name="Check Cell 15" xfId="2618"/>
    <cellStyle name="Check Cell 16" xfId="2619"/>
    <cellStyle name="Check Cell 17" xfId="5836"/>
    <cellStyle name="Check Cell 2" xfId="142"/>
    <cellStyle name="Check Cell 2 2" xfId="1070"/>
    <cellStyle name="Check Cell 2 3" xfId="1071"/>
    <cellStyle name="Check Cell 2 4" xfId="1072"/>
    <cellStyle name="Check Cell 2 5" xfId="1073"/>
    <cellStyle name="Check Cell 2 6" xfId="1074"/>
    <cellStyle name="Check Cell 2 7" xfId="1075"/>
    <cellStyle name="Check Cell 3" xfId="1076"/>
    <cellStyle name="Check Cell 3 2" xfId="2620"/>
    <cellStyle name="Check Cell 3 3" xfId="2621"/>
    <cellStyle name="Check Cell 3 4" xfId="2622"/>
    <cellStyle name="Check Cell 3 5" xfId="2623"/>
    <cellStyle name="Check Cell 3 6" xfId="2624"/>
    <cellStyle name="Check Cell 3 7" xfId="2625"/>
    <cellStyle name="Check Cell 3 8" xfId="2626"/>
    <cellStyle name="Check Cell 3 9" xfId="2627"/>
    <cellStyle name="Check Cell 3_Sheet1" xfId="2628"/>
    <cellStyle name="Check Cell 4" xfId="1077"/>
    <cellStyle name="Check Cell 5" xfId="1078"/>
    <cellStyle name="Check Cell 5 2" xfId="2629"/>
    <cellStyle name="Check Cell 5 3" xfId="2630"/>
    <cellStyle name="Check Cell 5 4" xfId="2631"/>
    <cellStyle name="Check Cell 5 5" xfId="2632"/>
    <cellStyle name="Check Cell 5 6" xfId="2633"/>
    <cellStyle name="Check Cell 5 7" xfId="2634"/>
    <cellStyle name="Check Cell 5 8" xfId="2635"/>
    <cellStyle name="Check Cell 5 9" xfId="2636"/>
    <cellStyle name="Check Cell 6" xfId="1079"/>
    <cellStyle name="Check Cell 7" xfId="1080"/>
    <cellStyle name="Check Cell 8" xfId="1081"/>
    <cellStyle name="Check Cell 9" xfId="1082"/>
    <cellStyle name="Comma" xfId="1" builtinId="3"/>
    <cellStyle name="Comma [0] 2" xfId="2637"/>
    <cellStyle name="Comma [00]" xfId="2638"/>
    <cellStyle name="Comma 10" xfId="143"/>
    <cellStyle name="Comma 10 2" xfId="144"/>
    <cellStyle name="Comma 10 2 2" xfId="2641"/>
    <cellStyle name="Comma 10 2 3" xfId="2642"/>
    <cellStyle name="Comma 10 2 4" xfId="2643"/>
    <cellStyle name="Comma 10 2 5" xfId="2644"/>
    <cellStyle name="Comma 10 2 6" xfId="2645"/>
    <cellStyle name="Comma 10 2 7" xfId="6318"/>
    <cellStyle name="Comma 10 2 8" xfId="7037"/>
    <cellStyle name="Comma 10 2 9" xfId="6688"/>
    <cellStyle name="Comma 10 2_SA3" xfId="2640"/>
    <cellStyle name="Comma 10 3" xfId="2646"/>
    <cellStyle name="Comma 10 4" xfId="2647"/>
    <cellStyle name="Comma 10 5" xfId="2648"/>
    <cellStyle name="Comma 10 6" xfId="2649"/>
    <cellStyle name="Comma 10 7" xfId="2650"/>
    <cellStyle name="Comma 10 8" xfId="2651"/>
    <cellStyle name="Comma 10 9" xfId="2652"/>
    <cellStyle name="Comma 10_SA3" xfId="2639"/>
    <cellStyle name="Comma 11" xfId="24"/>
    <cellStyle name="Comma 12" xfId="145"/>
    <cellStyle name="Comma 12 10" xfId="6497"/>
    <cellStyle name="Comma 12 2" xfId="146"/>
    <cellStyle name="Comma 12 2 2" xfId="2655"/>
    <cellStyle name="Comma 12 2 3" xfId="2656"/>
    <cellStyle name="Comma 12 2 4" xfId="2657"/>
    <cellStyle name="Comma 12 2 5" xfId="2658"/>
    <cellStyle name="Comma 12 2 6" xfId="2659"/>
    <cellStyle name="Comma 12 2_SA3" xfId="2654"/>
    <cellStyle name="Comma 12 3" xfId="2660"/>
    <cellStyle name="Comma 12 4" xfId="2661"/>
    <cellStyle name="Comma 12 5" xfId="2662"/>
    <cellStyle name="Comma 12 6" xfId="2663"/>
    <cellStyle name="Comma 12 7" xfId="2664"/>
    <cellStyle name="Comma 12 8" xfId="6319"/>
    <cellStyle name="Comma 12 9" xfId="7036"/>
    <cellStyle name="Comma 12_SA3" xfId="2653"/>
    <cellStyle name="Comma 13" xfId="147"/>
    <cellStyle name="Comma 13 10" xfId="2666"/>
    <cellStyle name="Comma 13 11" xfId="5837"/>
    <cellStyle name="Comma 13 11 2" xfId="6543"/>
    <cellStyle name="Comma 13 11 3" xfId="6862"/>
    <cellStyle name="Comma 13 11 4" xfId="6792"/>
    <cellStyle name="Comma 13 12" xfId="6160"/>
    <cellStyle name="Comma 13 13" xfId="7176"/>
    <cellStyle name="Comma 13 14" xfId="6594"/>
    <cellStyle name="Comma 13 2" xfId="2667"/>
    <cellStyle name="Comma 13 2 2" xfId="5838"/>
    <cellStyle name="Comma 13 2 3" xfId="5839"/>
    <cellStyle name="Comma 13 2 4" xfId="6320"/>
    <cellStyle name="Comma 13 2 5" xfId="7035"/>
    <cellStyle name="Comma 13 2 6" xfId="7249"/>
    <cellStyle name="Comma 13 3" xfId="2668"/>
    <cellStyle name="Comma 13 4" xfId="2669"/>
    <cellStyle name="Comma 13 5" xfId="2670"/>
    <cellStyle name="Comma 13 6" xfId="2671"/>
    <cellStyle name="Comma 13 7" xfId="2672"/>
    <cellStyle name="Comma 13 8" xfId="2673"/>
    <cellStyle name="Comma 13 9" xfId="2674"/>
    <cellStyle name="Comma 13_SA3" xfId="2665"/>
    <cellStyle name="Comma 14" xfId="148"/>
    <cellStyle name="Comma 14 2" xfId="2676"/>
    <cellStyle name="Comma 14 3" xfId="2677"/>
    <cellStyle name="Comma 14 4" xfId="2678"/>
    <cellStyle name="Comma 14 5" xfId="2679"/>
    <cellStyle name="Comma 14 6" xfId="2680"/>
    <cellStyle name="Comma 14 7" xfId="2681"/>
    <cellStyle name="Comma 14_SA3" xfId="2675"/>
    <cellStyle name="Comma 15" xfId="149"/>
    <cellStyle name="Comma 15 2" xfId="2683"/>
    <cellStyle name="Comma 15 3" xfId="2684"/>
    <cellStyle name="Comma 15 4" xfId="2685"/>
    <cellStyle name="Comma 15 5" xfId="2686"/>
    <cellStyle name="Comma 15 6" xfId="2687"/>
    <cellStyle name="Comma 15 7" xfId="2688"/>
    <cellStyle name="Comma 15_SA3" xfId="2682"/>
    <cellStyle name="Comma 16" xfId="150"/>
    <cellStyle name="Comma 16 2" xfId="2690"/>
    <cellStyle name="Comma 16 3" xfId="2691"/>
    <cellStyle name="Comma 16 4" xfId="2692"/>
    <cellStyle name="Comma 16 5" xfId="2693"/>
    <cellStyle name="Comma 16 6" xfId="2694"/>
    <cellStyle name="Comma 16_SA3" xfId="2689"/>
    <cellStyle name="Comma 17" xfId="2695"/>
    <cellStyle name="Comma 18" xfId="2696"/>
    <cellStyle name="Comma 18 2" xfId="2697"/>
    <cellStyle name="Comma 18 3" xfId="2698"/>
    <cellStyle name="Comma 18 4" xfId="2699"/>
    <cellStyle name="Comma 19" xfId="2700"/>
    <cellStyle name="Comma 19 2" xfId="2701"/>
    <cellStyle name="Comma 19 3" xfId="2702"/>
    <cellStyle name="Comma 2" xfId="2"/>
    <cellStyle name="Comma 2 10" xfId="151"/>
    <cellStyle name="Comma 2 10 2" xfId="2704"/>
    <cellStyle name="Comma 2 10 2 2" xfId="2705"/>
    <cellStyle name="Comma 2 10 3" xfId="2706"/>
    <cellStyle name="Comma 2 10 4" xfId="2707"/>
    <cellStyle name="Comma 2 10 5" xfId="2708"/>
    <cellStyle name="Comma 2 10 6" xfId="2709"/>
    <cellStyle name="Comma 2 10 7" xfId="2710"/>
    <cellStyle name="Comma 2 10 8" xfId="2711"/>
    <cellStyle name="Comma 2 10_SA3" xfId="2703"/>
    <cellStyle name="Comma 2 11" xfId="152"/>
    <cellStyle name="Comma 2 12" xfId="153"/>
    <cellStyle name="Comma 2 12 2" xfId="2713"/>
    <cellStyle name="Comma 2 12 3" xfId="2714"/>
    <cellStyle name="Comma 2 12 4" xfId="2715"/>
    <cellStyle name="Comma 2 12 5" xfId="2716"/>
    <cellStyle name="Comma 2 12 6" xfId="2717"/>
    <cellStyle name="Comma 2 12 7" xfId="2718"/>
    <cellStyle name="Comma 2 12_SA3" xfId="2712"/>
    <cellStyle name="Comma 2 13" xfId="154"/>
    <cellStyle name="Comma 2 13 2" xfId="2720"/>
    <cellStyle name="Comma 2 13 3" xfId="2721"/>
    <cellStyle name="Comma 2 13 4" xfId="2722"/>
    <cellStyle name="Comma 2 13 5" xfId="2723"/>
    <cellStyle name="Comma 2 13 6" xfId="2724"/>
    <cellStyle name="Comma 2 13 7" xfId="2725"/>
    <cellStyle name="Comma 2 13_SA3" xfId="2719"/>
    <cellStyle name="Comma 2 14" xfId="155"/>
    <cellStyle name="Comma 2 14 2" xfId="2727"/>
    <cellStyle name="Comma 2 14 3" xfId="2728"/>
    <cellStyle name="Comma 2 14 4" xfId="2729"/>
    <cellStyle name="Comma 2 14 5" xfId="2730"/>
    <cellStyle name="Comma 2 14 6" xfId="2731"/>
    <cellStyle name="Comma 2 14_SA3" xfId="2726"/>
    <cellStyle name="Comma 2 15" xfId="156"/>
    <cellStyle name="Comma 2 15 2" xfId="2733"/>
    <cellStyle name="Comma 2 15 3" xfId="2734"/>
    <cellStyle name="Comma 2 15 4" xfId="2735"/>
    <cellStyle name="Comma 2 15 5" xfId="2736"/>
    <cellStyle name="Comma 2 15 6" xfId="2737"/>
    <cellStyle name="Comma 2 15_SA3" xfId="2732"/>
    <cellStyle name="Comma 2 16" xfId="157"/>
    <cellStyle name="Comma 2 16 2" xfId="2739"/>
    <cellStyle name="Comma 2 16 3" xfId="2740"/>
    <cellStyle name="Comma 2 16 4" xfId="2741"/>
    <cellStyle name="Comma 2 16 5" xfId="2742"/>
    <cellStyle name="Comma 2 16 6" xfId="2743"/>
    <cellStyle name="Comma 2 16 7" xfId="6321"/>
    <cellStyle name="Comma 2 16 8" xfId="7034"/>
    <cellStyle name="Comma 2 16 9" xfId="6689"/>
    <cellStyle name="Comma 2 16_SA3" xfId="2738"/>
    <cellStyle name="Comma 2 17" xfId="158"/>
    <cellStyle name="Comma 2 17 2" xfId="2745"/>
    <cellStyle name="Comma 2 17 3" xfId="2746"/>
    <cellStyle name="Comma 2 17 4" xfId="2747"/>
    <cellStyle name="Comma 2 17 5" xfId="2748"/>
    <cellStyle name="Comma 2 17 6" xfId="2749"/>
    <cellStyle name="Comma 2 17_SA3" xfId="2744"/>
    <cellStyle name="Comma 2 18" xfId="159"/>
    <cellStyle name="Comma 2 18 2" xfId="2751"/>
    <cellStyle name="Comma 2 18 3" xfId="2752"/>
    <cellStyle name="Comma 2 18 4" xfId="2753"/>
    <cellStyle name="Comma 2 18 5" xfId="2754"/>
    <cellStyle name="Comma 2 18 6" xfId="2755"/>
    <cellStyle name="Comma 2 18_SA3" xfId="2750"/>
    <cellStyle name="Comma 2 19" xfId="160"/>
    <cellStyle name="Comma 2 19 2" xfId="2757"/>
    <cellStyle name="Comma 2 19 3" xfId="2758"/>
    <cellStyle name="Comma 2 19 4" xfId="2759"/>
    <cellStyle name="Comma 2 19 5" xfId="2760"/>
    <cellStyle name="Comma 2 19 6" xfId="2761"/>
    <cellStyle name="Comma 2 19_SA3" xfId="2756"/>
    <cellStyle name="Comma 2 2" xfId="3"/>
    <cellStyle name="Comma 2 2 10" xfId="2762"/>
    <cellStyle name="Comma 2 2 11" xfId="2763"/>
    <cellStyle name="Comma 2 2 12" xfId="2764"/>
    <cellStyle name="Comma 2 2 13" xfId="2765"/>
    <cellStyle name="Comma 2 2 14" xfId="2766"/>
    <cellStyle name="Comma 2 2 15" xfId="2767"/>
    <cellStyle name="Comma 2 2 16" xfId="5840"/>
    <cellStyle name="Comma 2 2 17" xfId="6162"/>
    <cellStyle name="Comma 2 2 18" xfId="7174"/>
    <cellStyle name="Comma 2 2 19" xfId="6596"/>
    <cellStyle name="Comma 2 2 2" xfId="2768"/>
    <cellStyle name="Comma 2 2 2 2" xfId="2769"/>
    <cellStyle name="Comma 2 2 2 2 2" xfId="2770"/>
    <cellStyle name="Comma 2 2 2 2 2 2" xfId="2771"/>
    <cellStyle name="Comma 2 2 2 2 2 3" xfId="2772"/>
    <cellStyle name="Comma 2 2 2 2 2 4" xfId="2773"/>
    <cellStyle name="Comma 2 2 2 2 2_Sheet1" xfId="2774"/>
    <cellStyle name="Comma 2 2 2 2 3" xfId="2775"/>
    <cellStyle name="Comma 2 2 2 2 4" xfId="2776"/>
    <cellStyle name="Comma 2 2 2 3" xfId="2777"/>
    <cellStyle name="Comma 2 2 2 4" xfId="2778"/>
    <cellStyle name="Comma 2 2 3" xfId="2779"/>
    <cellStyle name="Comma 2 2 4" xfId="2780"/>
    <cellStyle name="Comma 2 2 5" xfId="2781"/>
    <cellStyle name="Comma 2 2 6" xfId="2782"/>
    <cellStyle name="Comma 2 2 7" xfId="2783"/>
    <cellStyle name="Comma 2 2 8" xfId="2784"/>
    <cellStyle name="Comma 2 2 9" xfId="2785"/>
    <cellStyle name="Comma 2 2_A7-CFlow" xfId="1084"/>
    <cellStyle name="Comma 2 20" xfId="161"/>
    <cellStyle name="Comma 2 20 2" xfId="2787"/>
    <cellStyle name="Comma 2 20 3" xfId="2788"/>
    <cellStyle name="Comma 2 20 4" xfId="2789"/>
    <cellStyle name="Comma 2 20 5" xfId="2790"/>
    <cellStyle name="Comma 2 20 6" xfId="2791"/>
    <cellStyle name="Comma 2 20_SA3" xfId="2786"/>
    <cellStyle name="Comma 2 21" xfId="162"/>
    <cellStyle name="Comma 2 21 2" xfId="2793"/>
    <cellStyle name="Comma 2 21 3" xfId="2794"/>
    <cellStyle name="Comma 2 21 4" xfId="2795"/>
    <cellStyle name="Comma 2 21 5" xfId="2796"/>
    <cellStyle name="Comma 2 21 6" xfId="2797"/>
    <cellStyle name="Comma 2 21_SA3" xfId="2792"/>
    <cellStyle name="Comma 2 22" xfId="2798"/>
    <cellStyle name="Comma 2 23" xfId="2799"/>
    <cellStyle name="Comma 2 24" xfId="2800"/>
    <cellStyle name="Comma 2 25" xfId="2801"/>
    <cellStyle name="Comma 2 26" xfId="2802"/>
    <cellStyle name="Comma 2 27" xfId="2803"/>
    <cellStyle name="Comma 2 28" xfId="2804"/>
    <cellStyle name="Comma 2 29" xfId="2805"/>
    <cellStyle name="Comma 2 3" xfId="163"/>
    <cellStyle name="Comma 2 3 10" xfId="2807"/>
    <cellStyle name="Comma 2 3 2" xfId="2808"/>
    <cellStyle name="Comma 2 3 3" xfId="2809"/>
    <cellStyle name="Comma 2 3 4" xfId="2810"/>
    <cellStyle name="Comma 2 3 5" xfId="2811"/>
    <cellStyle name="Comma 2 3 6" xfId="2812"/>
    <cellStyle name="Comma 2 3 7" xfId="2813"/>
    <cellStyle name="Comma 2 3 8" xfId="2814"/>
    <cellStyle name="Comma 2 3 9" xfId="2815"/>
    <cellStyle name="Comma 2 3_SA3" xfId="2806"/>
    <cellStyle name="Comma 2 30" xfId="2816"/>
    <cellStyle name="Comma 2 31" xfId="2817"/>
    <cellStyle name="Comma 2 32" xfId="2818"/>
    <cellStyle name="Comma 2 33" xfId="2819"/>
    <cellStyle name="Comma 2 34" xfId="2820"/>
    <cellStyle name="Comma 2 35" xfId="2821"/>
    <cellStyle name="Comma 2 36" xfId="2822"/>
    <cellStyle name="Comma 2 37" xfId="2823"/>
    <cellStyle name="Comma 2 38" xfId="2824"/>
    <cellStyle name="Comma 2 39" xfId="2825"/>
    <cellStyle name="Comma 2 4" xfId="164"/>
    <cellStyle name="Comma 2 4 10" xfId="2827"/>
    <cellStyle name="Comma 2 4 11" xfId="2828"/>
    <cellStyle name="Comma 2 4 12" xfId="2829"/>
    <cellStyle name="Comma 2 4 13" xfId="2830"/>
    <cellStyle name="Comma 2 4 14" xfId="2831"/>
    <cellStyle name="Comma 2 4 2" xfId="2832"/>
    <cellStyle name="Comma 2 4 3" xfId="2833"/>
    <cellStyle name="Comma 2 4 3 2" xfId="2834"/>
    <cellStyle name="Comma 2 4 4" xfId="2835"/>
    <cellStyle name="Comma 2 4 4 2" xfId="2836"/>
    <cellStyle name="Comma 2 4 5" xfId="2837"/>
    <cellStyle name="Comma 2 4 6" xfId="2838"/>
    <cellStyle name="Comma 2 4 7" xfId="2839"/>
    <cellStyle name="Comma 2 4 8" xfId="2840"/>
    <cellStyle name="Comma 2 4 9" xfId="2841"/>
    <cellStyle name="Comma 2 4_SA3" xfId="2826"/>
    <cellStyle name="Comma 2 40" xfId="2842"/>
    <cellStyle name="Comma 2 41" xfId="2843"/>
    <cellStyle name="Comma 2 42" xfId="2844"/>
    <cellStyle name="Comma 2 43" xfId="2845"/>
    <cellStyle name="Comma 2 44" xfId="2846"/>
    <cellStyle name="Comma 2 45" xfId="2847"/>
    <cellStyle name="Comma 2 46" xfId="2848"/>
    <cellStyle name="Comma 2 47" xfId="2849"/>
    <cellStyle name="Comma 2 48" xfId="2850"/>
    <cellStyle name="Comma 2 49" xfId="2851"/>
    <cellStyle name="Comma 2 5" xfId="165"/>
    <cellStyle name="Comma 2 5 10" xfId="2853"/>
    <cellStyle name="Comma 2 5 2" xfId="2854"/>
    <cellStyle name="Comma 2 5 3" xfId="2855"/>
    <cellStyle name="Comma 2 5 4" xfId="2856"/>
    <cellStyle name="Comma 2 5 5" xfId="2857"/>
    <cellStyle name="Comma 2 5 6" xfId="2858"/>
    <cellStyle name="Comma 2 5 7" xfId="2859"/>
    <cellStyle name="Comma 2 5 8" xfId="2860"/>
    <cellStyle name="Comma 2 5 9" xfId="2861"/>
    <cellStyle name="Comma 2 5_SA3" xfId="2852"/>
    <cellStyle name="Comma 2 50" xfId="2862"/>
    <cellStyle name="Comma 2 51" xfId="2863"/>
    <cellStyle name="Comma 2 52" xfId="2864"/>
    <cellStyle name="Comma 2 53" xfId="5583"/>
    <cellStyle name="Comma 2 54" xfId="5584"/>
    <cellStyle name="Comma 2 55" xfId="5841"/>
    <cellStyle name="Comma 2 56" xfId="6161"/>
    <cellStyle name="Comma 2 57" xfId="7175"/>
    <cellStyle name="Comma 2 58" xfId="6595"/>
    <cellStyle name="Comma 2 6" xfId="166"/>
    <cellStyle name="Comma 2 6 10" xfId="2866"/>
    <cellStyle name="Comma 2 6 11" xfId="2867"/>
    <cellStyle name="Comma 2 6 2" xfId="2868"/>
    <cellStyle name="Comma 2 6 3" xfId="2869"/>
    <cellStyle name="Comma 2 6 4" xfId="2870"/>
    <cellStyle name="Comma 2 6 5" xfId="2871"/>
    <cellStyle name="Comma 2 6 6" xfId="2872"/>
    <cellStyle name="Comma 2 6 7" xfId="2873"/>
    <cellStyle name="Comma 2 6 8" xfId="2874"/>
    <cellStyle name="Comma 2 6 9" xfId="2875"/>
    <cellStyle name="Comma 2 6_SA3" xfId="2865"/>
    <cellStyle name="Comma 2 7" xfId="167"/>
    <cellStyle name="Comma 2 7 10" xfId="2877"/>
    <cellStyle name="Comma 2 7 2" xfId="2878"/>
    <cellStyle name="Comma 2 7 3" xfId="2879"/>
    <cellStyle name="Comma 2 7 4" xfId="2880"/>
    <cellStyle name="Comma 2 7 5" xfId="2881"/>
    <cellStyle name="Comma 2 7 6" xfId="2882"/>
    <cellStyle name="Comma 2 7 7" xfId="2883"/>
    <cellStyle name="Comma 2 7 8" xfId="2884"/>
    <cellStyle name="Comma 2 7 9" xfId="2885"/>
    <cellStyle name="Comma 2 7_SA3" xfId="2876"/>
    <cellStyle name="Comma 2 8" xfId="168"/>
    <cellStyle name="Comma 2 8 10" xfId="7326"/>
    <cellStyle name="Comma 2 8 2" xfId="2886"/>
    <cellStyle name="Comma 2 8 3" xfId="2887"/>
    <cellStyle name="Comma 2 8 4" xfId="2888"/>
    <cellStyle name="Comma 2 8 5" xfId="2889"/>
    <cellStyle name="Comma 2 8 6" xfId="2890"/>
    <cellStyle name="Comma 2 8 7" xfId="5843"/>
    <cellStyle name="Comma 2 8 8" xfId="6229"/>
    <cellStyle name="Comma 2 8 9" xfId="7227"/>
    <cellStyle name="Comma 2 8_SA1" xfId="5842"/>
    <cellStyle name="Comma 2 9" xfId="169"/>
    <cellStyle name="Comma 2 9 2" xfId="2892"/>
    <cellStyle name="Comma 2 9 3" xfId="2893"/>
    <cellStyle name="Comma 2 9 4" xfId="2894"/>
    <cellStyle name="Comma 2 9 5" xfId="2895"/>
    <cellStyle name="Comma 2 9 6" xfId="2896"/>
    <cellStyle name="Comma 2 9_SA3" xfId="2891"/>
    <cellStyle name="Comma 2_A7-CFlow" xfId="1083"/>
    <cellStyle name="Comma 20" xfId="2897"/>
    <cellStyle name="Comma 21" xfId="170"/>
    <cellStyle name="Comma 21 10" xfId="6322"/>
    <cellStyle name="Comma 21 11" xfId="7033"/>
    <cellStyle name="Comma 21 12" xfId="6690"/>
    <cellStyle name="Comma 21 2" xfId="171"/>
    <cellStyle name="Comma 21 2 2" xfId="2900"/>
    <cellStyle name="Comma 21 2 3" xfId="2901"/>
    <cellStyle name="Comma 21 2 4" xfId="2902"/>
    <cellStyle name="Comma 21 2 5" xfId="2903"/>
    <cellStyle name="Comma 21 2 6" xfId="2904"/>
    <cellStyle name="Comma 21 2 7" xfId="6323"/>
    <cellStyle name="Comma 21 2 8" xfId="7032"/>
    <cellStyle name="Comma 21 2 9" xfId="6498"/>
    <cellStyle name="Comma 21 2_SA3" xfId="2899"/>
    <cellStyle name="Comma 21 3" xfId="172"/>
    <cellStyle name="Comma 21 3 2" xfId="2906"/>
    <cellStyle name="Comma 21 3 3" xfId="2907"/>
    <cellStyle name="Comma 21 3 4" xfId="2908"/>
    <cellStyle name="Comma 21 3 5" xfId="2909"/>
    <cellStyle name="Comma 21 3 6" xfId="2910"/>
    <cellStyle name="Comma 21 3 7" xfId="6324"/>
    <cellStyle name="Comma 21 3 8" xfId="7031"/>
    <cellStyle name="Comma 21 3 9" xfId="6691"/>
    <cellStyle name="Comma 21 3_SA3" xfId="2905"/>
    <cellStyle name="Comma 21 4" xfId="2911"/>
    <cellStyle name="Comma 21 5" xfId="2912"/>
    <cellStyle name="Comma 21 6" xfId="2913"/>
    <cellStyle name="Comma 21 7" xfId="2914"/>
    <cellStyle name="Comma 21 8" xfId="2915"/>
    <cellStyle name="Comma 21 9" xfId="2916"/>
    <cellStyle name="Comma 21_SA3" xfId="2898"/>
    <cellStyle name="Comma 22" xfId="2917"/>
    <cellStyle name="Comma 23" xfId="2918"/>
    <cellStyle name="Comma 24" xfId="2919"/>
    <cellStyle name="Comma 25" xfId="2920"/>
    <cellStyle name="Comma 26" xfId="2921"/>
    <cellStyle name="Comma 27" xfId="2922"/>
    <cellStyle name="Comma 28" xfId="2923"/>
    <cellStyle name="Comma 29" xfId="2924"/>
    <cellStyle name="Comma 3" xfId="4"/>
    <cellStyle name="Comma 3 10" xfId="5844"/>
    <cellStyle name="Comma 3 11" xfId="6163"/>
    <cellStyle name="Comma 3 12" xfId="7173"/>
    <cellStyle name="Comma 3 13" xfId="6597"/>
    <cellStyle name="Comma 3 2" xfId="173"/>
    <cellStyle name="Comma 3 2 10" xfId="2926"/>
    <cellStyle name="Comma 3 2 11" xfId="5845"/>
    <cellStyle name="Comma 3 2 12" xfId="6164"/>
    <cellStyle name="Comma 3 2 13" xfId="7172"/>
    <cellStyle name="Comma 3 2 14" xfId="6598"/>
    <cellStyle name="Comma 3 2 2" xfId="2927"/>
    <cellStyle name="Comma 3 2 2 2" xfId="5846"/>
    <cellStyle name="Comma 3 2 2 3" xfId="5847"/>
    <cellStyle name="Comma 3 2 2 4" xfId="6325"/>
    <cellStyle name="Comma 3 2 2 5" xfId="7030"/>
    <cellStyle name="Comma 3 2 2 6" xfId="6692"/>
    <cellStyle name="Comma 3 2 3" xfId="2928"/>
    <cellStyle name="Comma 3 2 4" xfId="2929"/>
    <cellStyle name="Comma 3 2 5" xfId="2930"/>
    <cellStyle name="Comma 3 2 6" xfId="2931"/>
    <cellStyle name="Comma 3 2 7" xfId="2932"/>
    <cellStyle name="Comma 3 2 8" xfId="2933"/>
    <cellStyle name="Comma 3 2 9" xfId="2934"/>
    <cellStyle name="Comma 3 2_SA3" xfId="2925"/>
    <cellStyle name="Comma 3 3" xfId="174"/>
    <cellStyle name="Comma 3 3 10" xfId="6628"/>
    <cellStyle name="Comma 3 3 2" xfId="2935"/>
    <cellStyle name="Comma 3 3 3" xfId="2936"/>
    <cellStyle name="Comma 3 3 4" xfId="2937"/>
    <cellStyle name="Comma 3 3 5" xfId="2938"/>
    <cellStyle name="Comma 3 3 6" xfId="2939"/>
    <cellStyle name="Comma 3 3 7" xfId="5849"/>
    <cellStyle name="Comma 3 3 8" xfId="6230"/>
    <cellStyle name="Comma 3 3 9" xfId="7114"/>
    <cellStyle name="Comma 3 3_SA1" xfId="5848"/>
    <cellStyle name="Comma 3 4" xfId="175"/>
    <cellStyle name="Comma 3 4 2" xfId="2941"/>
    <cellStyle name="Comma 3 4 3" xfId="2942"/>
    <cellStyle name="Comma 3 4 4" xfId="2943"/>
    <cellStyle name="Comma 3 4 5" xfId="2944"/>
    <cellStyle name="Comma 3 4 6" xfId="2945"/>
    <cellStyle name="Comma 3 4_SA3" xfId="2940"/>
    <cellStyle name="Comma 3 5" xfId="176"/>
    <cellStyle name="Comma 3 5 2" xfId="2947"/>
    <cellStyle name="Comma 3 5 3" xfId="2948"/>
    <cellStyle name="Comma 3 5 4" xfId="2949"/>
    <cellStyle name="Comma 3 5 5" xfId="2950"/>
    <cellStyle name="Comma 3 5 6" xfId="2951"/>
    <cellStyle name="Comma 3 5 7" xfId="2952"/>
    <cellStyle name="Comma 3 5_SA3" xfId="2946"/>
    <cellStyle name="Comma 3 6" xfId="177"/>
    <cellStyle name="Comma 3 6 2" xfId="2953"/>
    <cellStyle name="Comma 3 6 3" xfId="2954"/>
    <cellStyle name="Comma 3 6 4" xfId="2955"/>
    <cellStyle name="Comma 3 6 5" xfId="2956"/>
    <cellStyle name="Comma 3 6 6" xfId="2957"/>
    <cellStyle name="Comma 3 7" xfId="178"/>
    <cellStyle name="Comma 3 7 2" xfId="2958"/>
    <cellStyle name="Comma 3 7 3" xfId="2959"/>
    <cellStyle name="Comma 3 7 4" xfId="2960"/>
    <cellStyle name="Comma 3 7 5" xfId="2961"/>
    <cellStyle name="Comma 3 7 6" xfId="2962"/>
    <cellStyle name="Comma 3 8" xfId="2963"/>
    <cellStyle name="Comma 3 9" xfId="2964"/>
    <cellStyle name="Comma 3_A7-CFlow" xfId="1085"/>
    <cellStyle name="Comma 30" xfId="2965"/>
    <cellStyle name="Comma 31" xfId="2966"/>
    <cellStyle name="Comma 32" xfId="2967"/>
    <cellStyle name="Comma 33" xfId="2968"/>
    <cellStyle name="Comma 34" xfId="2969"/>
    <cellStyle name="Comma 35" xfId="2970"/>
    <cellStyle name="Comma 36" xfId="2971"/>
    <cellStyle name="Comma 37" xfId="2972"/>
    <cellStyle name="Comma 38" xfId="2973"/>
    <cellStyle name="Comma 39" xfId="2974"/>
    <cellStyle name="Comma 4" xfId="1086"/>
    <cellStyle name="Comma 4 10" xfId="2976"/>
    <cellStyle name="Comma 4 11" xfId="2977"/>
    <cellStyle name="Comma 4 12" xfId="2978"/>
    <cellStyle name="Comma 4 13" xfId="2979"/>
    <cellStyle name="Comma 4 2" xfId="179"/>
    <cellStyle name="Comma 4 2 10" xfId="2981"/>
    <cellStyle name="Comma 4 2 2" xfId="2982"/>
    <cellStyle name="Comma 4 2 3" xfId="2983"/>
    <cellStyle name="Comma 4 2 4" xfId="2984"/>
    <cellStyle name="Comma 4 2 5" xfId="2985"/>
    <cellStyle name="Comma 4 2 6" xfId="2986"/>
    <cellStyle name="Comma 4 2 7" xfId="2987"/>
    <cellStyle name="Comma 4 2 8" xfId="2988"/>
    <cellStyle name="Comma 4 2 9" xfId="2989"/>
    <cellStyle name="Comma 4 2_SA3" xfId="2980"/>
    <cellStyle name="Comma 4 3" xfId="180"/>
    <cellStyle name="Comma 4 3 2" xfId="2991"/>
    <cellStyle name="Comma 4 3 3" xfId="2992"/>
    <cellStyle name="Comma 4 3 4" xfId="2993"/>
    <cellStyle name="Comma 4 3 5" xfId="2994"/>
    <cellStyle name="Comma 4 3 6" xfId="2995"/>
    <cellStyle name="Comma 4 3_SA3" xfId="2990"/>
    <cellStyle name="Comma 4 4" xfId="181"/>
    <cellStyle name="Comma 4 4 2" xfId="2997"/>
    <cellStyle name="Comma 4 4 3" xfId="2998"/>
    <cellStyle name="Comma 4 4 4" xfId="2999"/>
    <cellStyle name="Comma 4 4 5" xfId="3000"/>
    <cellStyle name="Comma 4 4 6" xfId="3001"/>
    <cellStyle name="Comma 4 4_SA3" xfId="2996"/>
    <cellStyle name="Comma 4 5" xfId="182"/>
    <cellStyle name="Comma 4 5 2" xfId="3003"/>
    <cellStyle name="Comma 4 5 3" xfId="3004"/>
    <cellStyle name="Comma 4 5 4" xfId="3005"/>
    <cellStyle name="Comma 4 5 5" xfId="3006"/>
    <cellStyle name="Comma 4 5 6" xfId="3007"/>
    <cellStyle name="Comma 4 5_SA3" xfId="3002"/>
    <cellStyle name="Comma 4 6" xfId="183"/>
    <cellStyle name="Comma 4 7" xfId="184"/>
    <cellStyle name="Comma 4 8" xfId="3008"/>
    <cellStyle name="Comma 4 9" xfId="3009"/>
    <cellStyle name="Comma 4_SA3" xfId="2975"/>
    <cellStyle name="Comma 40" xfId="3010"/>
    <cellStyle name="Comma 41" xfId="3011"/>
    <cellStyle name="Comma 42" xfId="3012"/>
    <cellStyle name="Comma 43" xfId="3013"/>
    <cellStyle name="Comma 44" xfId="3014"/>
    <cellStyle name="Comma 45" xfId="3015"/>
    <cellStyle name="Comma 46" xfId="3016"/>
    <cellStyle name="Comma 47" xfId="3017"/>
    <cellStyle name="Comma 48" xfId="3018"/>
    <cellStyle name="Comma 49" xfId="3019"/>
    <cellStyle name="Comma 5" xfId="21"/>
    <cellStyle name="Comma 5 10" xfId="6165"/>
    <cellStyle name="Comma 5 11" xfId="7233"/>
    <cellStyle name="Comma 5 12" xfId="7331"/>
    <cellStyle name="Comma 5 2" xfId="1088"/>
    <cellStyle name="Comma 5 2 2" xfId="3021"/>
    <cellStyle name="Comma 5 2 3" xfId="3022"/>
    <cellStyle name="Comma 5 2 4" xfId="3023"/>
    <cellStyle name="Comma 5 2 5" xfId="3024"/>
    <cellStyle name="Comma 5 2 6" xfId="3025"/>
    <cellStyle name="Comma 5 2 7" xfId="3026"/>
    <cellStyle name="Comma 5 2 8" xfId="3027"/>
    <cellStyle name="Comma 5 2 9" xfId="3028"/>
    <cellStyle name="Comma 5 2_SA3" xfId="3020"/>
    <cellStyle name="Comma 5 3" xfId="3029"/>
    <cellStyle name="Comma 5 3 2" xfId="5850"/>
    <cellStyle name="Comma 5 3 3" xfId="5851"/>
    <cellStyle name="Comma 5 3 4" xfId="6241"/>
    <cellStyle name="Comma 5 3 5" xfId="7104"/>
    <cellStyle name="Comma 5 3 6" xfId="6494"/>
    <cellStyle name="Comma 5 4" xfId="3030"/>
    <cellStyle name="Comma 5 5" xfId="3031"/>
    <cellStyle name="Comma 5 6" xfId="3032"/>
    <cellStyle name="Comma 5 7" xfId="3033"/>
    <cellStyle name="Comma 5 8" xfId="3034"/>
    <cellStyle name="Comma 5 9" xfId="5852"/>
    <cellStyle name="Comma 5_A7-CFlow" xfId="1087"/>
    <cellStyle name="Comma 50" xfId="3035"/>
    <cellStyle name="Comma 51" xfId="3036"/>
    <cellStyle name="Comma 52" xfId="3037"/>
    <cellStyle name="Comma 53" xfId="3038"/>
    <cellStyle name="Comma 54" xfId="3039"/>
    <cellStyle name="Comma 55" xfId="3040"/>
    <cellStyle name="Comma 56" xfId="3041"/>
    <cellStyle name="Comma 57" xfId="3042"/>
    <cellStyle name="Comma 58" xfId="3043"/>
    <cellStyle name="Comma 59" xfId="3044"/>
    <cellStyle name="Comma 6" xfId="185"/>
    <cellStyle name="Comma 6 10" xfId="3046"/>
    <cellStyle name="Comma 6 11" xfId="5853"/>
    <cellStyle name="Comma 6 12" xfId="6166"/>
    <cellStyle name="Comma 6 13" xfId="7171"/>
    <cellStyle name="Comma 6 14" xfId="6599"/>
    <cellStyle name="Comma 6 2" xfId="1089"/>
    <cellStyle name="Comma 6 3" xfId="3047"/>
    <cellStyle name="Comma 6 3 2" xfId="5854"/>
    <cellStyle name="Comma 6 3 3" xfId="5855"/>
    <cellStyle name="Comma 6 3 4" xfId="6326"/>
    <cellStyle name="Comma 6 3 5" xfId="7029"/>
    <cellStyle name="Comma 6 3 6" xfId="6499"/>
    <cellStyle name="Comma 6 4" xfId="3048"/>
    <cellStyle name="Comma 6 5" xfId="3049"/>
    <cellStyle name="Comma 6 6" xfId="3050"/>
    <cellStyle name="Comma 6 7" xfId="3051"/>
    <cellStyle name="Comma 6 8" xfId="3052"/>
    <cellStyle name="Comma 6 9" xfId="3053"/>
    <cellStyle name="Comma 6_SA3" xfId="3045"/>
    <cellStyle name="Comma 60" xfId="3054"/>
    <cellStyle name="Comma 61" xfId="3055"/>
    <cellStyle name="Comma 62" xfId="3056"/>
    <cellStyle name="Comma 63" xfId="3057"/>
    <cellStyle name="Comma 64" xfId="3058"/>
    <cellStyle name="Comma 65" xfId="3059"/>
    <cellStyle name="Comma 66" xfId="3060"/>
    <cellStyle name="Comma 67" xfId="3061"/>
    <cellStyle name="Comma 68" xfId="3062"/>
    <cellStyle name="Comma 69" xfId="3063"/>
    <cellStyle name="Comma 7" xfId="186"/>
    <cellStyle name="Comma 7 10" xfId="3065"/>
    <cellStyle name="Comma 7 2" xfId="1090"/>
    <cellStyle name="Comma 7 3" xfId="3066"/>
    <cellStyle name="Comma 7 4" xfId="3067"/>
    <cellStyle name="Comma 7 5" xfId="3068"/>
    <cellStyle name="Comma 7 6" xfId="3069"/>
    <cellStyle name="Comma 7 7" xfId="3070"/>
    <cellStyle name="Comma 7 8" xfId="3071"/>
    <cellStyle name="Comma 7 9" xfId="3072"/>
    <cellStyle name="Comma 7_SA3" xfId="3064"/>
    <cellStyle name="Comma 70" xfId="3073"/>
    <cellStyle name="Comma 71" xfId="3074"/>
    <cellStyle name="Comma 72" xfId="3075"/>
    <cellStyle name="Comma 73" xfId="3076"/>
    <cellStyle name="Comma 74" xfId="3077"/>
    <cellStyle name="Comma 75" xfId="3078"/>
    <cellStyle name="Comma 76" xfId="3079"/>
    <cellStyle name="Comma 77" xfId="3080"/>
    <cellStyle name="Comma 78" xfId="3081"/>
    <cellStyle name="Comma 79" xfId="3082"/>
    <cellStyle name="Comma 8" xfId="187"/>
    <cellStyle name="Comma 8 10" xfId="3084"/>
    <cellStyle name="Comma 8 11" xfId="3085"/>
    <cellStyle name="Comma 8 12" xfId="3086"/>
    <cellStyle name="Comma 8 13" xfId="3087"/>
    <cellStyle name="Comma 8 14" xfId="3088"/>
    <cellStyle name="Comma 8 15" xfId="5856"/>
    <cellStyle name="Comma 8 16" xfId="6167"/>
    <cellStyle name="Comma 8 17" xfId="7170"/>
    <cellStyle name="Comma 8 18" xfId="6600"/>
    <cellStyle name="Comma 8 2" xfId="1091"/>
    <cellStyle name="Comma 8 2 2" xfId="3090"/>
    <cellStyle name="Comma 8 2 3" xfId="3091"/>
    <cellStyle name="Comma 8 2 4" xfId="3092"/>
    <cellStyle name="Comma 8 2 5" xfId="3093"/>
    <cellStyle name="Comma 8 2 6" xfId="3094"/>
    <cellStyle name="Comma 8 2 7" xfId="3095"/>
    <cellStyle name="Comma 8 2 8" xfId="3096"/>
    <cellStyle name="Comma 8 2 9" xfId="3097"/>
    <cellStyle name="Comma 8 2_SA3" xfId="3089"/>
    <cellStyle name="Comma 8 3" xfId="3098"/>
    <cellStyle name="Comma 8 3 2" xfId="5858"/>
    <cellStyle name="Comma 8 3 3" xfId="5859"/>
    <cellStyle name="Comma 8 3 4" xfId="6328"/>
    <cellStyle name="Comma 8 3 5" xfId="7027"/>
    <cellStyle name="Comma 8 3 6" xfId="7250"/>
    <cellStyle name="Comma 8 3_SA1" xfId="5857"/>
    <cellStyle name="Comma 8 4" xfId="3099"/>
    <cellStyle name="Comma 8 5" xfId="3100"/>
    <cellStyle name="Comma 8 6" xfId="3101"/>
    <cellStyle name="Comma 8 7" xfId="3102"/>
    <cellStyle name="Comma 8 8" xfId="3103"/>
    <cellStyle name="Comma 8 9" xfId="3104"/>
    <cellStyle name="Comma 8_SA3" xfId="3083"/>
    <cellStyle name="Comma 80" xfId="3105"/>
    <cellStyle name="Comma 81" xfId="3106"/>
    <cellStyle name="Comma 82" xfId="3107"/>
    <cellStyle name="Comma 83" xfId="3108"/>
    <cellStyle name="Comma 84" xfId="3109"/>
    <cellStyle name="Comma 85" xfId="3110"/>
    <cellStyle name="Comma 86" xfId="5585"/>
    <cellStyle name="Comma 87" xfId="5586"/>
    <cellStyle name="Comma 88" xfId="5860"/>
    <cellStyle name="Comma 89" xfId="5861"/>
    <cellStyle name="Comma 9" xfId="188"/>
    <cellStyle name="Comma 9 2" xfId="3111"/>
    <cellStyle name="Comma 9 3" xfId="3112"/>
    <cellStyle name="Comma 9 4" xfId="3113"/>
    <cellStyle name="Comma 9 5" xfId="3114"/>
    <cellStyle name="Comma 9 6" xfId="3115"/>
    <cellStyle name="Comma 9 7" xfId="5863"/>
    <cellStyle name="Comma 9_SA1" xfId="5862"/>
    <cellStyle name="Comma0" xfId="3116"/>
    <cellStyle name="Currency [00]" xfId="3117"/>
    <cellStyle name="Currency 2" xfId="189"/>
    <cellStyle name="Currency 2 2" xfId="190"/>
    <cellStyle name="Currency 2 2 2" xfId="191"/>
    <cellStyle name="Currency 2 2 3" xfId="192"/>
    <cellStyle name="Currency 2 3" xfId="193"/>
    <cellStyle name="Currency 2 4" xfId="194"/>
    <cellStyle name="Currency 2 5" xfId="3118"/>
    <cellStyle name="Currency 2 6" xfId="3119"/>
    <cellStyle name="Currency 2 7" xfId="3120"/>
    <cellStyle name="Currency 2 8" xfId="3121"/>
    <cellStyle name="Currency 2 9" xfId="3122"/>
    <cellStyle name="Currency 3" xfId="195"/>
    <cellStyle name="Currency 3 2" xfId="196"/>
    <cellStyle name="Currency 4" xfId="197"/>
    <cellStyle name="Currency 5" xfId="198"/>
    <cellStyle name="Currency 6" xfId="199"/>
    <cellStyle name="Currency 7" xfId="200"/>
    <cellStyle name="Currency 8" xfId="201"/>
    <cellStyle name="Currency 8 2" xfId="6329"/>
    <cellStyle name="Currency 8 3" xfId="7026"/>
    <cellStyle name="Currency 8 4" xfId="6694"/>
    <cellStyle name="Currency 9" xfId="202"/>
    <cellStyle name="Currency0" xfId="3123"/>
    <cellStyle name="Currency0 2" xfId="3124"/>
    <cellStyle name="Custom - Style8" xfId="203"/>
    <cellStyle name="Data   - Style2" xfId="204"/>
    <cellStyle name="Data   - Style2 2" xfId="205"/>
    <cellStyle name="Data   - Style2 3" xfId="206"/>
    <cellStyle name="Data   - Style2 4" xfId="207"/>
    <cellStyle name="Data   - Style2 5" xfId="208"/>
    <cellStyle name="Date" xfId="3125"/>
    <cellStyle name="Date 2" xfId="3126"/>
    <cellStyle name="Date Short" xfId="3127"/>
    <cellStyle name="Enter Currency (0)" xfId="3128"/>
    <cellStyle name="Enter Currency (2)" xfId="3129"/>
    <cellStyle name="Enter Units (0)" xfId="3130"/>
    <cellStyle name="Enter Units (1)" xfId="3131"/>
    <cellStyle name="Enter Units (2)" xfId="3132"/>
    <cellStyle name="Euro" xfId="3133"/>
    <cellStyle name="Euro 2" xfId="3134"/>
    <cellStyle name="Euro 3" xfId="3135"/>
    <cellStyle name="Explanatory Text 10" xfId="1092"/>
    <cellStyle name="Explanatory Text 11" xfId="1093"/>
    <cellStyle name="Explanatory Text 12" xfId="1094"/>
    <cellStyle name="Explanatory Text 13" xfId="1095"/>
    <cellStyle name="Explanatory Text 14" xfId="3136"/>
    <cellStyle name="Explanatory Text 15" xfId="3137"/>
    <cellStyle name="Explanatory Text 16" xfId="3138"/>
    <cellStyle name="Explanatory Text 17" xfId="5864"/>
    <cellStyle name="Explanatory Text 2" xfId="209"/>
    <cellStyle name="Explanatory Text 2 2" xfId="1096"/>
    <cellStyle name="Explanatory Text 2 3" xfId="1097"/>
    <cellStyle name="Explanatory Text 2 4" xfId="1098"/>
    <cellStyle name="Explanatory Text 2 5" xfId="1099"/>
    <cellStyle name="Explanatory Text 2 6" xfId="1100"/>
    <cellStyle name="Explanatory Text 2 7" xfId="1101"/>
    <cellStyle name="Explanatory Text 3" xfId="1102"/>
    <cellStyle name="Explanatory Text 3 2" xfId="3139"/>
    <cellStyle name="Explanatory Text 3 3" xfId="3140"/>
    <cellStyle name="Explanatory Text 3 4" xfId="3141"/>
    <cellStyle name="Explanatory Text 3 5" xfId="3142"/>
    <cellStyle name="Explanatory Text 3 6" xfId="3143"/>
    <cellStyle name="Explanatory Text 3 7" xfId="3144"/>
    <cellStyle name="Explanatory Text 3 8" xfId="3145"/>
    <cellStyle name="Explanatory Text 3 9" xfId="3146"/>
    <cellStyle name="Explanatory Text 3_Sheet1" xfId="3147"/>
    <cellStyle name="Explanatory Text 4" xfId="1103"/>
    <cellStyle name="Explanatory Text 5" xfId="1104"/>
    <cellStyle name="Explanatory Text 5 2" xfId="3148"/>
    <cellStyle name="Explanatory Text 5 3" xfId="3149"/>
    <cellStyle name="Explanatory Text 5 4" xfId="3150"/>
    <cellStyle name="Explanatory Text 5 5" xfId="3151"/>
    <cellStyle name="Explanatory Text 5 6" xfId="3152"/>
    <cellStyle name="Explanatory Text 5 7" xfId="3153"/>
    <cellStyle name="Explanatory Text 5 8" xfId="3154"/>
    <cellStyle name="Explanatory Text 5 9" xfId="3155"/>
    <cellStyle name="Explanatory Text 6" xfId="1105"/>
    <cellStyle name="Explanatory Text 7" xfId="1106"/>
    <cellStyle name="Explanatory Text 8" xfId="1107"/>
    <cellStyle name="Explanatory Text 9" xfId="1108"/>
    <cellStyle name="Fixed" xfId="3156"/>
    <cellStyle name="Geld" xfId="3157"/>
    <cellStyle name="Good 10" xfId="1109"/>
    <cellStyle name="Good 11" xfId="1110"/>
    <cellStyle name="Good 12" xfId="1111"/>
    <cellStyle name="Good 13" xfId="1112"/>
    <cellStyle name="Good 14" xfId="3158"/>
    <cellStyle name="Good 15" xfId="3159"/>
    <cellStyle name="Good 16" xfId="3160"/>
    <cellStyle name="Good 17" xfId="5865"/>
    <cellStyle name="Good 2" xfId="210"/>
    <cellStyle name="Good 2 2" xfId="1113"/>
    <cellStyle name="Good 2 3" xfId="1114"/>
    <cellStyle name="Good 2 4" xfId="1115"/>
    <cellStyle name="Good 2 5" xfId="1116"/>
    <cellStyle name="Good 2 6" xfId="1117"/>
    <cellStyle name="Good 2 7" xfId="1118"/>
    <cellStyle name="Good 3" xfId="1119"/>
    <cellStyle name="Good 3 2" xfId="3161"/>
    <cellStyle name="Good 3 3" xfId="3162"/>
    <cellStyle name="Good 3 4" xfId="3163"/>
    <cellStyle name="Good 3 5" xfId="3164"/>
    <cellStyle name="Good 3 6" xfId="3165"/>
    <cellStyle name="Good 3 7" xfId="3166"/>
    <cellStyle name="Good 3 8" xfId="3167"/>
    <cellStyle name="Good 3 9" xfId="3168"/>
    <cellStyle name="Good 3_Sheet1" xfId="3169"/>
    <cellStyle name="Good 4" xfId="1120"/>
    <cellStyle name="Good 5" xfId="1121"/>
    <cellStyle name="Good 5 2" xfId="3170"/>
    <cellStyle name="Good 5 3" xfId="3171"/>
    <cellStyle name="Good 5 4" xfId="3172"/>
    <cellStyle name="Good 5 5" xfId="3173"/>
    <cellStyle name="Good 5 6" xfId="3174"/>
    <cellStyle name="Good 5 7" xfId="3175"/>
    <cellStyle name="Good 5 8" xfId="3176"/>
    <cellStyle name="Good 5 9" xfId="3177"/>
    <cellStyle name="Good 6" xfId="1122"/>
    <cellStyle name="Good 7" xfId="1123"/>
    <cellStyle name="Good 8" xfId="1124"/>
    <cellStyle name="Good 9" xfId="1125"/>
    <cellStyle name="Grey" xfId="3178"/>
    <cellStyle name="Header1" xfId="3179"/>
    <cellStyle name="Header2" xfId="3180"/>
    <cellStyle name="Heading 1 10" xfId="1126"/>
    <cellStyle name="Heading 1 11" xfId="1127"/>
    <cellStyle name="Heading 1 12" xfId="1128"/>
    <cellStyle name="Heading 1 13" xfId="1129"/>
    <cellStyle name="Heading 1 14" xfId="3181"/>
    <cellStyle name="Heading 1 15" xfId="3182"/>
    <cellStyle name="Heading 1 16" xfId="3183"/>
    <cellStyle name="Heading 1 17" xfId="5866"/>
    <cellStyle name="Heading 1 2" xfId="211"/>
    <cellStyle name="Heading 1 2 10" xfId="3185"/>
    <cellStyle name="Heading 1 2 11" xfId="3186"/>
    <cellStyle name="Heading 1 2 12" xfId="3187"/>
    <cellStyle name="Heading 1 2 13" xfId="3188"/>
    <cellStyle name="Heading 1 2 14" xfId="3189"/>
    <cellStyle name="Heading 1 2 15" xfId="3190"/>
    <cellStyle name="Heading 1 2 2" xfId="1130"/>
    <cellStyle name="Heading 1 2 3" xfId="1131"/>
    <cellStyle name="Heading 1 2 4" xfId="1132"/>
    <cellStyle name="Heading 1 2 5" xfId="1133"/>
    <cellStyle name="Heading 1 2 6" xfId="1134"/>
    <cellStyle name="Heading 1 2 7" xfId="1135"/>
    <cellStyle name="Heading 1 2 8" xfId="3191"/>
    <cellStyle name="Heading 1 2 9" xfId="3192"/>
    <cellStyle name="Heading 1 2_SA3" xfId="3184"/>
    <cellStyle name="Heading 1 3" xfId="1136"/>
    <cellStyle name="Heading 1 4" xfId="1137"/>
    <cellStyle name="Heading 1 4 2" xfId="3193"/>
    <cellStyle name="Heading 1 4 3" xfId="3194"/>
    <cellStyle name="Heading 1 4 4" xfId="3195"/>
    <cellStyle name="Heading 1 4 5" xfId="3196"/>
    <cellStyle name="Heading 1 4 6" xfId="3197"/>
    <cellStyle name="Heading 1 4 7" xfId="3198"/>
    <cellStyle name="Heading 1 4 8" xfId="3199"/>
    <cellStyle name="Heading 1 4 9" xfId="3200"/>
    <cellStyle name="Heading 1 4_Sheet1" xfId="3201"/>
    <cellStyle name="Heading 1 5" xfId="1138"/>
    <cellStyle name="Heading 1 6" xfId="1139"/>
    <cellStyle name="Heading 1 6 2" xfId="3202"/>
    <cellStyle name="Heading 1 6 3" xfId="3203"/>
    <cellStyle name="Heading 1 6 4" xfId="3204"/>
    <cellStyle name="Heading 1 6 5" xfId="3205"/>
    <cellStyle name="Heading 1 6 6" xfId="3206"/>
    <cellStyle name="Heading 1 6 7" xfId="3207"/>
    <cellStyle name="Heading 1 6 8" xfId="3208"/>
    <cellStyle name="Heading 1 6 9" xfId="3209"/>
    <cellStyle name="Heading 1 7" xfId="1140"/>
    <cellStyle name="Heading 1 8" xfId="1141"/>
    <cellStyle name="Heading 1 9" xfId="1142"/>
    <cellStyle name="Heading 2 10" xfId="1143"/>
    <cellStyle name="Heading 2 11" xfId="1144"/>
    <cellStyle name="Heading 2 12" xfId="1145"/>
    <cellStyle name="Heading 2 13" xfId="1146"/>
    <cellStyle name="Heading 2 14" xfId="3210"/>
    <cellStyle name="Heading 2 15" xfId="3211"/>
    <cellStyle name="Heading 2 16" xfId="3212"/>
    <cellStyle name="Heading 2 17" xfId="5867"/>
    <cellStyle name="Heading 2 2" xfId="212"/>
    <cellStyle name="Heading 2 2 10" xfId="3214"/>
    <cellStyle name="Heading 2 2 11" xfId="3215"/>
    <cellStyle name="Heading 2 2 12" xfId="3216"/>
    <cellStyle name="Heading 2 2 13" xfId="3217"/>
    <cellStyle name="Heading 2 2 14" xfId="3218"/>
    <cellStyle name="Heading 2 2 15" xfId="3219"/>
    <cellStyle name="Heading 2 2 2" xfId="1147"/>
    <cellStyle name="Heading 2 2 3" xfId="1148"/>
    <cellStyle name="Heading 2 2 4" xfId="1149"/>
    <cellStyle name="Heading 2 2 5" xfId="1150"/>
    <cellStyle name="Heading 2 2 6" xfId="1151"/>
    <cellStyle name="Heading 2 2 7" xfId="1152"/>
    <cellStyle name="Heading 2 2 8" xfId="3220"/>
    <cellStyle name="Heading 2 2 9" xfId="3221"/>
    <cellStyle name="Heading 2 2_SA3" xfId="3213"/>
    <cellStyle name="Heading 2 3" xfId="1153"/>
    <cellStyle name="Heading 2 4" xfId="1154"/>
    <cellStyle name="Heading 2 4 2" xfId="3222"/>
    <cellStyle name="Heading 2 4 3" xfId="3223"/>
    <cellStyle name="Heading 2 4 4" xfId="3224"/>
    <cellStyle name="Heading 2 4 5" xfId="3225"/>
    <cellStyle name="Heading 2 4 6" xfId="3226"/>
    <cellStyle name="Heading 2 4 7" xfId="3227"/>
    <cellStyle name="Heading 2 4 8" xfId="3228"/>
    <cellStyle name="Heading 2 4 9" xfId="3229"/>
    <cellStyle name="Heading 2 4_Sheet1" xfId="3230"/>
    <cellStyle name="Heading 2 5" xfId="1155"/>
    <cellStyle name="Heading 2 6" xfId="1156"/>
    <cellStyle name="Heading 2 6 2" xfId="3231"/>
    <cellStyle name="Heading 2 6 3" xfId="3232"/>
    <cellStyle name="Heading 2 6 4" xfId="3233"/>
    <cellStyle name="Heading 2 6 5" xfId="3234"/>
    <cellStyle name="Heading 2 6 6" xfId="3235"/>
    <cellStyle name="Heading 2 6 7" xfId="3236"/>
    <cellStyle name="Heading 2 6 8" xfId="3237"/>
    <cellStyle name="Heading 2 6 9" xfId="3238"/>
    <cellStyle name="Heading 2 7" xfId="1157"/>
    <cellStyle name="Heading 2 8" xfId="1158"/>
    <cellStyle name="Heading 2 9" xfId="1159"/>
    <cellStyle name="Heading 3 10" xfId="1160"/>
    <cellStyle name="Heading 3 11" xfId="1161"/>
    <cellStyle name="Heading 3 12" xfId="1162"/>
    <cellStyle name="Heading 3 13" xfId="1163"/>
    <cellStyle name="Heading 3 14" xfId="3239"/>
    <cellStyle name="Heading 3 15" xfId="3240"/>
    <cellStyle name="Heading 3 16" xfId="3241"/>
    <cellStyle name="Heading 3 17" xfId="5868"/>
    <cellStyle name="Heading 3 2" xfId="213"/>
    <cellStyle name="Heading 3 2 10" xfId="3242"/>
    <cellStyle name="Heading 3 2 11" xfId="3243"/>
    <cellStyle name="Heading 3 2 12" xfId="3244"/>
    <cellStyle name="Heading 3 2 13" xfId="3245"/>
    <cellStyle name="Heading 3 2 14" xfId="3246"/>
    <cellStyle name="Heading 3 2 15" xfId="3247"/>
    <cellStyle name="Heading 3 2 2" xfId="1164"/>
    <cellStyle name="Heading 3 2 2 10" xfId="3248"/>
    <cellStyle name="Heading 3 2 2 11" xfId="3249"/>
    <cellStyle name="Heading 3 2 2 2" xfId="3250"/>
    <cellStyle name="Heading 3 2 2 3" xfId="3251"/>
    <cellStyle name="Heading 3 2 2 4" xfId="3252"/>
    <cellStyle name="Heading 3 2 2 5" xfId="3253"/>
    <cellStyle name="Heading 3 2 2 6" xfId="3254"/>
    <cellStyle name="Heading 3 2 2 7" xfId="3255"/>
    <cellStyle name="Heading 3 2 2 8" xfId="3256"/>
    <cellStyle name="Heading 3 2 2 9" xfId="3257"/>
    <cellStyle name="Heading 3 2 2_Sheet1" xfId="3258"/>
    <cellStyle name="Heading 3 2 3" xfId="1165"/>
    <cellStyle name="Heading 3 2 3 2" xfId="3259"/>
    <cellStyle name="Heading 3 2 3 3" xfId="3260"/>
    <cellStyle name="Heading 3 2 3 4" xfId="3261"/>
    <cellStyle name="Heading 3 2 3 5" xfId="3262"/>
    <cellStyle name="Heading 3 2 3 6" xfId="3263"/>
    <cellStyle name="Heading 3 2 3 7" xfId="3264"/>
    <cellStyle name="Heading 3 2 3 8" xfId="3265"/>
    <cellStyle name="Heading 3 2 3 9" xfId="3266"/>
    <cellStyle name="Heading 3 2 3_Sheet1" xfId="3267"/>
    <cellStyle name="Heading 3 2 4" xfId="1166"/>
    <cellStyle name="Heading 3 2 5" xfId="1167"/>
    <cellStyle name="Heading 3 2 6" xfId="1168"/>
    <cellStyle name="Heading 3 2 7" xfId="1169"/>
    <cellStyle name="Heading 3 2 8" xfId="3268"/>
    <cellStyle name="Heading 3 2 9" xfId="3269"/>
    <cellStyle name="Heading 3 2_Sheet1" xfId="3270"/>
    <cellStyle name="Heading 3 3" xfId="1170"/>
    <cellStyle name="Heading 3 3 2" xfId="3271"/>
    <cellStyle name="Heading 3 3 3" xfId="3272"/>
    <cellStyle name="Heading 3 3 4" xfId="3273"/>
    <cellStyle name="Heading 3 3 5" xfId="3274"/>
    <cellStyle name="Heading 3 3 6" xfId="3275"/>
    <cellStyle name="Heading 3 3 7" xfId="3276"/>
    <cellStyle name="Heading 3 3 8" xfId="3277"/>
    <cellStyle name="Heading 3 3 9" xfId="3278"/>
    <cellStyle name="Heading 3 3_Sheet1" xfId="3279"/>
    <cellStyle name="Heading 3 4" xfId="1171"/>
    <cellStyle name="Heading 3 4 10" xfId="3280"/>
    <cellStyle name="Heading 3 4 11" xfId="3281"/>
    <cellStyle name="Heading 3 4 2" xfId="3282"/>
    <cellStyle name="Heading 3 4 2 2" xfId="3283"/>
    <cellStyle name="Heading 3 4 2 3" xfId="3284"/>
    <cellStyle name="Heading 3 4 3" xfId="3285"/>
    <cellStyle name="Heading 3 4 4" xfId="3286"/>
    <cellStyle name="Heading 3 4 5" xfId="3287"/>
    <cellStyle name="Heading 3 4 6" xfId="3288"/>
    <cellStyle name="Heading 3 4 7" xfId="3289"/>
    <cellStyle name="Heading 3 4 8" xfId="3290"/>
    <cellStyle name="Heading 3 4 9" xfId="3291"/>
    <cellStyle name="Heading 3 4_Sheet1" xfId="3292"/>
    <cellStyle name="Heading 3 5" xfId="1172"/>
    <cellStyle name="Heading 3 5 2" xfId="3293"/>
    <cellStyle name="Heading 3 5 3" xfId="3294"/>
    <cellStyle name="Heading 3 5 4" xfId="3295"/>
    <cellStyle name="Heading 3 5 5" xfId="3296"/>
    <cellStyle name="Heading 3 5 6" xfId="3297"/>
    <cellStyle name="Heading 3 5 7" xfId="3298"/>
    <cellStyle name="Heading 3 5 8" xfId="3299"/>
    <cellStyle name="Heading 3 5 9" xfId="3300"/>
    <cellStyle name="Heading 3 6" xfId="1173"/>
    <cellStyle name="Heading 3 7" xfId="1174"/>
    <cellStyle name="Heading 3 8" xfId="1175"/>
    <cellStyle name="Heading 3 9" xfId="1176"/>
    <cellStyle name="Heading 4 10" xfId="1177"/>
    <cellStyle name="Heading 4 11" xfId="1178"/>
    <cellStyle name="Heading 4 12" xfId="1179"/>
    <cellStyle name="Heading 4 13" xfId="1180"/>
    <cellStyle name="Heading 4 14" xfId="3301"/>
    <cellStyle name="Heading 4 15" xfId="3302"/>
    <cellStyle name="Heading 4 16" xfId="3303"/>
    <cellStyle name="Heading 4 17" xfId="5869"/>
    <cellStyle name="Heading 4 2" xfId="214"/>
    <cellStyle name="Heading 4 2 2" xfId="1181"/>
    <cellStyle name="Heading 4 2 3" xfId="1182"/>
    <cellStyle name="Heading 4 2 4" xfId="1183"/>
    <cellStyle name="Heading 4 2 5" xfId="1184"/>
    <cellStyle name="Heading 4 2 6" xfId="1185"/>
    <cellStyle name="Heading 4 2 7" xfId="1186"/>
    <cellStyle name="Heading 4 3" xfId="1187"/>
    <cellStyle name="Heading 4 3 2" xfId="3304"/>
    <cellStyle name="Heading 4 3 3" xfId="3305"/>
    <cellStyle name="Heading 4 3 4" xfId="3306"/>
    <cellStyle name="Heading 4 3 5" xfId="3307"/>
    <cellStyle name="Heading 4 3 6" xfId="3308"/>
    <cellStyle name="Heading 4 3 7" xfId="3309"/>
    <cellStyle name="Heading 4 3 8" xfId="3310"/>
    <cellStyle name="Heading 4 3 9" xfId="3311"/>
    <cellStyle name="Heading 4 3_Sheet1" xfId="3312"/>
    <cellStyle name="Heading 4 4" xfId="1188"/>
    <cellStyle name="Heading 4 5" xfId="1189"/>
    <cellStyle name="Heading 4 5 2" xfId="3313"/>
    <cellStyle name="Heading 4 5 3" xfId="3314"/>
    <cellStyle name="Heading 4 5 4" xfId="3315"/>
    <cellStyle name="Heading 4 5 5" xfId="3316"/>
    <cellStyle name="Heading 4 5 6" xfId="3317"/>
    <cellStyle name="Heading 4 5 7" xfId="3318"/>
    <cellStyle name="Heading 4 5 8" xfId="3319"/>
    <cellStyle name="Heading 4 5 9" xfId="3320"/>
    <cellStyle name="Heading 4 6" xfId="1190"/>
    <cellStyle name="Heading 4 7" xfId="1191"/>
    <cellStyle name="Heading 4 8" xfId="1192"/>
    <cellStyle name="Heading 4 9" xfId="1193"/>
    <cellStyle name="Hyperlink" xfId="5" builtinId="8"/>
    <cellStyle name="Hyperlink 10" xfId="3321"/>
    <cellStyle name="Hyperlink 11" xfId="3322"/>
    <cellStyle name="Hyperlink 12" xfId="3323"/>
    <cellStyle name="Hyperlink 13" xfId="3324"/>
    <cellStyle name="Hyperlink 2" xfId="3325"/>
    <cellStyle name="Hyperlink 3" xfId="3326"/>
    <cellStyle name="Hyperlink 4" xfId="3327"/>
    <cellStyle name="Hyperlink 5" xfId="3328"/>
    <cellStyle name="Hyperlink 6" xfId="3329"/>
    <cellStyle name="Hyperlink 7" xfId="3330"/>
    <cellStyle name="Hyperlink 8" xfId="3331"/>
    <cellStyle name="Hyperlink 9" xfId="3332"/>
    <cellStyle name="Hyperlink_AppA_Muncde_2010" xfId="6"/>
    <cellStyle name="Hyperlink_Bills" xfId="7"/>
    <cellStyle name="Input [yellow]" xfId="3333"/>
    <cellStyle name="Input 10" xfId="1194"/>
    <cellStyle name="Input 11" xfId="1195"/>
    <cellStyle name="Input 12" xfId="1196"/>
    <cellStyle name="Input 13" xfId="1197"/>
    <cellStyle name="Input 14" xfId="3334"/>
    <cellStyle name="Input 15" xfId="3335"/>
    <cellStyle name="Input 16" xfId="3336"/>
    <cellStyle name="Input 17" xfId="5870"/>
    <cellStyle name="Input 2" xfId="215"/>
    <cellStyle name="Input 2 2" xfId="216"/>
    <cellStyle name="Input 2 2 2" xfId="217"/>
    <cellStyle name="Input 2 2 2 2" xfId="218"/>
    <cellStyle name="Input 2 2 2 3" xfId="219"/>
    <cellStyle name="Input 2 2 2 4" xfId="220"/>
    <cellStyle name="Input 2 2 2 5" xfId="221"/>
    <cellStyle name="Input 2 2 3" xfId="222"/>
    <cellStyle name="Input 2 2 4" xfId="223"/>
    <cellStyle name="Input 2 2 5" xfId="224"/>
    <cellStyle name="Input 2 2 6" xfId="225"/>
    <cellStyle name="Input 2 3" xfId="226"/>
    <cellStyle name="Input 2 3 2" xfId="227"/>
    <cellStyle name="Input 2 3 3" xfId="228"/>
    <cellStyle name="Input 2 3 4" xfId="229"/>
    <cellStyle name="Input 2 3 5" xfId="230"/>
    <cellStyle name="Input 2 4" xfId="231"/>
    <cellStyle name="Input 2 5" xfId="232"/>
    <cellStyle name="Input 2 6" xfId="233"/>
    <cellStyle name="Input 2 7" xfId="234"/>
    <cellStyle name="Input 3" xfId="1198"/>
    <cellStyle name="Input 3 2" xfId="3337"/>
    <cellStyle name="Input 3 3" xfId="3338"/>
    <cellStyle name="Input 3 4" xfId="3339"/>
    <cellStyle name="Input 3 5" xfId="3340"/>
    <cellStyle name="Input 3 6" xfId="3341"/>
    <cellStyle name="Input 3 7" xfId="3342"/>
    <cellStyle name="Input 3 8" xfId="3343"/>
    <cellStyle name="Input 3 9" xfId="3344"/>
    <cellStyle name="Input 3_Sheet1" xfId="3345"/>
    <cellStyle name="Input 4" xfId="1199"/>
    <cellStyle name="Input 5" xfId="1200"/>
    <cellStyle name="Input 5 2" xfId="3346"/>
    <cellStyle name="Input 5 3" xfId="3347"/>
    <cellStyle name="Input 5 4" xfId="3348"/>
    <cellStyle name="Input 5 5" xfId="3349"/>
    <cellStyle name="Input 5 6" xfId="3350"/>
    <cellStyle name="Input 5 7" xfId="3351"/>
    <cellStyle name="Input 5 8" xfId="3352"/>
    <cellStyle name="Input 5 9" xfId="3353"/>
    <cellStyle name="Input 6" xfId="1201"/>
    <cellStyle name="Input 7" xfId="1202"/>
    <cellStyle name="Input 8" xfId="1203"/>
    <cellStyle name="Input 9" xfId="1204"/>
    <cellStyle name="Labels - Style3" xfId="235"/>
    <cellStyle name="Labels - Style3 2" xfId="236"/>
    <cellStyle name="Labels - Style3 3" xfId="237"/>
    <cellStyle name="Labels - Style3 4" xfId="238"/>
    <cellStyle name="Labels - Style3 5" xfId="239"/>
    <cellStyle name="Link Currency (0)" xfId="3354"/>
    <cellStyle name="Link Currency (2)" xfId="3355"/>
    <cellStyle name="Link Units (0)" xfId="3356"/>
    <cellStyle name="Link Units (1)" xfId="3357"/>
    <cellStyle name="Link Units (2)" xfId="3358"/>
    <cellStyle name="Linked Cell 10" xfId="1205"/>
    <cellStyle name="Linked Cell 11" xfId="1206"/>
    <cellStyle name="Linked Cell 12" xfId="1207"/>
    <cellStyle name="Linked Cell 13" xfId="1208"/>
    <cellStyle name="Linked Cell 14" xfId="3359"/>
    <cellStyle name="Linked Cell 15" xfId="3360"/>
    <cellStyle name="Linked Cell 16" xfId="3361"/>
    <cellStyle name="Linked Cell 17" xfId="5871"/>
    <cellStyle name="Linked Cell 2" xfId="240"/>
    <cellStyle name="Linked Cell 2 2" xfId="1209"/>
    <cellStyle name="Linked Cell 2 3" xfId="1210"/>
    <cellStyle name="Linked Cell 2 4" xfId="1211"/>
    <cellStyle name="Linked Cell 2 5" xfId="1212"/>
    <cellStyle name="Linked Cell 2 6" xfId="1213"/>
    <cellStyle name="Linked Cell 2 7" xfId="1214"/>
    <cellStyle name="Linked Cell 3" xfId="1215"/>
    <cellStyle name="Linked Cell 3 2" xfId="3362"/>
    <cellStyle name="Linked Cell 3 3" xfId="3363"/>
    <cellStyle name="Linked Cell 3 4" xfId="3364"/>
    <cellStyle name="Linked Cell 3 5" xfId="3365"/>
    <cellStyle name="Linked Cell 3 6" xfId="3366"/>
    <cellStyle name="Linked Cell 3 7" xfId="3367"/>
    <cellStyle name="Linked Cell 3 8" xfId="3368"/>
    <cellStyle name="Linked Cell 3 9" xfId="3369"/>
    <cellStyle name="Linked Cell 3_Sheet1" xfId="3370"/>
    <cellStyle name="Linked Cell 4" xfId="1216"/>
    <cellStyle name="Linked Cell 5" xfId="1217"/>
    <cellStyle name="Linked Cell 5 2" xfId="3371"/>
    <cellStyle name="Linked Cell 5 3" xfId="3372"/>
    <cellStyle name="Linked Cell 5 4" xfId="3373"/>
    <cellStyle name="Linked Cell 5 5" xfId="3374"/>
    <cellStyle name="Linked Cell 5 6" xfId="3375"/>
    <cellStyle name="Linked Cell 5 7" xfId="3376"/>
    <cellStyle name="Linked Cell 5 8" xfId="3377"/>
    <cellStyle name="Linked Cell 5 9" xfId="3378"/>
    <cellStyle name="Linked Cell 6" xfId="1218"/>
    <cellStyle name="Linked Cell 7" xfId="1219"/>
    <cellStyle name="Linked Cell 8" xfId="1220"/>
    <cellStyle name="Linked Cell 9" xfId="1221"/>
    <cellStyle name="Neutral 10" xfId="1222"/>
    <cellStyle name="Neutral 11" xfId="1223"/>
    <cellStyle name="Neutral 12" xfId="1224"/>
    <cellStyle name="Neutral 13" xfId="1225"/>
    <cellStyle name="Neutral 14" xfId="3379"/>
    <cellStyle name="Neutral 15" xfId="3380"/>
    <cellStyle name="Neutral 16" xfId="3381"/>
    <cellStyle name="Neutral 17" xfId="5872"/>
    <cellStyle name="Neutral 2" xfId="241"/>
    <cellStyle name="Neutral 2 2" xfId="1226"/>
    <cellStyle name="Neutral 2 3" xfId="1227"/>
    <cellStyle name="Neutral 2 4" xfId="1228"/>
    <cellStyle name="Neutral 2 5" xfId="1229"/>
    <cellStyle name="Neutral 2 6" xfId="1230"/>
    <cellStyle name="Neutral 2 7" xfId="1231"/>
    <cellStyle name="Neutral 3" xfId="1232"/>
    <cellStyle name="Neutral 3 2" xfId="3382"/>
    <cellStyle name="Neutral 3 3" xfId="3383"/>
    <cellStyle name="Neutral 3 4" xfId="3384"/>
    <cellStyle name="Neutral 3 5" xfId="3385"/>
    <cellStyle name="Neutral 3 6" xfId="3386"/>
    <cellStyle name="Neutral 3 7" xfId="3387"/>
    <cellStyle name="Neutral 3 8" xfId="3388"/>
    <cellStyle name="Neutral 3 9" xfId="3389"/>
    <cellStyle name="Neutral 3_Sheet1" xfId="3390"/>
    <cellStyle name="Neutral 4" xfId="1233"/>
    <cellStyle name="Neutral 5" xfId="1234"/>
    <cellStyle name="Neutral 5 2" xfId="3391"/>
    <cellStyle name="Neutral 5 3" xfId="3392"/>
    <cellStyle name="Neutral 5 4" xfId="3393"/>
    <cellStyle name="Neutral 5 5" xfId="3394"/>
    <cellStyle name="Neutral 5 6" xfId="3395"/>
    <cellStyle name="Neutral 5 7" xfId="3396"/>
    <cellStyle name="Neutral 5 8" xfId="3397"/>
    <cellStyle name="Neutral 5 9" xfId="3398"/>
    <cellStyle name="Neutral 6" xfId="1235"/>
    <cellStyle name="Neutral 7" xfId="1236"/>
    <cellStyle name="Neutral 8" xfId="1237"/>
    <cellStyle name="Neutral 9" xfId="1238"/>
    <cellStyle name="Nommers" xfId="3399"/>
    <cellStyle name="Nommers Afgerond" xfId="3400"/>
    <cellStyle name="Normal" xfId="0" builtinId="0"/>
    <cellStyle name="Normal - Style1" xfId="242"/>
    <cellStyle name="Normal - Style2" xfId="243"/>
    <cellStyle name="Normal - Style3" xfId="244"/>
    <cellStyle name="Normal - Style4" xfId="245"/>
    <cellStyle name="Normal - Style5" xfId="246"/>
    <cellStyle name="Normal - Style6" xfId="247"/>
    <cellStyle name="Normal - Style7" xfId="248"/>
    <cellStyle name="Normal - Style8" xfId="249"/>
    <cellStyle name="Normal 10" xfId="250"/>
    <cellStyle name="Normal 10 10" xfId="3401"/>
    <cellStyle name="Normal 10 11" xfId="3402"/>
    <cellStyle name="Normal 10 12" xfId="3403"/>
    <cellStyle name="Normal 10 13" xfId="3404"/>
    <cellStyle name="Normal 10 14" xfId="3405"/>
    <cellStyle name="Normal 10 15" xfId="5873"/>
    <cellStyle name="Normal 10 16" xfId="6168"/>
    <cellStyle name="Normal 10 17" xfId="7169"/>
    <cellStyle name="Normal 10 18" xfId="6601"/>
    <cellStyle name="Normal 10 2" xfId="251"/>
    <cellStyle name="Normal 10 2 2" xfId="3407"/>
    <cellStyle name="Normal 10 2 3" xfId="3408"/>
    <cellStyle name="Normal 10 2 4" xfId="3409"/>
    <cellStyle name="Normal 10 2 5" xfId="3410"/>
    <cellStyle name="Normal 10 2 6" xfId="3411"/>
    <cellStyle name="Normal 10 2_SA3" xfId="3406"/>
    <cellStyle name="Normal 10 3" xfId="3412"/>
    <cellStyle name="Normal 10 3 2" xfId="3413"/>
    <cellStyle name="Normal 10 3_Sheet1" xfId="3414"/>
    <cellStyle name="Normal 10 4" xfId="3415"/>
    <cellStyle name="Normal 10 4 2" xfId="3416"/>
    <cellStyle name="Normal 10 4_Sheet1" xfId="3417"/>
    <cellStyle name="Normal 10 5" xfId="3418"/>
    <cellStyle name="Normal 10 6" xfId="3419"/>
    <cellStyle name="Normal 10 7" xfId="3420"/>
    <cellStyle name="Normal 10 8" xfId="3421"/>
    <cellStyle name="Normal 10 9" xfId="3422"/>
    <cellStyle name="Normal 10_A7-CFlow" xfId="1239"/>
    <cellStyle name="Normal 100" xfId="3423"/>
    <cellStyle name="Normal 101" xfId="3424"/>
    <cellStyle name="Normal 102" xfId="3425"/>
    <cellStyle name="Normal 103" xfId="3426"/>
    <cellStyle name="Normal 104" xfId="3427"/>
    <cellStyle name="Normal 105" xfId="3428"/>
    <cellStyle name="Normal 106" xfId="3429"/>
    <cellStyle name="Normal 107" xfId="3430"/>
    <cellStyle name="Normal 108" xfId="3431"/>
    <cellStyle name="Normal 109" xfId="3432"/>
    <cellStyle name="Normal 11" xfId="252"/>
    <cellStyle name="Normal 11 10" xfId="3433"/>
    <cellStyle name="Normal 11 11" xfId="3434"/>
    <cellStyle name="Normal 11 12" xfId="3435"/>
    <cellStyle name="Normal 11 13" xfId="3436"/>
    <cellStyle name="Normal 11 14" xfId="3437"/>
    <cellStyle name="Normal 11 15" xfId="5874"/>
    <cellStyle name="Normal 11 16" xfId="6169"/>
    <cellStyle name="Normal 11 17" xfId="7168"/>
    <cellStyle name="Normal 11 18" xfId="6602"/>
    <cellStyle name="Normal 11 2" xfId="253"/>
    <cellStyle name="Normal 11 2 2" xfId="3439"/>
    <cellStyle name="Normal 11 2 3" xfId="3440"/>
    <cellStyle name="Normal 11 2 4" xfId="3441"/>
    <cellStyle name="Normal 11 2 5" xfId="3442"/>
    <cellStyle name="Normal 11 2 6" xfId="3443"/>
    <cellStyle name="Normal 11 2_SA3" xfId="3438"/>
    <cellStyle name="Normal 11 3" xfId="3444"/>
    <cellStyle name="Normal 11 3 2" xfId="3445"/>
    <cellStyle name="Normal 11 3_Sheet1" xfId="3446"/>
    <cellStyle name="Normal 11 4" xfId="3447"/>
    <cellStyle name="Normal 11 4 2" xfId="3448"/>
    <cellStyle name="Normal 11 4_Sheet1" xfId="3449"/>
    <cellStyle name="Normal 11 5" xfId="3450"/>
    <cellStyle name="Normal 11 6" xfId="3451"/>
    <cellStyle name="Normal 11 7" xfId="3452"/>
    <cellStyle name="Normal 11 8" xfId="3453"/>
    <cellStyle name="Normal 11 9" xfId="3454"/>
    <cellStyle name="Normal 11_A7-CFlow" xfId="1240"/>
    <cellStyle name="Normal 110" xfId="3455"/>
    <cellStyle name="Normal 111" xfId="3456"/>
    <cellStyle name="Normal 112" xfId="3457"/>
    <cellStyle name="Normal 113" xfId="3458"/>
    <cellStyle name="Normal 114" xfId="3459"/>
    <cellStyle name="Normal 115" xfId="3460"/>
    <cellStyle name="Normal 116" xfId="5587"/>
    <cellStyle name="Normal 117" xfId="5588"/>
    <cellStyle name="Normal 118" xfId="5875"/>
    <cellStyle name="Normal 119" xfId="5876"/>
    <cellStyle name="Normal 12" xfId="254"/>
    <cellStyle name="Normal 12 10" xfId="3461"/>
    <cellStyle name="Normal 12 11" xfId="5877"/>
    <cellStyle name="Normal 12 12" xfId="6170"/>
    <cellStyle name="Normal 12 13" xfId="7167"/>
    <cellStyle name="Normal 12 14" xfId="6603"/>
    <cellStyle name="Normal 12 2" xfId="255"/>
    <cellStyle name="Normal 12 2 2" xfId="3463"/>
    <cellStyle name="Normal 12 2 2 2" xfId="3464"/>
    <cellStyle name="Normal 12 2 2_Sheet1" xfId="3465"/>
    <cellStyle name="Normal 12 2 3" xfId="3466"/>
    <cellStyle name="Normal 12 2 4" xfId="3467"/>
    <cellStyle name="Normal 12 2 5" xfId="3468"/>
    <cellStyle name="Normal 12 2 6" xfId="3469"/>
    <cellStyle name="Normal 12 2 7" xfId="3470"/>
    <cellStyle name="Normal 12 2 8" xfId="3471"/>
    <cellStyle name="Normal 12 2_SA3" xfId="3462"/>
    <cellStyle name="Normal 12 3" xfId="3472"/>
    <cellStyle name="Normal 12 3 2" xfId="3473"/>
    <cellStyle name="Normal 12 3_Sheet1" xfId="3474"/>
    <cellStyle name="Normal 12 4" xfId="3475"/>
    <cellStyle name="Normal 12 5" xfId="3476"/>
    <cellStyle name="Normal 12 5 2" xfId="3477"/>
    <cellStyle name="Normal 12 5_Sheet1" xfId="3478"/>
    <cellStyle name="Normal 12 6" xfId="3479"/>
    <cellStyle name="Normal 12 7" xfId="3480"/>
    <cellStyle name="Normal 12 8" xfId="3481"/>
    <cellStyle name="Normal 12 9" xfId="3482"/>
    <cellStyle name="Normal 12_A7-CFlow" xfId="1241"/>
    <cellStyle name="Normal 120" xfId="7354"/>
    <cellStyle name="Normal 121" xfId="7355"/>
    <cellStyle name="Normal 122" xfId="7356"/>
    <cellStyle name="Normal 123" xfId="7357"/>
    <cellStyle name="Normal 124" xfId="7358"/>
    <cellStyle name="Normal 125" xfId="7351"/>
    <cellStyle name="Normal 126" xfId="7352"/>
    <cellStyle name="Normal 127" xfId="7353"/>
    <cellStyle name="Normal 128" xfId="7359"/>
    <cellStyle name="Normal 129" xfId="7360"/>
    <cellStyle name="Normal 13" xfId="256"/>
    <cellStyle name="Normal 13 10" xfId="3483"/>
    <cellStyle name="Normal 13 11" xfId="5878"/>
    <cellStyle name="Normal 13 12" xfId="6171"/>
    <cellStyle name="Normal 13 13" xfId="7166"/>
    <cellStyle name="Normal 13 14" xfId="6604"/>
    <cellStyle name="Normal 13 2" xfId="257"/>
    <cellStyle name="Normal 13 2 2" xfId="3485"/>
    <cellStyle name="Normal 13 2 2 2" xfId="3486"/>
    <cellStyle name="Normal 13 2 2_Sheet1" xfId="3487"/>
    <cellStyle name="Normal 13 2 3" xfId="3488"/>
    <cellStyle name="Normal 13 2 4" xfId="3489"/>
    <cellStyle name="Normal 13 2 5" xfId="3490"/>
    <cellStyle name="Normal 13 2 6" xfId="3491"/>
    <cellStyle name="Normal 13 2 7" xfId="3492"/>
    <cellStyle name="Normal 13 2 8" xfId="3493"/>
    <cellStyle name="Normal 13 2_SA3" xfId="3484"/>
    <cellStyle name="Normal 13 3" xfId="3494"/>
    <cellStyle name="Normal 13 3 2" xfId="3495"/>
    <cellStyle name="Normal 13 3_Sheet1" xfId="3496"/>
    <cellStyle name="Normal 13 4" xfId="3497"/>
    <cellStyle name="Normal 13 5" xfId="3498"/>
    <cellStyle name="Normal 13 5 2" xfId="3499"/>
    <cellStyle name="Normal 13 5_Sheet1" xfId="3500"/>
    <cellStyle name="Normal 13 6" xfId="3501"/>
    <cellStyle name="Normal 13 7" xfId="3502"/>
    <cellStyle name="Normal 13 8" xfId="3503"/>
    <cellStyle name="Normal 13 9" xfId="3504"/>
    <cellStyle name="Normal 13_A7-CFlow" xfId="1242"/>
    <cellStyle name="Normal 130" xfId="7361"/>
    <cellStyle name="Normal 14" xfId="258"/>
    <cellStyle name="Normal 14 10" xfId="3505"/>
    <cellStyle name="Normal 14 11" xfId="3506"/>
    <cellStyle name="Normal 14 2" xfId="259"/>
    <cellStyle name="Normal 14 2 2" xfId="3508"/>
    <cellStyle name="Normal 14 2 2 2" xfId="3509"/>
    <cellStyle name="Normal 14 2 2_Sheet1" xfId="3510"/>
    <cellStyle name="Normal 14 2 3" xfId="3511"/>
    <cellStyle name="Normal 14 2 3 2" xfId="3512"/>
    <cellStyle name="Normal 14 2 3_Sheet1" xfId="3513"/>
    <cellStyle name="Normal 14 2 4" xfId="3514"/>
    <cellStyle name="Normal 14 2 5" xfId="3515"/>
    <cellStyle name="Normal 14 2 6" xfId="3516"/>
    <cellStyle name="Normal 14 2 7" xfId="3517"/>
    <cellStyle name="Normal 14 2 8" xfId="3518"/>
    <cellStyle name="Normal 14 2 9" xfId="3519"/>
    <cellStyle name="Normal 14 2_SA3" xfId="3507"/>
    <cellStyle name="Normal 14 3" xfId="3520"/>
    <cellStyle name="Normal 14 3 2" xfId="3521"/>
    <cellStyle name="Normal 14 3 2 2" xfId="3522"/>
    <cellStyle name="Normal 14 3 2_Sheet1" xfId="3523"/>
    <cellStyle name="Normal 14 3 3" xfId="3524"/>
    <cellStyle name="Normal 14 3 3 2" xfId="3525"/>
    <cellStyle name="Normal 14 3 3_Sheet1" xfId="3526"/>
    <cellStyle name="Normal 14 3 4" xfId="3527"/>
    <cellStyle name="Normal 14 3_Sheet1" xfId="3528"/>
    <cellStyle name="Normal 14 4" xfId="3529"/>
    <cellStyle name="Normal 14 4 2" xfId="3530"/>
    <cellStyle name="Normal 14 4 3" xfId="3531"/>
    <cellStyle name="Normal 14 4_Sheet1" xfId="3532"/>
    <cellStyle name="Normal 14 5" xfId="3533"/>
    <cellStyle name="Normal 14 6" xfId="3534"/>
    <cellStyle name="Normal 14 6 2" xfId="3535"/>
    <cellStyle name="Normal 14 6_Sheet1" xfId="3536"/>
    <cellStyle name="Normal 14 7" xfId="3537"/>
    <cellStyle name="Normal 14 8" xfId="3538"/>
    <cellStyle name="Normal 14 9" xfId="3539"/>
    <cellStyle name="Normal 14_EDIH Asset Listing Tool" xfId="260"/>
    <cellStyle name="Normal 15" xfId="261"/>
    <cellStyle name="Normal 15 10" xfId="3540"/>
    <cellStyle name="Normal 15 2" xfId="262"/>
    <cellStyle name="Normal 15 2 2" xfId="3542"/>
    <cellStyle name="Normal 15 2 3" xfId="3543"/>
    <cellStyle name="Normal 15 2 4" xfId="3544"/>
    <cellStyle name="Normal 15 2 5" xfId="3545"/>
    <cellStyle name="Normal 15 2 6" xfId="3546"/>
    <cellStyle name="Normal 15 2_SA3" xfId="3541"/>
    <cellStyle name="Normal 15 3" xfId="3547"/>
    <cellStyle name="Normal 15 3 2" xfId="3548"/>
    <cellStyle name="Normal 15 3 2 2" xfId="3549"/>
    <cellStyle name="Normal 15 3 2_Sheet1" xfId="3550"/>
    <cellStyle name="Normal 15 3 3" xfId="3551"/>
    <cellStyle name="Normal 15 3_Sheet1" xfId="3552"/>
    <cellStyle name="Normal 15 4" xfId="3553"/>
    <cellStyle name="Normal 15 4 2" xfId="3554"/>
    <cellStyle name="Normal 15 4_Sheet1" xfId="3555"/>
    <cellStyle name="Normal 15 5" xfId="3556"/>
    <cellStyle name="Normal 15 5 2" xfId="3557"/>
    <cellStyle name="Normal 15 5_Sheet1" xfId="3558"/>
    <cellStyle name="Normal 15 6" xfId="3559"/>
    <cellStyle name="Normal 15 7" xfId="3560"/>
    <cellStyle name="Normal 15 8" xfId="3561"/>
    <cellStyle name="Normal 15 9" xfId="3562"/>
    <cellStyle name="Normal 15_EDIH Asset Listing Tool" xfId="263"/>
    <cellStyle name="Normal 16" xfId="264"/>
    <cellStyle name="Normal 16 10" xfId="3563"/>
    <cellStyle name="Normal 16 2" xfId="265"/>
    <cellStyle name="Normal 16 2 2" xfId="3565"/>
    <cellStyle name="Normal 16 2 2 2" xfId="3566"/>
    <cellStyle name="Normal 16 2 2_Sheet1" xfId="3567"/>
    <cellStyle name="Normal 16 2 3" xfId="3568"/>
    <cellStyle name="Normal 16 2 4" xfId="3569"/>
    <cellStyle name="Normal 16 2 5" xfId="3570"/>
    <cellStyle name="Normal 16 2 6" xfId="3571"/>
    <cellStyle name="Normal 16 2 7" xfId="3572"/>
    <cellStyle name="Normal 16 2 8" xfId="3573"/>
    <cellStyle name="Normal 16 2_SA3" xfId="3564"/>
    <cellStyle name="Normal 16 3" xfId="3574"/>
    <cellStyle name="Normal 16 3 2" xfId="3575"/>
    <cellStyle name="Normal 16 3_Sheet1" xfId="3576"/>
    <cellStyle name="Normal 16 4" xfId="3577"/>
    <cellStyle name="Normal 16 5" xfId="3578"/>
    <cellStyle name="Normal 16 5 2" xfId="3579"/>
    <cellStyle name="Normal 16 5_Sheet1" xfId="3580"/>
    <cellStyle name="Normal 16 6" xfId="3581"/>
    <cellStyle name="Normal 16 7" xfId="3582"/>
    <cellStyle name="Normal 16 8" xfId="3583"/>
    <cellStyle name="Normal 16 9" xfId="3584"/>
    <cellStyle name="Normal 16_EDIH Asset Listing Tool" xfId="266"/>
    <cellStyle name="Normal 17" xfId="267"/>
    <cellStyle name="Normal 17 10" xfId="3585"/>
    <cellStyle name="Normal 17 2" xfId="268"/>
    <cellStyle name="Normal 17 2 2" xfId="3587"/>
    <cellStyle name="Normal 17 2 2 2" xfId="3588"/>
    <cellStyle name="Normal 17 2 2_Sheet1" xfId="3589"/>
    <cellStyle name="Normal 17 2 3" xfId="3590"/>
    <cellStyle name="Normal 17 2 4" xfId="3591"/>
    <cellStyle name="Normal 17 2 5" xfId="3592"/>
    <cellStyle name="Normal 17 2 6" xfId="3593"/>
    <cellStyle name="Normal 17 2 7" xfId="3594"/>
    <cellStyle name="Normal 17 2 8" xfId="3595"/>
    <cellStyle name="Normal 17 2_SA3" xfId="3586"/>
    <cellStyle name="Normal 17 3" xfId="3596"/>
    <cellStyle name="Normal 17 3 2" xfId="3597"/>
    <cellStyle name="Normal 17 3_Sheet1" xfId="3598"/>
    <cellStyle name="Normal 17 4" xfId="3599"/>
    <cellStyle name="Normal 17 5" xfId="3600"/>
    <cellStyle name="Normal 17 5 2" xfId="3601"/>
    <cellStyle name="Normal 17 5_Sheet1" xfId="3602"/>
    <cellStyle name="Normal 17 6" xfId="3603"/>
    <cellStyle name="Normal 17 7" xfId="3604"/>
    <cellStyle name="Normal 17 8" xfId="3605"/>
    <cellStyle name="Normal 17 9" xfId="3606"/>
    <cellStyle name="Normal 17_EDIH Asset Listing Tool" xfId="269"/>
    <cellStyle name="Normal 18" xfId="270"/>
    <cellStyle name="Normal 18 10" xfId="3607"/>
    <cellStyle name="Normal 18 2" xfId="271"/>
    <cellStyle name="Normal 18 2 2" xfId="3609"/>
    <cellStyle name="Normal 18 2 2 2" xfId="3610"/>
    <cellStyle name="Normal 18 2 2_Sheet1" xfId="3611"/>
    <cellStyle name="Normal 18 2 3" xfId="3612"/>
    <cellStyle name="Normal 18 2 4" xfId="3613"/>
    <cellStyle name="Normal 18 2 5" xfId="3614"/>
    <cellStyle name="Normal 18 2 6" xfId="3615"/>
    <cellStyle name="Normal 18 2 7" xfId="3616"/>
    <cellStyle name="Normal 18 2 8" xfId="3617"/>
    <cellStyle name="Normal 18 2_SA3" xfId="3608"/>
    <cellStyle name="Normal 18 3" xfId="3618"/>
    <cellStyle name="Normal 18 3 2" xfId="3619"/>
    <cellStyle name="Normal 18 3_Sheet1" xfId="3620"/>
    <cellStyle name="Normal 18 4" xfId="3621"/>
    <cellStyle name="Normal 18 5" xfId="3622"/>
    <cellStyle name="Normal 18 5 2" xfId="3623"/>
    <cellStyle name="Normal 18 5_Sheet1" xfId="3624"/>
    <cellStyle name="Normal 18 6" xfId="3625"/>
    <cellStyle name="Normal 18 7" xfId="3626"/>
    <cellStyle name="Normal 18 8" xfId="3627"/>
    <cellStyle name="Normal 18 9" xfId="3628"/>
    <cellStyle name="Normal 18_EDIH Asset Listing Tool" xfId="272"/>
    <cellStyle name="Normal 19" xfId="273"/>
    <cellStyle name="Normal 19 10" xfId="3629"/>
    <cellStyle name="Normal 19 2" xfId="274"/>
    <cellStyle name="Normal 19 2 2" xfId="3631"/>
    <cellStyle name="Normal 19 2 3" xfId="3632"/>
    <cellStyle name="Normal 19 2 4" xfId="3633"/>
    <cellStyle name="Normal 19 2 5" xfId="3634"/>
    <cellStyle name="Normal 19 2 6" xfId="3635"/>
    <cellStyle name="Normal 19 2_SA3" xfId="3630"/>
    <cellStyle name="Normal 19 3" xfId="3636"/>
    <cellStyle name="Normal 19 4" xfId="3637"/>
    <cellStyle name="Normal 19 5" xfId="3638"/>
    <cellStyle name="Normal 19 6" xfId="3639"/>
    <cellStyle name="Normal 19 7" xfId="3640"/>
    <cellStyle name="Normal 19 8" xfId="3641"/>
    <cellStyle name="Normal 19 9" xfId="3642"/>
    <cellStyle name="Normal 19_EDIH Asset Listing Tool" xfId="275"/>
    <cellStyle name="Normal 2" xfId="8"/>
    <cellStyle name="Normal 2 10" xfId="276"/>
    <cellStyle name="Normal 2 10 2" xfId="3644"/>
    <cellStyle name="Normal 2 10 3" xfId="3645"/>
    <cellStyle name="Normal 2 10 4" xfId="3646"/>
    <cellStyle name="Normal 2 10 5" xfId="3647"/>
    <cellStyle name="Normal 2 10 6" xfId="3648"/>
    <cellStyle name="Normal 2 10_SA3" xfId="3643"/>
    <cellStyle name="Normal 2 11" xfId="277"/>
    <cellStyle name="Normal 2 11 2" xfId="3649"/>
    <cellStyle name="Normal 2 11 3" xfId="3650"/>
    <cellStyle name="Normal 2 11 4" xfId="3651"/>
    <cellStyle name="Normal 2 11 5" xfId="3652"/>
    <cellStyle name="Normal 2 11 6" xfId="3653"/>
    <cellStyle name="Normal 2 11_SA1" xfId="5424"/>
    <cellStyle name="Normal 2 12" xfId="278"/>
    <cellStyle name="Normal 2 12 2" xfId="3654"/>
    <cellStyle name="Normal 2 12 3" xfId="3655"/>
    <cellStyle name="Normal 2 12 4" xfId="3656"/>
    <cellStyle name="Normal 2 12 5" xfId="3657"/>
    <cellStyle name="Normal 2 12 6" xfId="3658"/>
    <cellStyle name="Normal 2 12_SA1" xfId="5425"/>
    <cellStyle name="Normal 2 13" xfId="279"/>
    <cellStyle name="Normal 2 14" xfId="280"/>
    <cellStyle name="Normal 2 15" xfId="281"/>
    <cellStyle name="Normal 2 16" xfId="3659"/>
    <cellStyle name="Normal 2 17" xfId="3660"/>
    <cellStyle name="Normal 2 18" xfId="3661"/>
    <cellStyle name="Normal 2 19" xfId="3662"/>
    <cellStyle name="Normal 2 2" xfId="282"/>
    <cellStyle name="Normal 2 2 10" xfId="3663"/>
    <cellStyle name="Normal 2 2 11" xfId="3664"/>
    <cellStyle name="Normal 2 2 12" xfId="5589"/>
    <cellStyle name="Normal 2 2 13" xfId="5590"/>
    <cellStyle name="Normal 2 2 2" xfId="1243"/>
    <cellStyle name="Normal 2 2 2 10" xfId="3666"/>
    <cellStyle name="Normal 2 2 2 11" xfId="3667"/>
    <cellStyle name="Normal 2 2 2 12" xfId="3668"/>
    <cellStyle name="Normal 2 2 2 2" xfId="3669"/>
    <cellStyle name="Normal 2 2 2 2 2" xfId="3670"/>
    <cellStyle name="Normal 2 2 2 2 2 2" xfId="3671"/>
    <cellStyle name="Normal 2 2 2 2 2_Sheet1" xfId="3672"/>
    <cellStyle name="Normal 2 2 2 2 3" xfId="3673"/>
    <cellStyle name="Normal 2 2 2 2 3 2" xfId="3674"/>
    <cellStyle name="Normal 2 2 2 2 3_Sheet1" xfId="3675"/>
    <cellStyle name="Normal 2 2 2 2 4" xfId="3676"/>
    <cellStyle name="Normal 2 2 2 2 5" xfId="3677"/>
    <cellStyle name="Normal 2 2 2 2 6" xfId="3678"/>
    <cellStyle name="Normal 2 2 2 2_Sheet1" xfId="3679"/>
    <cellStyle name="Normal 2 2 2 3" xfId="3680"/>
    <cellStyle name="Normal 2 2 2 4" xfId="3681"/>
    <cellStyle name="Normal 2 2 2 5" xfId="3682"/>
    <cellStyle name="Normal 2 2 2 6" xfId="3683"/>
    <cellStyle name="Normal 2 2 2 7" xfId="3684"/>
    <cellStyle name="Normal 2 2 2 8" xfId="3685"/>
    <cellStyle name="Normal 2 2 2 9" xfId="3686"/>
    <cellStyle name="Normal 2 2 2_SA3" xfId="3665"/>
    <cellStyle name="Normal 2 2 3" xfId="3687"/>
    <cellStyle name="Normal 2 2 3 2" xfId="3688"/>
    <cellStyle name="Normal 2 2 3 2 2" xfId="3689"/>
    <cellStyle name="Normal 2 2 3 2_Sheet1" xfId="3690"/>
    <cellStyle name="Normal 2 2 3 3" xfId="3691"/>
    <cellStyle name="Normal 2 2 3 3 2" xfId="3692"/>
    <cellStyle name="Normal 2 2 3 3_Sheet1" xfId="3693"/>
    <cellStyle name="Normal 2 2 3 4" xfId="3694"/>
    <cellStyle name="Normal 2 2 3_Sheet1" xfId="3695"/>
    <cellStyle name="Normal 2 2 4" xfId="3696"/>
    <cellStyle name="Normal 2 2 5" xfId="3697"/>
    <cellStyle name="Normal 2 2 5 2" xfId="3698"/>
    <cellStyle name="Normal 2 2 5 2 2" xfId="3699"/>
    <cellStyle name="Normal 2 2 5 2_Sheet1" xfId="3700"/>
    <cellStyle name="Normal 2 2 5 3" xfId="3701"/>
    <cellStyle name="Normal 2 2 5_Sheet1" xfId="3702"/>
    <cellStyle name="Normal 2 2 6" xfId="3703"/>
    <cellStyle name="Normal 2 2 7" xfId="3704"/>
    <cellStyle name="Normal 2 2 7 2" xfId="3705"/>
    <cellStyle name="Normal 2 2 7_Sheet1" xfId="3706"/>
    <cellStyle name="Normal 2 2 8" xfId="3707"/>
    <cellStyle name="Normal 2 2 9" xfId="3708"/>
    <cellStyle name="Normal 2 2_SA1" xfId="5426"/>
    <cellStyle name="Normal 2 20" xfId="3709"/>
    <cellStyle name="Normal 2 21" xfId="5591"/>
    <cellStyle name="Normal 2 22" xfId="5592"/>
    <cellStyle name="Normal 2 23" xfId="5879"/>
    <cellStyle name="Normal 2 23 2" xfId="6593"/>
    <cellStyle name="Normal 2 23 3" xfId="7209"/>
    <cellStyle name="Normal 2 23 4" xfId="7309"/>
    <cellStyle name="Normal 2 24" xfId="6228"/>
    <cellStyle name="Normal 2 25" xfId="7115"/>
    <cellStyle name="Normal 2 26" xfId="7246"/>
    <cellStyle name="Normal 2 3" xfId="283"/>
    <cellStyle name="Normal 2 3 10" xfId="3710"/>
    <cellStyle name="Normal 2 3 11" xfId="3711"/>
    <cellStyle name="Normal 2 3 12" xfId="3712"/>
    <cellStyle name="Normal 2 3 13" xfId="3713"/>
    <cellStyle name="Normal 2 3 14" xfId="3714"/>
    <cellStyle name="Normal 2 3 15" xfId="3715"/>
    <cellStyle name="Normal 2 3 16" xfId="5880"/>
    <cellStyle name="Normal 2 3 16 2" xfId="6327"/>
    <cellStyle name="Normal 2 3 16 3" xfId="7028"/>
    <cellStyle name="Normal 2 3 16 4" xfId="6693"/>
    <cellStyle name="Normal 2 3 17" xfId="6172"/>
    <cellStyle name="Normal 2 3 18" xfId="7165"/>
    <cellStyle name="Normal 2 3 19" xfId="7242"/>
    <cellStyle name="Normal 2 3 2" xfId="284"/>
    <cellStyle name="Normal 2 3 2 10" xfId="5882"/>
    <cellStyle name="Normal 2 3 2 11" xfId="6330"/>
    <cellStyle name="Normal 2 3 2 12" xfId="7025"/>
    <cellStyle name="Normal 2 3 2 13" xfId="6695"/>
    <cellStyle name="Normal 2 3 2 2" xfId="3716"/>
    <cellStyle name="Normal 2 3 2 2 2" xfId="3717"/>
    <cellStyle name="Normal 2 3 2 2 3" xfId="5884"/>
    <cellStyle name="Normal 2 3 2 2 4" xfId="6331"/>
    <cellStyle name="Normal 2 3 2 2 5" xfId="7217"/>
    <cellStyle name="Normal 2 3 2 2 6" xfId="7316"/>
    <cellStyle name="Normal 2 3 2 2_SA1" xfId="5883"/>
    <cellStyle name="Normal 2 3 2 3" xfId="3718"/>
    <cellStyle name="Normal 2 3 2 3 2" xfId="3719"/>
    <cellStyle name="Normal 2 3 2 3_Sheet1" xfId="3720"/>
    <cellStyle name="Normal 2 3 2 4" xfId="3721"/>
    <cellStyle name="Normal 2 3 2 5" xfId="3722"/>
    <cellStyle name="Normal 2 3 2 6" xfId="3723"/>
    <cellStyle name="Normal 2 3 2 7" xfId="3724"/>
    <cellStyle name="Normal 2 3 2 8" xfId="3725"/>
    <cellStyle name="Normal 2 3 2 9" xfId="3726"/>
    <cellStyle name="Normal 2 3 2_SA1" xfId="5881"/>
    <cellStyle name="Normal 2 3 3" xfId="285"/>
    <cellStyle name="Normal 2 3 3 2" xfId="3728"/>
    <cellStyle name="Normal 2 3 3 3" xfId="3729"/>
    <cellStyle name="Normal 2 3 3 4" xfId="3730"/>
    <cellStyle name="Normal 2 3 3 5" xfId="3731"/>
    <cellStyle name="Normal 2 3 3 6" xfId="3732"/>
    <cellStyle name="Normal 2 3 3 7" xfId="3733"/>
    <cellStyle name="Normal 2 3 3_SA3" xfId="3727"/>
    <cellStyle name="Normal 2 3 4" xfId="286"/>
    <cellStyle name="Normal 2 3 4 2" xfId="3735"/>
    <cellStyle name="Normal 2 3 4 3" xfId="3736"/>
    <cellStyle name="Normal 2 3 4 4" xfId="3737"/>
    <cellStyle name="Normal 2 3 4 5" xfId="3738"/>
    <cellStyle name="Normal 2 3 4 6" xfId="3739"/>
    <cellStyle name="Normal 2 3 4 7" xfId="3740"/>
    <cellStyle name="Normal 2 3 4_SA3" xfId="3734"/>
    <cellStyle name="Normal 2 3 5" xfId="287"/>
    <cellStyle name="Normal 2 3 5 2" xfId="3742"/>
    <cellStyle name="Normal 2 3 5 3" xfId="3743"/>
    <cellStyle name="Normal 2 3 5 4" xfId="3744"/>
    <cellStyle name="Normal 2 3 5 5" xfId="3745"/>
    <cellStyle name="Normal 2 3 5 6" xfId="3746"/>
    <cellStyle name="Normal 2 3 5_SA3" xfId="3741"/>
    <cellStyle name="Normal 2 3 6" xfId="288"/>
    <cellStyle name="Normal 2 3 6 2" xfId="3748"/>
    <cellStyle name="Normal 2 3 6 3" xfId="3749"/>
    <cellStyle name="Normal 2 3 6 4" xfId="3750"/>
    <cellStyle name="Normal 2 3 6 5" xfId="3751"/>
    <cellStyle name="Normal 2 3 6 6" xfId="3752"/>
    <cellStyle name="Normal 2 3 6_SA3" xfId="3747"/>
    <cellStyle name="Normal 2 3 7" xfId="289"/>
    <cellStyle name="Normal 2 3 7 2" xfId="3754"/>
    <cellStyle name="Normal 2 3 7 3" xfId="3755"/>
    <cellStyle name="Normal 2 3 7 4" xfId="3756"/>
    <cellStyle name="Normal 2 3 7 5" xfId="3757"/>
    <cellStyle name="Normal 2 3 7 6" xfId="3758"/>
    <cellStyle name="Normal 2 3 7_SA3" xfId="3753"/>
    <cellStyle name="Normal 2 3 8" xfId="290"/>
    <cellStyle name="Normal 2 3 9" xfId="3759"/>
    <cellStyle name="Normal 2 3_A7-CFlow" xfId="1244"/>
    <cellStyle name="Normal 2 4" xfId="291"/>
    <cellStyle name="Normal 2 4 10" xfId="3760"/>
    <cellStyle name="Normal 2 4 11" xfId="5886"/>
    <cellStyle name="Normal 2 4 12" xfId="6231"/>
    <cellStyle name="Normal 2 4 13" xfId="7113"/>
    <cellStyle name="Normal 2 4 14" xfId="6629"/>
    <cellStyle name="Normal 2 4 2" xfId="3761"/>
    <cellStyle name="Normal 2 4 2 2" xfId="3762"/>
    <cellStyle name="Normal 2 4 2 2 2" xfId="3763"/>
    <cellStyle name="Normal 2 4 2 2_Sheet1" xfId="3764"/>
    <cellStyle name="Normal 2 4 2 3" xfId="3765"/>
    <cellStyle name="Normal 2 4 2 3 2" xfId="3766"/>
    <cellStyle name="Normal 2 4 2 3_Sheet1" xfId="3767"/>
    <cellStyle name="Normal 2 4 2 4" xfId="3768"/>
    <cellStyle name="Normal 2 4 2 5" xfId="5888"/>
    <cellStyle name="Normal 2 4 2 6" xfId="6332"/>
    <cellStyle name="Normal 2 4 2 7" xfId="7218"/>
    <cellStyle name="Normal 2 4 2 8" xfId="7317"/>
    <cellStyle name="Normal 2 4 2_SA1" xfId="5887"/>
    <cellStyle name="Normal 2 4 3" xfId="3769"/>
    <cellStyle name="Normal 2 4 3 2" xfId="3770"/>
    <cellStyle name="Normal 2 4 3_Sheet1" xfId="3771"/>
    <cellStyle name="Normal 2 4 4" xfId="3772"/>
    <cellStyle name="Normal 2 4 4 2" xfId="3773"/>
    <cellStyle name="Normal 2 4 4_Sheet1" xfId="3774"/>
    <cellStyle name="Normal 2 4 5" xfId="3775"/>
    <cellStyle name="Normal 2 4 6" xfId="3776"/>
    <cellStyle name="Normal 2 4 7" xfId="3777"/>
    <cellStyle name="Normal 2 4 8" xfId="3778"/>
    <cellStyle name="Normal 2 4 9" xfId="3779"/>
    <cellStyle name="Normal 2 4_SA1" xfId="5885"/>
    <cellStyle name="Normal 2 5" xfId="292"/>
    <cellStyle name="Normal 2 5 10" xfId="3781"/>
    <cellStyle name="Normal 2 5 2" xfId="3782"/>
    <cellStyle name="Normal 2 5 2 2" xfId="3783"/>
    <cellStyle name="Normal 2 5 2 2 2" xfId="3784"/>
    <cellStyle name="Normal 2 5 2 2_Sheet1" xfId="3785"/>
    <cellStyle name="Normal 2 5 2 3" xfId="3786"/>
    <cellStyle name="Normal 2 5 2 3 2" xfId="3787"/>
    <cellStyle name="Normal 2 5 2 3_Sheet1" xfId="3788"/>
    <cellStyle name="Normal 2 5 2 4" xfId="3789"/>
    <cellStyle name="Normal 2 5 2_Sheet1" xfId="3790"/>
    <cellStyle name="Normal 2 5 3" xfId="3791"/>
    <cellStyle name="Normal 2 5 3 2" xfId="3792"/>
    <cellStyle name="Normal 2 5 3_Sheet1" xfId="3793"/>
    <cellStyle name="Normal 2 5 4" xfId="3794"/>
    <cellStyle name="Normal 2 5 4 2" xfId="3795"/>
    <cellStyle name="Normal 2 5 4_Sheet1" xfId="3796"/>
    <cellStyle name="Normal 2 5 5" xfId="3797"/>
    <cellStyle name="Normal 2 5 6" xfId="3798"/>
    <cellStyle name="Normal 2 5 7" xfId="3799"/>
    <cellStyle name="Normal 2 5 8" xfId="3800"/>
    <cellStyle name="Normal 2 5 9" xfId="3801"/>
    <cellStyle name="Normal 2 5_SA3" xfId="3780"/>
    <cellStyle name="Normal 2 6" xfId="293"/>
    <cellStyle name="Normal 2 6 2" xfId="3803"/>
    <cellStyle name="Normal 2 6 3" xfId="3804"/>
    <cellStyle name="Normal 2 6 4" xfId="3805"/>
    <cellStyle name="Normal 2 6 5" xfId="3806"/>
    <cellStyle name="Normal 2 6 6" xfId="3807"/>
    <cellStyle name="Normal 2 6_SA3" xfId="3802"/>
    <cellStyle name="Normal 2 60" xfId="294"/>
    <cellStyle name="Normal 2 7" xfId="295"/>
    <cellStyle name="Normal 2 7 2" xfId="3809"/>
    <cellStyle name="Normal 2 7 2 2" xfId="3810"/>
    <cellStyle name="Normal 2 7 2_Sheet1" xfId="3811"/>
    <cellStyle name="Normal 2 7 3" xfId="3812"/>
    <cellStyle name="Normal 2 7 3 2" xfId="3813"/>
    <cellStyle name="Normal 2 7 3_Sheet1" xfId="3814"/>
    <cellStyle name="Normal 2 7 4" xfId="3815"/>
    <cellStyle name="Normal 2 7 5" xfId="3816"/>
    <cellStyle name="Normal 2 7 6" xfId="3817"/>
    <cellStyle name="Normal 2 7 7" xfId="3818"/>
    <cellStyle name="Normal 2 7 8" xfId="3819"/>
    <cellStyle name="Normal 2 7 9" xfId="3820"/>
    <cellStyle name="Normal 2 7_SA3" xfId="3808"/>
    <cellStyle name="Normal 2 8" xfId="296"/>
    <cellStyle name="Normal 2 8 2" xfId="3822"/>
    <cellStyle name="Normal 2 8 2 2" xfId="3823"/>
    <cellStyle name="Normal 2 8 2_Sheet1" xfId="3824"/>
    <cellStyle name="Normal 2 8 3" xfId="3825"/>
    <cellStyle name="Normal 2 8 3 2" xfId="3826"/>
    <cellStyle name="Normal 2 8 3_Sheet1" xfId="3827"/>
    <cellStyle name="Normal 2 8 4" xfId="3828"/>
    <cellStyle name="Normal 2 8 5" xfId="3829"/>
    <cellStyle name="Normal 2 8 6" xfId="3830"/>
    <cellStyle name="Normal 2 8 7" xfId="3831"/>
    <cellStyle name="Normal 2 8 8" xfId="3832"/>
    <cellStyle name="Normal 2 8 9" xfId="3833"/>
    <cellStyle name="Normal 2 8_SA3" xfId="3821"/>
    <cellStyle name="Normal 2 9" xfId="297"/>
    <cellStyle name="Normal 2 9 2" xfId="3835"/>
    <cellStyle name="Normal 2 9 2 2" xfId="3836"/>
    <cellStyle name="Normal 2 9 2_Sheet1" xfId="3837"/>
    <cellStyle name="Normal 2 9 3" xfId="3838"/>
    <cellStyle name="Normal 2 9 3 2" xfId="3839"/>
    <cellStyle name="Normal 2 9 3_Sheet1" xfId="3840"/>
    <cellStyle name="Normal 2 9 4" xfId="3841"/>
    <cellStyle name="Normal 2 9 5" xfId="3842"/>
    <cellStyle name="Normal 2 9 6" xfId="3843"/>
    <cellStyle name="Normal 2 9 7" xfId="3844"/>
    <cellStyle name="Normal 2 9 8" xfId="3845"/>
    <cellStyle name="Normal 2 9 9" xfId="3846"/>
    <cellStyle name="Normal 2 9_SA3" xfId="3834"/>
    <cellStyle name="Normal 2_SA1" xfId="5423"/>
    <cellStyle name="Normal 20" xfId="298"/>
    <cellStyle name="Normal 20 2" xfId="299"/>
    <cellStyle name="Normal 20 2 2" xfId="3848"/>
    <cellStyle name="Normal 20 2 3" xfId="3849"/>
    <cellStyle name="Normal 20 2 4" xfId="3850"/>
    <cellStyle name="Normal 20 2 5" xfId="3851"/>
    <cellStyle name="Normal 20 2 6" xfId="3852"/>
    <cellStyle name="Normal 20 2_SA3" xfId="3847"/>
    <cellStyle name="Normal 20 3" xfId="300"/>
    <cellStyle name="Normal 20 3 2" xfId="3854"/>
    <cellStyle name="Normal 20 3 3" xfId="3855"/>
    <cellStyle name="Normal 20 3 4" xfId="3856"/>
    <cellStyle name="Normal 20 3 5" xfId="3857"/>
    <cellStyle name="Normal 20 3 6" xfId="3858"/>
    <cellStyle name="Normal 20 3_SA3" xfId="3853"/>
    <cellStyle name="Normal 20 4" xfId="301"/>
    <cellStyle name="Normal 20 5" xfId="302"/>
    <cellStyle name="Normal 20 6" xfId="303"/>
    <cellStyle name="Normal 20 7" xfId="304"/>
    <cellStyle name="Normal 20_EDIH Asset Listing Tool" xfId="305"/>
    <cellStyle name="Normal 21" xfId="306"/>
    <cellStyle name="Normal 21 2" xfId="307"/>
    <cellStyle name="Normal 21 2 2" xfId="3860"/>
    <cellStyle name="Normal 21 2 3" xfId="3861"/>
    <cellStyle name="Normal 21 2 4" xfId="3862"/>
    <cellStyle name="Normal 21 2 5" xfId="3863"/>
    <cellStyle name="Normal 21 2 6" xfId="3864"/>
    <cellStyle name="Normal 21 2_SA3" xfId="3859"/>
    <cellStyle name="Normal 21 3" xfId="3865"/>
    <cellStyle name="Normal 21 3 2" xfId="3866"/>
    <cellStyle name="Normal 21 3_Sheet1" xfId="3867"/>
    <cellStyle name="Normal 21 4" xfId="3868"/>
    <cellStyle name="Normal 21 5" xfId="3869"/>
    <cellStyle name="Normal 21 6" xfId="3870"/>
    <cellStyle name="Normal 21 7" xfId="3871"/>
    <cellStyle name="Normal 21 8" xfId="3872"/>
    <cellStyle name="Normal 21 9" xfId="3873"/>
    <cellStyle name="Normal 21_EDIH Asset Listing Tool" xfId="308"/>
    <cellStyle name="Normal 22" xfId="309"/>
    <cellStyle name="Normal 22 10" xfId="3874"/>
    <cellStyle name="Normal 22 11" xfId="3875"/>
    <cellStyle name="Normal 22 2" xfId="310"/>
    <cellStyle name="Normal 22 2 2" xfId="3877"/>
    <cellStyle name="Normal 22 2 2 2" xfId="3878"/>
    <cellStyle name="Normal 22 2 2_Sheet1" xfId="3879"/>
    <cellStyle name="Normal 22 2 3" xfId="3880"/>
    <cellStyle name="Normal 22 2 3 2" xfId="3881"/>
    <cellStyle name="Normal 22 2 3_Sheet1" xfId="3882"/>
    <cellStyle name="Normal 22 2 4" xfId="3883"/>
    <cellStyle name="Normal 22 2 5" xfId="3884"/>
    <cellStyle name="Normal 22 2 6" xfId="3885"/>
    <cellStyle name="Normal 22 2 7" xfId="3886"/>
    <cellStyle name="Normal 22 2 8" xfId="3887"/>
    <cellStyle name="Normal 22 2 9" xfId="3888"/>
    <cellStyle name="Normal 22 2_SA3" xfId="3876"/>
    <cellStyle name="Normal 22 3" xfId="3889"/>
    <cellStyle name="Normal 22 3 2" xfId="3890"/>
    <cellStyle name="Normal 22 3 2 2" xfId="3891"/>
    <cellStyle name="Normal 22 3 2_Sheet1" xfId="3892"/>
    <cellStyle name="Normal 22 3 3" xfId="3893"/>
    <cellStyle name="Normal 22 3_Sheet1" xfId="3894"/>
    <cellStyle name="Normal 22 4" xfId="3895"/>
    <cellStyle name="Normal 22 4 2" xfId="3896"/>
    <cellStyle name="Normal 22 4_Sheet1" xfId="3897"/>
    <cellStyle name="Normal 22 5" xfId="3898"/>
    <cellStyle name="Normal 22 6" xfId="3899"/>
    <cellStyle name="Normal 22 6 2" xfId="3900"/>
    <cellStyle name="Normal 22 6_Sheet1" xfId="3901"/>
    <cellStyle name="Normal 22 7" xfId="3902"/>
    <cellStyle name="Normal 22 8" xfId="3903"/>
    <cellStyle name="Normal 22 9" xfId="3904"/>
    <cellStyle name="Normal 22_EDIH Asset Listing Tool" xfId="311"/>
    <cellStyle name="Normal 23" xfId="312"/>
    <cellStyle name="Normal 23 2" xfId="313"/>
    <cellStyle name="Normal 23 2 2" xfId="3906"/>
    <cellStyle name="Normal 23 2 3" xfId="3907"/>
    <cellStyle name="Normal 23 2 4" xfId="3908"/>
    <cellStyle name="Normal 23 2 5" xfId="3909"/>
    <cellStyle name="Normal 23 2 6" xfId="3910"/>
    <cellStyle name="Normal 23 2_SA3" xfId="3905"/>
    <cellStyle name="Normal 23 3" xfId="3911"/>
    <cellStyle name="Normal 23 3 2" xfId="3912"/>
    <cellStyle name="Normal 23 3_Sheet1" xfId="3913"/>
    <cellStyle name="Normal 23 4" xfId="3914"/>
    <cellStyle name="Normal 23 5" xfId="3915"/>
    <cellStyle name="Normal 23 6" xfId="3916"/>
    <cellStyle name="Normal 23 7" xfId="3917"/>
    <cellStyle name="Normal 23 8" xfId="3918"/>
    <cellStyle name="Normal 23_EDIH Asset Listing Tool" xfId="314"/>
    <cellStyle name="Normal 24" xfId="315"/>
    <cellStyle name="Normal 24 2" xfId="316"/>
    <cellStyle name="Normal 24 2 2" xfId="3920"/>
    <cellStyle name="Normal 24 2 3" xfId="3921"/>
    <cellStyle name="Normal 24 2 4" xfId="3922"/>
    <cellStyle name="Normal 24 2 5" xfId="3923"/>
    <cellStyle name="Normal 24 2 6" xfId="3924"/>
    <cellStyle name="Normal 24 2_SA3" xfId="3919"/>
    <cellStyle name="Normal 24 3" xfId="3925"/>
    <cellStyle name="Normal 24 4" xfId="3926"/>
    <cellStyle name="Normal 24 5" xfId="3927"/>
    <cellStyle name="Normal 24 6" xfId="3928"/>
    <cellStyle name="Normal 24 7" xfId="3929"/>
    <cellStyle name="Normal 24_EDIH Asset Listing Tool" xfId="317"/>
    <cellStyle name="Normal 25" xfId="318"/>
    <cellStyle name="Normal 25 10" xfId="3930"/>
    <cellStyle name="Normal 25 11" xfId="6333"/>
    <cellStyle name="Normal 25 12" xfId="7024"/>
    <cellStyle name="Normal 25 13" xfId="6696"/>
    <cellStyle name="Normal 25 2" xfId="319"/>
    <cellStyle name="Normal 25 2 2" xfId="320"/>
    <cellStyle name="Normal 25 2 2 2" xfId="321"/>
    <cellStyle name="Normal 25 2 2 2 2" xfId="6335"/>
    <cellStyle name="Normal 25 2 2 2 3" xfId="6387"/>
    <cellStyle name="Normal 25 2 2 2 4" xfId="7267"/>
    <cellStyle name="Normal 25 2 2 2_SA1" xfId="5889"/>
    <cellStyle name="Normal 25 2 2 3" xfId="6334"/>
    <cellStyle name="Normal 25 2 2 4" xfId="7023"/>
    <cellStyle name="Normal 25 2 2 5" xfId="6500"/>
    <cellStyle name="Normal 25 2 2_SA1" xfId="5428"/>
    <cellStyle name="Normal 25 2 3" xfId="322"/>
    <cellStyle name="Normal 25 2 3 2" xfId="6336"/>
    <cellStyle name="Normal 25 2 3 3" xfId="7216"/>
    <cellStyle name="Normal 25 2 3 4" xfId="7315"/>
    <cellStyle name="Normal 25 2 3_SA1" xfId="5890"/>
    <cellStyle name="Normal 25 2 4" xfId="3931"/>
    <cellStyle name="Normal 25 2 5" xfId="3932"/>
    <cellStyle name="Normal 25 2 6" xfId="3933"/>
    <cellStyle name="Normal 25 2 7" xfId="3934"/>
    <cellStyle name="Normal 25 2 8" xfId="3935"/>
    <cellStyle name="Normal 25 2_Sheet1" xfId="3936"/>
    <cellStyle name="Normal 25 3" xfId="323"/>
    <cellStyle name="Normal 25 3 2" xfId="3938"/>
    <cellStyle name="Normal 25 3 3" xfId="3939"/>
    <cellStyle name="Normal 25 3 4" xfId="3940"/>
    <cellStyle name="Normal 25 3 5" xfId="3941"/>
    <cellStyle name="Normal 25 3 6" xfId="3942"/>
    <cellStyle name="Normal 25 3 7" xfId="3943"/>
    <cellStyle name="Normal 25 3_SA3" xfId="3937"/>
    <cellStyle name="Normal 25 4" xfId="324"/>
    <cellStyle name="Normal 25 4 2" xfId="3944"/>
    <cellStyle name="Normal 25 4 3" xfId="3945"/>
    <cellStyle name="Normal 25 4 4" xfId="3946"/>
    <cellStyle name="Normal 25 4 5" xfId="3947"/>
    <cellStyle name="Normal 25 4 6" xfId="3948"/>
    <cellStyle name="Normal 25 4 7" xfId="6337"/>
    <cellStyle name="Normal 25 4 8" xfId="7022"/>
    <cellStyle name="Normal 25 4 9" xfId="6697"/>
    <cellStyle name="Normal 25 4_SA1" xfId="5429"/>
    <cellStyle name="Normal 25 5" xfId="325"/>
    <cellStyle name="Normal 25 5 2" xfId="3949"/>
    <cellStyle name="Normal 25 5 3" xfId="6338"/>
    <cellStyle name="Normal 25 5 4" xfId="7021"/>
    <cellStyle name="Normal 25 5 5" xfId="7251"/>
    <cellStyle name="Normal 25 5_SA1" xfId="5430"/>
    <cellStyle name="Normal 25 6" xfId="3950"/>
    <cellStyle name="Normal 25 7" xfId="3951"/>
    <cellStyle name="Normal 25 8" xfId="3952"/>
    <cellStyle name="Normal 25 9" xfId="3953"/>
    <cellStyle name="Normal 25_SA1" xfId="5427"/>
    <cellStyle name="Normal 26" xfId="326"/>
    <cellStyle name="Normal 26 2" xfId="3954"/>
    <cellStyle name="Normal 27" xfId="327"/>
    <cellStyle name="Normal 27 2" xfId="3955"/>
    <cellStyle name="Normal 27 2 2" xfId="3956"/>
    <cellStyle name="Normal 27 2 2 2" xfId="3957"/>
    <cellStyle name="Normal 27 2 2_Sheet1" xfId="3958"/>
    <cellStyle name="Normal 27 2 3" xfId="3959"/>
    <cellStyle name="Normal 27 2_Sheet1" xfId="3960"/>
    <cellStyle name="Normal 27 3" xfId="3961"/>
    <cellStyle name="Normal 27 3 2" xfId="3962"/>
    <cellStyle name="Normal 27 3_Sheet1" xfId="3963"/>
    <cellStyle name="Normal 27 4" xfId="3964"/>
    <cellStyle name="Normal 27 5" xfId="3965"/>
    <cellStyle name="Normal 27 5 2" xfId="3966"/>
    <cellStyle name="Normal 27 5_Sheet1" xfId="3967"/>
    <cellStyle name="Normal 28" xfId="328"/>
    <cellStyle name="Normal 28 2" xfId="329"/>
    <cellStyle name="Normal 28 2 2" xfId="3968"/>
    <cellStyle name="Normal 28 2 2 2" xfId="3969"/>
    <cellStyle name="Normal 28 2 2_Sheet1" xfId="3970"/>
    <cellStyle name="Normal 28 2 3" xfId="3971"/>
    <cellStyle name="Normal 28 2 4" xfId="6339"/>
    <cellStyle name="Normal 28 2 5" xfId="6386"/>
    <cellStyle name="Normal 28 2 6" xfId="6981"/>
    <cellStyle name="Normal 28 2_SA1" xfId="5431"/>
    <cellStyle name="Normal 28 3" xfId="3972"/>
    <cellStyle name="Normal 28 3 2" xfId="3973"/>
    <cellStyle name="Normal 28 3_Sheet1" xfId="3974"/>
    <cellStyle name="Normal 28 4" xfId="3975"/>
    <cellStyle name="Normal 28 5" xfId="3976"/>
    <cellStyle name="Normal 28 5 2" xfId="3977"/>
    <cellStyle name="Normal 28 5_Sheet1" xfId="3978"/>
    <cellStyle name="Normal 29" xfId="330"/>
    <cellStyle name="Normal 29 2" xfId="3979"/>
    <cellStyle name="Normal 29 2 2" xfId="3980"/>
    <cellStyle name="Normal 29 2 2 2" xfId="3981"/>
    <cellStyle name="Normal 29 2 2_Sheet1" xfId="3982"/>
    <cellStyle name="Normal 29 2 3" xfId="3983"/>
    <cellStyle name="Normal 29 2_Sheet1" xfId="3984"/>
    <cellStyle name="Normal 29 3" xfId="3985"/>
    <cellStyle name="Normal 29 3 2" xfId="3986"/>
    <cellStyle name="Normal 29 3_Sheet1" xfId="3987"/>
    <cellStyle name="Normal 29 4" xfId="3988"/>
    <cellStyle name="Normal 29 5" xfId="3989"/>
    <cellStyle name="Normal 29 5 2" xfId="3990"/>
    <cellStyle name="Normal 29 5_Sheet1" xfId="3991"/>
    <cellStyle name="Normal 3" xfId="9"/>
    <cellStyle name="Normal 3 10" xfId="331"/>
    <cellStyle name="Normal 3 11" xfId="332"/>
    <cellStyle name="Normal 3 11 2" xfId="333"/>
    <cellStyle name="Normal 3 11 2 2" xfId="334"/>
    <cellStyle name="Normal 3 11 2 2 2" xfId="6341"/>
    <cellStyle name="Normal 3 11 2 2 3" xfId="7019"/>
    <cellStyle name="Normal 3 11 2 2 4" xfId="6699"/>
    <cellStyle name="Normal 3 11 2 2_SA1" xfId="5891"/>
    <cellStyle name="Normal 3 11 2 3" xfId="6340"/>
    <cellStyle name="Normal 3 11 2 4" xfId="7020"/>
    <cellStyle name="Normal 3 11 2 5" xfId="6698"/>
    <cellStyle name="Normal 3 11 2_SA1" xfId="5432"/>
    <cellStyle name="Normal 3 11 3" xfId="335"/>
    <cellStyle name="Normal 3 11 3 2" xfId="6342"/>
    <cellStyle name="Normal 3 11 3 3" xfId="7018"/>
    <cellStyle name="Normal 3 11 3 4" xfId="6700"/>
    <cellStyle name="Normal 3 11 3_SA1" xfId="5892"/>
    <cellStyle name="Normal 3 11 4" xfId="3992"/>
    <cellStyle name="Normal 3 11 5" xfId="3993"/>
    <cellStyle name="Normal 3 11 6" xfId="3994"/>
    <cellStyle name="Normal 3 11 7" xfId="3995"/>
    <cellStyle name="Normal 3 11 8" xfId="3996"/>
    <cellStyle name="Normal 3 11_Sheet1" xfId="3997"/>
    <cellStyle name="Normal 3 12" xfId="336"/>
    <cellStyle name="Normal 3 12 2" xfId="3998"/>
    <cellStyle name="Normal 3 12 3" xfId="3999"/>
    <cellStyle name="Normal 3 12 4" xfId="4000"/>
    <cellStyle name="Normal 3 12 5" xfId="4001"/>
    <cellStyle name="Normal 3 12 6" xfId="4002"/>
    <cellStyle name="Normal 3 12 7" xfId="6343"/>
    <cellStyle name="Normal 3 12 8" xfId="7017"/>
    <cellStyle name="Normal 3 12 9" xfId="6701"/>
    <cellStyle name="Normal 3 12_SA1" xfId="5433"/>
    <cellStyle name="Normal 3 13" xfId="337"/>
    <cellStyle name="Normal 3 13 2" xfId="4004"/>
    <cellStyle name="Normal 3 13 3" xfId="4005"/>
    <cellStyle name="Normal 3 13 4" xfId="4006"/>
    <cellStyle name="Normal 3 13 5" xfId="4007"/>
    <cellStyle name="Normal 3 13 6" xfId="4008"/>
    <cellStyle name="Normal 3 13_SA3" xfId="4003"/>
    <cellStyle name="Normal 3 14" xfId="338"/>
    <cellStyle name="Normal 3 15" xfId="339"/>
    <cellStyle name="Normal 3 16" xfId="340"/>
    <cellStyle name="Normal 3 17" xfId="341"/>
    <cellStyle name="Normal 3 18" xfId="4009"/>
    <cellStyle name="Normal 3 19" xfId="4010"/>
    <cellStyle name="Normal 3 2" xfId="342"/>
    <cellStyle name="Normal 3 2 10" xfId="4011"/>
    <cellStyle name="Normal 3 2 11" xfId="4012"/>
    <cellStyle name="Normal 3 2 12" xfId="4013"/>
    <cellStyle name="Normal 3 2 13" xfId="5893"/>
    <cellStyle name="Normal 3 2 14" xfId="6173"/>
    <cellStyle name="Normal 3 2 15" xfId="7164"/>
    <cellStyle name="Normal 3 2 16" xfId="6605"/>
    <cellStyle name="Normal 3 2 2" xfId="343"/>
    <cellStyle name="Normal 3 2 2 10" xfId="6702"/>
    <cellStyle name="Normal 3 2 2 2" xfId="4014"/>
    <cellStyle name="Normal 3 2 2 3" xfId="4015"/>
    <cellStyle name="Normal 3 2 2 4" xfId="4016"/>
    <cellStyle name="Normal 3 2 2 5" xfId="4017"/>
    <cellStyle name="Normal 3 2 2 6" xfId="4018"/>
    <cellStyle name="Normal 3 2 2 7" xfId="5894"/>
    <cellStyle name="Normal 3 2 2 8" xfId="6344"/>
    <cellStyle name="Normal 3 2 2 9" xfId="7016"/>
    <cellStyle name="Normal 3 2 2_SA1" xfId="5434"/>
    <cellStyle name="Normal 3 2 3" xfId="344"/>
    <cellStyle name="Normal 3 2 3 2" xfId="4020"/>
    <cellStyle name="Normal 3 2 3 3" xfId="4021"/>
    <cellStyle name="Normal 3 2 3 4" xfId="4022"/>
    <cellStyle name="Normal 3 2 3 5" xfId="4023"/>
    <cellStyle name="Normal 3 2 3 6" xfId="4024"/>
    <cellStyle name="Normal 3 2 3_SA3" xfId="4019"/>
    <cellStyle name="Normal 3 2 4" xfId="345"/>
    <cellStyle name="Normal 3 2 5" xfId="346"/>
    <cellStyle name="Normal 3 2 6" xfId="347"/>
    <cellStyle name="Normal 3 2 7" xfId="348"/>
    <cellStyle name="Normal 3 2 8" xfId="4025"/>
    <cellStyle name="Normal 3 2 9" xfId="4026"/>
    <cellStyle name="Normal 3 2_A7-CFlow" xfId="1245"/>
    <cellStyle name="Normal 3 20" xfId="4027"/>
    <cellStyle name="Normal 3 21" xfId="4028"/>
    <cellStyle name="Normal 3 22" xfId="4029"/>
    <cellStyle name="Normal 3 23" xfId="4030"/>
    <cellStyle name="Normal 3 24" xfId="4031"/>
    <cellStyle name="Normal 3 3" xfId="349"/>
    <cellStyle name="Normal 3 3 2" xfId="4033"/>
    <cellStyle name="Normal 3 3 2 2" xfId="4034"/>
    <cellStyle name="Normal 3 3 2_Sheet1" xfId="4035"/>
    <cellStyle name="Normal 3 3 3" xfId="4036"/>
    <cellStyle name="Normal 3 3 3 2" xfId="4037"/>
    <cellStyle name="Normal 3 3 3_Sheet1" xfId="4038"/>
    <cellStyle name="Normal 3 3 4" xfId="4039"/>
    <cellStyle name="Normal 3 3 5" xfId="4040"/>
    <cellStyle name="Normal 3 3 6" xfId="4041"/>
    <cellStyle name="Normal 3 3 7" xfId="4042"/>
    <cellStyle name="Normal 3 3 8" xfId="4043"/>
    <cellStyle name="Normal 3 3 9" xfId="4044"/>
    <cellStyle name="Normal 3 3_SA3" xfId="4032"/>
    <cellStyle name="Normal 3 4" xfId="350"/>
    <cellStyle name="Normal 3 4 2" xfId="4046"/>
    <cellStyle name="Normal 3 4 3" xfId="4047"/>
    <cellStyle name="Normal 3 4 4" xfId="4048"/>
    <cellStyle name="Normal 3 4 5" xfId="4049"/>
    <cellStyle name="Normal 3 4 6" xfId="4050"/>
    <cellStyle name="Normal 3 4 7" xfId="4051"/>
    <cellStyle name="Normal 3 4_SA3" xfId="4045"/>
    <cellStyle name="Normal 3 5" xfId="351"/>
    <cellStyle name="Normal 3 5 2" xfId="4053"/>
    <cellStyle name="Normal 3 5 3" xfId="4054"/>
    <cellStyle name="Normal 3 5 4" xfId="4055"/>
    <cellStyle name="Normal 3 5 5" xfId="4056"/>
    <cellStyle name="Normal 3 5 6" xfId="4057"/>
    <cellStyle name="Normal 3 5 7" xfId="4058"/>
    <cellStyle name="Normal 3 5_SA3" xfId="4052"/>
    <cellStyle name="Normal 3 6" xfId="352"/>
    <cellStyle name="Normal 3 7" xfId="353"/>
    <cellStyle name="Normal 3 8" xfId="354"/>
    <cellStyle name="Normal 3 9" xfId="355"/>
    <cellStyle name="Normal 3_EDIH Asset Listing Tool" xfId="356"/>
    <cellStyle name="Normal 30" xfId="357"/>
    <cellStyle name="Normal 30 2" xfId="358"/>
    <cellStyle name="Normal 30 2 2" xfId="4059"/>
    <cellStyle name="Normal 30 2 3" xfId="4060"/>
    <cellStyle name="Normal 30 2 4" xfId="4061"/>
    <cellStyle name="Normal 30 2 5" xfId="4062"/>
    <cellStyle name="Normal 30 2 6" xfId="4063"/>
    <cellStyle name="Normal 30 2 7" xfId="6345"/>
    <cellStyle name="Normal 30 2 8" xfId="7015"/>
    <cellStyle name="Normal 30 2 9" xfId="6703"/>
    <cellStyle name="Normal 30 2_SA1" xfId="5435"/>
    <cellStyle name="Normal 31" xfId="359"/>
    <cellStyle name="Normal 31 2" xfId="4064"/>
    <cellStyle name="Normal 31 2 2" xfId="4065"/>
    <cellStyle name="Normal 31 2 2 2" xfId="4066"/>
    <cellStyle name="Normal 31 2 2_SA1" xfId="5897"/>
    <cellStyle name="Normal 31 2 3" xfId="4067"/>
    <cellStyle name="Normal 31 2_SA1" xfId="5896"/>
    <cellStyle name="Normal 31 3" xfId="4068"/>
    <cellStyle name="Normal 31 3 2" xfId="4069"/>
    <cellStyle name="Normal 31 3_SA1" xfId="5898"/>
    <cellStyle name="Normal 31 4" xfId="4070"/>
    <cellStyle name="Normal 31 5" xfId="4071"/>
    <cellStyle name="Normal 31 5 2" xfId="4072"/>
    <cellStyle name="Normal 31 5_SA1" xfId="5899"/>
    <cellStyle name="Normal 31_SA1" xfId="5895"/>
    <cellStyle name="Normal 32" xfId="360"/>
    <cellStyle name="Normal 32 2" xfId="361"/>
    <cellStyle name="Normal 32 2 2" xfId="4073"/>
    <cellStyle name="Normal 32 2 3" xfId="4074"/>
    <cellStyle name="Normal 32 2 4" xfId="4075"/>
    <cellStyle name="Normal 32 2 5" xfId="4076"/>
    <cellStyle name="Normal 32 2 6" xfId="4077"/>
    <cellStyle name="Normal 32 2_SA1" xfId="5436"/>
    <cellStyle name="Normal 32 3" xfId="4078"/>
    <cellStyle name="Normal 32 3 2" xfId="4079"/>
    <cellStyle name="Normal 32 3_SA1" xfId="5901"/>
    <cellStyle name="Normal 32_SA1" xfId="5900"/>
    <cellStyle name="Normal 33" xfId="362"/>
    <cellStyle name="Normal 33 2" xfId="4080"/>
    <cellStyle name="Normal 33_SA1" xfId="5902"/>
    <cellStyle name="Normal 34" xfId="363"/>
    <cellStyle name="Normal 34 10" xfId="4081"/>
    <cellStyle name="Normal 34 2" xfId="4082"/>
    <cellStyle name="Normal 34 2 2" xfId="4083"/>
    <cellStyle name="Normal 34 2 2 2" xfId="4084"/>
    <cellStyle name="Normal 34 2 2_SA1" xfId="5905"/>
    <cellStyle name="Normal 34 2 3" xfId="4085"/>
    <cellStyle name="Normal 34 2_SA1" xfId="5904"/>
    <cellStyle name="Normal 34 3" xfId="4086"/>
    <cellStyle name="Normal 34 3 2" xfId="4087"/>
    <cellStyle name="Normal 34 3_SA1" xfId="5906"/>
    <cellStyle name="Normal 34 4" xfId="4088"/>
    <cellStyle name="Normal 34 5" xfId="4089"/>
    <cellStyle name="Normal 34 5 2" xfId="4090"/>
    <cellStyle name="Normal 34 5_SA1" xfId="5907"/>
    <cellStyle name="Normal 34 6" xfId="4091"/>
    <cellStyle name="Normal 34 7" xfId="4092"/>
    <cellStyle name="Normal 34 8" xfId="4093"/>
    <cellStyle name="Normal 34 9" xfId="4094"/>
    <cellStyle name="Normal 34_SA1" xfId="5903"/>
    <cellStyle name="Normal 35" xfId="364"/>
    <cellStyle name="Normal 35 10" xfId="4095"/>
    <cellStyle name="Normal 35 2" xfId="4096"/>
    <cellStyle name="Normal 35 2 2" xfId="4097"/>
    <cellStyle name="Normal 35 2 2 2" xfId="4098"/>
    <cellStyle name="Normal 35 2 2_SA1" xfId="5910"/>
    <cellStyle name="Normal 35 2 3" xfId="4099"/>
    <cellStyle name="Normal 35 2_SA1" xfId="5909"/>
    <cellStyle name="Normal 35 3" xfId="4100"/>
    <cellStyle name="Normal 35 3 2" xfId="4101"/>
    <cellStyle name="Normal 35 3_SA1" xfId="5911"/>
    <cellStyle name="Normal 35 4" xfId="4102"/>
    <cellStyle name="Normal 35 5" xfId="4103"/>
    <cellStyle name="Normal 35 5 2" xfId="4104"/>
    <cellStyle name="Normal 35 5_SA1" xfId="5912"/>
    <cellStyle name="Normal 35 6" xfId="4105"/>
    <cellStyle name="Normal 35 7" xfId="4106"/>
    <cellStyle name="Normal 35 8" xfId="4107"/>
    <cellStyle name="Normal 35 9" xfId="4108"/>
    <cellStyle name="Normal 35_SA1" xfId="5908"/>
    <cellStyle name="Normal 36" xfId="365"/>
    <cellStyle name="Normal 36 2" xfId="4109"/>
    <cellStyle name="Normal 36 2 2" xfId="4110"/>
    <cellStyle name="Normal 36 2_SA1" xfId="5914"/>
    <cellStyle name="Normal 36 3" xfId="4111"/>
    <cellStyle name="Normal 36 3 2" xfId="4112"/>
    <cellStyle name="Normal 36 3_SA1" xfId="5915"/>
    <cellStyle name="Normal 36 4" xfId="4113"/>
    <cellStyle name="Normal 36 5" xfId="4114"/>
    <cellStyle name="Normal 36 6" xfId="4115"/>
    <cellStyle name="Normal 36 7" xfId="4116"/>
    <cellStyle name="Normal 36 8" xfId="4117"/>
    <cellStyle name="Normal 36 9" xfId="4118"/>
    <cellStyle name="Normal 36_SA1" xfId="5913"/>
    <cellStyle name="Normal 37" xfId="366"/>
    <cellStyle name="Normal 37 10" xfId="4119"/>
    <cellStyle name="Normal 37 2" xfId="4120"/>
    <cellStyle name="Normal 37 2 2" xfId="4121"/>
    <cellStyle name="Normal 37 2 2 2" xfId="4122"/>
    <cellStyle name="Normal 37 2 2_SA1" xfId="5918"/>
    <cellStyle name="Normal 37 2 3" xfId="4123"/>
    <cellStyle name="Normal 37 2_SA1" xfId="5917"/>
    <cellStyle name="Normal 37 3" xfId="4124"/>
    <cellStyle name="Normal 37 3 2" xfId="4125"/>
    <cellStyle name="Normal 37 3_SA1" xfId="5919"/>
    <cellStyle name="Normal 37 4" xfId="4126"/>
    <cellStyle name="Normal 37 5" xfId="4127"/>
    <cellStyle name="Normal 37 5 2" xfId="4128"/>
    <cellStyle name="Normal 37 5_SA1" xfId="5920"/>
    <cellStyle name="Normal 37 6" xfId="4129"/>
    <cellStyle name="Normal 37 7" xfId="4130"/>
    <cellStyle name="Normal 37 8" xfId="4131"/>
    <cellStyle name="Normal 37 9" xfId="4132"/>
    <cellStyle name="Normal 37_SA1" xfId="5916"/>
    <cellStyle name="Normal 38" xfId="367"/>
    <cellStyle name="Normal 38 2" xfId="4133"/>
    <cellStyle name="Normal 38 2 2" xfId="4134"/>
    <cellStyle name="Normal 38 2_SA1" xfId="5922"/>
    <cellStyle name="Normal 38 3" xfId="4135"/>
    <cellStyle name="Normal 38 3 2" xfId="4136"/>
    <cellStyle name="Normal 38 3_SA1" xfId="5923"/>
    <cellStyle name="Normal 38 4" xfId="4137"/>
    <cellStyle name="Normal 38 5" xfId="4138"/>
    <cellStyle name="Normal 38 6" xfId="4139"/>
    <cellStyle name="Normal 38 7" xfId="4140"/>
    <cellStyle name="Normal 38 8" xfId="4141"/>
    <cellStyle name="Normal 38 9" xfId="4142"/>
    <cellStyle name="Normal 38_SA1" xfId="5921"/>
    <cellStyle name="Normal 39" xfId="368"/>
    <cellStyle name="Normal 39 2" xfId="4143"/>
    <cellStyle name="Normal 39 2 2" xfId="4144"/>
    <cellStyle name="Normal 39 2_SA1" xfId="5925"/>
    <cellStyle name="Normal 39 3" xfId="4145"/>
    <cellStyle name="Normal 39 3 2" xfId="4146"/>
    <cellStyle name="Normal 39 3_SA1" xfId="5926"/>
    <cellStyle name="Normal 39 4" xfId="4147"/>
    <cellStyle name="Normal 39 5" xfId="4148"/>
    <cellStyle name="Normal 39 6" xfId="4149"/>
    <cellStyle name="Normal 39 7" xfId="4150"/>
    <cellStyle name="Normal 39 8" xfId="4151"/>
    <cellStyle name="Normal 39 9" xfId="4152"/>
    <cellStyle name="Normal 39_SA1" xfId="5924"/>
    <cellStyle name="Normal 4" xfId="10"/>
    <cellStyle name="Normal 4 10" xfId="4153"/>
    <cellStyle name="Normal 4 11" xfId="4154"/>
    <cellStyle name="Normal 4 12" xfId="4155"/>
    <cellStyle name="Normal 4 13" xfId="4156"/>
    <cellStyle name="Normal 4 14" xfId="5927"/>
    <cellStyle name="Normal 4 14 2" xfId="6592"/>
    <cellStyle name="Normal 4 14 3" xfId="6823"/>
    <cellStyle name="Normal 4 14 4" xfId="6817"/>
    <cellStyle name="Normal 4 15" xfId="6174"/>
    <cellStyle name="Normal 4 16" xfId="7163"/>
    <cellStyle name="Normal 4 17" xfId="6606"/>
    <cellStyle name="Normal 4 2" xfId="18"/>
    <cellStyle name="Normal 4 2 10" xfId="4157"/>
    <cellStyle name="Normal 4 2 11" xfId="4158"/>
    <cellStyle name="Normal 4 2 12" xfId="4159"/>
    <cellStyle name="Normal 4 2 13" xfId="5928"/>
    <cellStyle name="Normal 4 2 13 2" xfId="6591"/>
    <cellStyle name="Normal 4 2 13 3" xfId="6824"/>
    <cellStyle name="Normal 4 2 13 4" xfId="6514"/>
    <cellStyle name="Normal 4 2 14" xfId="6175"/>
    <cellStyle name="Normal 4 2 15" xfId="7162"/>
    <cellStyle name="Normal 4 2 16" xfId="6607"/>
    <cellStyle name="Normal 4 2 2" xfId="369"/>
    <cellStyle name="Normal 4 2 2 10" xfId="6633"/>
    <cellStyle name="Normal 4 2 2 2" xfId="4160"/>
    <cellStyle name="Normal 4 2 2 3" xfId="4161"/>
    <cellStyle name="Normal 4 2 2 4" xfId="4162"/>
    <cellStyle name="Normal 4 2 2 5" xfId="4163"/>
    <cellStyle name="Normal 4 2 2 6" xfId="4164"/>
    <cellStyle name="Normal 4 2 2 7" xfId="5930"/>
    <cellStyle name="Normal 4 2 2 7 2" xfId="6542"/>
    <cellStyle name="Normal 4 2 2 7 3" xfId="6360"/>
    <cellStyle name="Normal 4 2 2 7 4" xfId="7002"/>
    <cellStyle name="Normal 4 2 2 8" xfId="6238"/>
    <cellStyle name="Normal 4 2 2 9" xfId="7107"/>
    <cellStyle name="Normal 4 2 2_SA1" xfId="5929"/>
    <cellStyle name="Normal 4 2 3" xfId="370"/>
    <cellStyle name="Normal 4 2 3 2" xfId="4165"/>
    <cellStyle name="Normal 4 2 3 3" xfId="4166"/>
    <cellStyle name="Normal 4 2 3 4" xfId="4167"/>
    <cellStyle name="Normal 4 2 3 5" xfId="4168"/>
    <cellStyle name="Normal 4 2 3 6" xfId="4169"/>
    <cellStyle name="Normal 4 2 3_SA1" xfId="5931"/>
    <cellStyle name="Normal 4 2 4" xfId="371"/>
    <cellStyle name="Normal 4 2 5" xfId="372"/>
    <cellStyle name="Normal 4 2 6" xfId="373"/>
    <cellStyle name="Normal 4 2 7" xfId="374"/>
    <cellStyle name="Normal 4 2 8" xfId="4170"/>
    <cellStyle name="Normal 4 2 9" xfId="4171"/>
    <cellStyle name="Normal 4 2_A7-CFlow" xfId="1247"/>
    <cellStyle name="Normal 4 3" xfId="375"/>
    <cellStyle name="Normal 4 3 10" xfId="7111"/>
    <cellStyle name="Normal 4 3 11" xfId="6493"/>
    <cellStyle name="Normal 4 3 2" xfId="4172"/>
    <cellStyle name="Normal 4 3 2 2" xfId="5933"/>
    <cellStyle name="Normal 4 3 2 2 2" xfId="6822"/>
    <cellStyle name="Normal 4 3 2 2 3" xfId="6818"/>
    <cellStyle name="Normal 4 3 2 2 4" xfId="6819"/>
    <cellStyle name="Normal 4 3 2 3" xfId="5934"/>
    <cellStyle name="Normal 4 3 2 3 2" xfId="7262"/>
    <cellStyle name="Normal 4 3 2 3 3" xfId="7339"/>
    <cellStyle name="Normal 4 3 2 3 4" xfId="7348"/>
    <cellStyle name="Normal 4 3 2 4" xfId="6346"/>
    <cellStyle name="Normal 4 3 2 5" xfId="7014"/>
    <cellStyle name="Normal 4 3 2 6" xfId="6704"/>
    <cellStyle name="Normal 4 3 2_SA1" xfId="5932"/>
    <cellStyle name="Normal 4 3 3" xfId="4173"/>
    <cellStyle name="Normal 4 3 4" xfId="4174"/>
    <cellStyle name="Normal 4 3 5" xfId="4175"/>
    <cellStyle name="Normal 4 3 6" xfId="4176"/>
    <cellStyle name="Normal 4 3 7" xfId="4177"/>
    <cellStyle name="Normal 4 3 8" xfId="5935"/>
    <cellStyle name="Normal 4 3 8 2" xfId="6541"/>
    <cellStyle name="Normal 4 3 8 3" xfId="6863"/>
    <cellStyle name="Normal 4 3 8 4" xfId="6791"/>
    <cellStyle name="Normal 4 3 9" xfId="6233"/>
    <cellStyle name="Normal 4 3_SA1" xfId="5437"/>
    <cellStyle name="Normal 4 4" xfId="376"/>
    <cellStyle name="Normal 4 4 2" xfId="4178"/>
    <cellStyle name="Normal 4 4 3" xfId="4179"/>
    <cellStyle name="Normal 4 4 4" xfId="4180"/>
    <cellStyle name="Normal 4 4 5" xfId="4181"/>
    <cellStyle name="Normal 4 4 6" xfId="4182"/>
    <cellStyle name="Normal 4 4 7" xfId="4183"/>
    <cellStyle name="Normal 4 4_SA1" xfId="5936"/>
    <cellStyle name="Normal 4 5" xfId="377"/>
    <cellStyle name="Normal 4 5 2" xfId="4184"/>
    <cellStyle name="Normal 4 5 3" xfId="4185"/>
    <cellStyle name="Normal 4 5 4" xfId="4186"/>
    <cellStyle name="Normal 4 5 5" xfId="4187"/>
    <cellStyle name="Normal 4 5 6" xfId="4188"/>
    <cellStyle name="Normal 4 5_SA1" xfId="5937"/>
    <cellStyle name="Normal 4 6" xfId="378"/>
    <cellStyle name="Normal 4 6 2" xfId="4189"/>
    <cellStyle name="Normal 4 6 3" xfId="4190"/>
    <cellStyle name="Normal 4 6 4" xfId="4191"/>
    <cellStyle name="Normal 4 6 5" xfId="4192"/>
    <cellStyle name="Normal 4 6 6" xfId="4193"/>
    <cellStyle name="Normal 4 6_SA1" xfId="5938"/>
    <cellStyle name="Normal 4 7" xfId="379"/>
    <cellStyle name="Normal 4 7 2" xfId="4194"/>
    <cellStyle name="Normal 4 7 3" xfId="4195"/>
    <cellStyle name="Normal 4 7 4" xfId="4196"/>
    <cellStyle name="Normal 4 7 5" xfId="4197"/>
    <cellStyle name="Normal 4 7 6" xfId="4198"/>
    <cellStyle name="Normal 4 7 7" xfId="4199"/>
    <cellStyle name="Normal 4 7_SA1" xfId="5939"/>
    <cellStyle name="Normal 4 8" xfId="380"/>
    <cellStyle name="Normal 4 9" xfId="4200"/>
    <cellStyle name="Normal 4_A7-CFlow" xfId="1246"/>
    <cellStyle name="Normal 40" xfId="381"/>
    <cellStyle name="Normal 40 2" xfId="4201"/>
    <cellStyle name="Normal 40 2 2" xfId="4202"/>
    <cellStyle name="Normal 40 2_SA1" xfId="5941"/>
    <cellStyle name="Normal 40 3" xfId="4203"/>
    <cellStyle name="Normal 40 4" xfId="4204"/>
    <cellStyle name="Normal 40 5" xfId="4205"/>
    <cellStyle name="Normal 40 6" xfId="4206"/>
    <cellStyle name="Normal 40 7" xfId="4207"/>
    <cellStyle name="Normal 40 8" xfId="4208"/>
    <cellStyle name="Normal 40 9" xfId="4209"/>
    <cellStyle name="Normal 40_SA1" xfId="5940"/>
    <cellStyle name="Normal 41" xfId="382"/>
    <cellStyle name="Normal 41 2" xfId="4210"/>
    <cellStyle name="Normal 41 2 2" xfId="4211"/>
    <cellStyle name="Normal 41 2_SA1" xfId="5943"/>
    <cellStyle name="Normal 41 3" xfId="4212"/>
    <cellStyle name="Normal 41 4" xfId="4213"/>
    <cellStyle name="Normal 41 5" xfId="4214"/>
    <cellStyle name="Normal 41 6" xfId="4215"/>
    <cellStyle name="Normal 41 7" xfId="4216"/>
    <cellStyle name="Normal 41 8" xfId="4217"/>
    <cellStyle name="Normal 41_SA1" xfId="5942"/>
    <cellStyle name="Normal 42" xfId="383"/>
    <cellStyle name="Normal 42 2" xfId="4218"/>
    <cellStyle name="Normal 42 2 2" xfId="4219"/>
    <cellStyle name="Normal 42 2_SA1" xfId="5945"/>
    <cellStyle name="Normal 42 3" xfId="4220"/>
    <cellStyle name="Normal 42 4" xfId="4221"/>
    <cellStyle name="Normal 42 5" xfId="4222"/>
    <cellStyle name="Normal 42 6" xfId="4223"/>
    <cellStyle name="Normal 42 7" xfId="4224"/>
    <cellStyle name="Normal 42 8" xfId="4225"/>
    <cellStyle name="Normal 42_SA1" xfId="5944"/>
    <cellStyle name="Normal 43" xfId="384"/>
    <cellStyle name="Normal 43 2" xfId="4226"/>
    <cellStyle name="Normal 43 2 2" xfId="4227"/>
    <cellStyle name="Normal 43 2_SA1" xfId="5947"/>
    <cellStyle name="Normal 43 3" xfId="4228"/>
    <cellStyle name="Normal 43 4" xfId="4229"/>
    <cellStyle name="Normal 43 5" xfId="4230"/>
    <cellStyle name="Normal 43 6" xfId="4231"/>
    <cellStyle name="Normal 43 7" xfId="4232"/>
    <cellStyle name="Normal 43 8" xfId="4233"/>
    <cellStyle name="Normal 43_SA1" xfId="5946"/>
    <cellStyle name="Normal 44" xfId="385"/>
    <cellStyle name="Normal 44 2" xfId="4234"/>
    <cellStyle name="Normal 44 3" xfId="4235"/>
    <cellStyle name="Normal 44 4" xfId="4236"/>
    <cellStyle name="Normal 44 5" xfId="4237"/>
    <cellStyle name="Normal 44 6" xfId="4238"/>
    <cellStyle name="Normal 44 7" xfId="4239"/>
    <cellStyle name="Normal 44_SA1" xfId="5948"/>
    <cellStyle name="Normal 45" xfId="386"/>
    <cellStyle name="Normal 45 2" xfId="4240"/>
    <cellStyle name="Normal 45 2 2" xfId="4241"/>
    <cellStyle name="Normal 45 2_SA1" xfId="5950"/>
    <cellStyle name="Normal 45 3" xfId="4242"/>
    <cellStyle name="Normal 45 3 2" xfId="4243"/>
    <cellStyle name="Normal 45 3_SA1" xfId="5951"/>
    <cellStyle name="Normal 45 4" xfId="4244"/>
    <cellStyle name="Normal 45 5" xfId="4245"/>
    <cellStyle name="Normal 45 6" xfId="4246"/>
    <cellStyle name="Normal 45 7" xfId="4247"/>
    <cellStyle name="Normal 45 8" xfId="4248"/>
    <cellStyle name="Normal 45 9" xfId="4249"/>
    <cellStyle name="Normal 45_SA1" xfId="5949"/>
    <cellStyle name="Normal 46" xfId="387"/>
    <cellStyle name="Normal 46 2" xfId="4250"/>
    <cellStyle name="Normal 46 3" xfId="4251"/>
    <cellStyle name="Normal 46 4" xfId="4252"/>
    <cellStyle name="Normal 46 5" xfId="4253"/>
    <cellStyle name="Normal 46 6" xfId="4254"/>
    <cellStyle name="Normal 46_SA1" xfId="5952"/>
    <cellStyle name="Normal 47" xfId="388"/>
    <cellStyle name="Normal 47 2" xfId="4255"/>
    <cellStyle name="Normal 47 3" xfId="4256"/>
    <cellStyle name="Normal 47 4" xfId="4257"/>
    <cellStyle name="Normal 47 5" xfId="4258"/>
    <cellStyle name="Normal 47 6" xfId="4259"/>
    <cellStyle name="Normal 47 7" xfId="4260"/>
    <cellStyle name="Normal 47_SA1" xfId="5953"/>
    <cellStyle name="Normal 48" xfId="389"/>
    <cellStyle name="Normal 48 2" xfId="4261"/>
    <cellStyle name="Normal 48 3" xfId="4262"/>
    <cellStyle name="Normal 48 4" xfId="4263"/>
    <cellStyle name="Normal 48 5" xfId="4264"/>
    <cellStyle name="Normal 48 6" xfId="4265"/>
    <cellStyle name="Normal 48 7" xfId="4266"/>
    <cellStyle name="Normal 48_SA1" xfId="5593"/>
    <cellStyle name="Normal 49" xfId="390"/>
    <cellStyle name="Normal 49 10" xfId="4267"/>
    <cellStyle name="Normal 49 2" xfId="391"/>
    <cellStyle name="Normal 49 2 2" xfId="4268"/>
    <cellStyle name="Normal 49 2 2 2" xfId="4269"/>
    <cellStyle name="Normal 49 2 2_SA1" xfId="5439"/>
    <cellStyle name="Normal 49 2 3" xfId="4270"/>
    <cellStyle name="Normal 49 2 3 2" xfId="4271"/>
    <cellStyle name="Normal 49 2 3_SA1" xfId="5440"/>
    <cellStyle name="Normal 49 2 4" xfId="4272"/>
    <cellStyle name="Normal 49 2 5" xfId="6347"/>
    <cellStyle name="Normal 49 2 6" xfId="7013"/>
    <cellStyle name="Normal 49 2 7" xfId="6705"/>
    <cellStyle name="Normal 49 2_SA1" xfId="5438"/>
    <cellStyle name="Normal 49 3" xfId="392"/>
    <cellStyle name="Normal 49 3 2" xfId="4273"/>
    <cellStyle name="Normal 49 3 3" xfId="6348"/>
    <cellStyle name="Normal 49 3 4" xfId="7012"/>
    <cellStyle name="Normal 49 3 5" xfId="6706"/>
    <cellStyle name="Normal 49 3_SA1" xfId="5441"/>
    <cellStyle name="Normal 49 4" xfId="4274"/>
    <cellStyle name="Normal 49 4 2" xfId="4275"/>
    <cellStyle name="Normal 49 4_Sheet1" xfId="4276"/>
    <cellStyle name="Normal 49 5" xfId="4277"/>
    <cellStyle name="Normal 49 6" xfId="4278"/>
    <cellStyle name="Normal 49 7" xfId="4279"/>
    <cellStyle name="Normal 49 8" xfId="4280"/>
    <cellStyle name="Normal 49 9" xfId="4281"/>
    <cellStyle name="Normal 49_SA1" xfId="5594"/>
    <cellStyle name="Normal 5" xfId="393"/>
    <cellStyle name="Normal 5 10" xfId="4282"/>
    <cellStyle name="Normal 5 11" xfId="4283"/>
    <cellStyle name="Normal 5 12" xfId="4284"/>
    <cellStyle name="Normal 5 13" xfId="4285"/>
    <cellStyle name="Normal 5 14" xfId="4286"/>
    <cellStyle name="Normal 5 15" xfId="4287"/>
    <cellStyle name="Normal 5 16" xfId="5954"/>
    <cellStyle name="Normal 5 16 2" xfId="6540"/>
    <cellStyle name="Normal 5 16 3" xfId="6864"/>
    <cellStyle name="Normal 5 16 4" xfId="6790"/>
    <cellStyle name="Normal 5 17" xfId="6176"/>
    <cellStyle name="Normal 5 18" xfId="7161"/>
    <cellStyle name="Normal 5 19" xfId="6608"/>
    <cellStyle name="Normal 5 2" xfId="22"/>
    <cellStyle name="Normal 5 2 10" xfId="4288"/>
    <cellStyle name="Normal 5 2 11" xfId="4289"/>
    <cellStyle name="Normal 5 2 12" xfId="6177"/>
    <cellStyle name="Normal 5 2 13" xfId="7232"/>
    <cellStyle name="Normal 5 2 14" xfId="7330"/>
    <cellStyle name="Normal 5 2 2" xfId="4290"/>
    <cellStyle name="Normal 5 2 3" xfId="4291"/>
    <cellStyle name="Normal 5 2 4" xfId="4292"/>
    <cellStyle name="Normal 5 2 5" xfId="4293"/>
    <cellStyle name="Normal 5 2 6" xfId="4294"/>
    <cellStyle name="Normal 5 2 7" xfId="4295"/>
    <cellStyle name="Normal 5 2 8" xfId="4296"/>
    <cellStyle name="Normal 5 2 9" xfId="4297"/>
    <cellStyle name="Normal 5 2_A7-CFlow" xfId="1249"/>
    <cellStyle name="Normal 5 3" xfId="4298"/>
    <cellStyle name="Normal 5 3 2" xfId="5955"/>
    <cellStyle name="Normal 5 3 3" xfId="5956"/>
    <cellStyle name="Normal 5 3 4" xfId="6349"/>
    <cellStyle name="Normal 5 3 5" xfId="7011"/>
    <cellStyle name="Normal 5 3 6" xfId="6707"/>
    <cellStyle name="Normal 5 4" xfId="4299"/>
    <cellStyle name="Normal 5 4 2" xfId="4300"/>
    <cellStyle name="Normal 5 4_Sheet1" xfId="4301"/>
    <cellStyle name="Normal 5 5" xfId="4302"/>
    <cellStyle name="Normal 5 5 2" xfId="4303"/>
    <cellStyle name="Normal 5 5_Sheet1" xfId="4304"/>
    <cellStyle name="Normal 5 6" xfId="4305"/>
    <cellStyle name="Normal 5 7" xfId="4306"/>
    <cellStyle name="Normal 5 8" xfId="4307"/>
    <cellStyle name="Normal 5 9" xfId="4308"/>
    <cellStyle name="Normal 5_A7-CFlow" xfId="1248"/>
    <cellStyle name="Normal 50" xfId="394"/>
    <cellStyle name="Normal 50 2" xfId="395"/>
    <cellStyle name="Normal 50 2 2" xfId="396"/>
    <cellStyle name="Normal 50 2 2 2" xfId="6352"/>
    <cellStyle name="Normal 50 2 2 3" xfId="7008"/>
    <cellStyle name="Normal 50 2 2 4" xfId="6709"/>
    <cellStyle name="Normal 50 2 2_SA1" xfId="5957"/>
    <cellStyle name="Normal 50 2 3" xfId="6351"/>
    <cellStyle name="Normal 50 2 4" xfId="7009"/>
    <cellStyle name="Normal 50 2 5" xfId="6708"/>
    <cellStyle name="Normal 50 2_SA1" xfId="5443"/>
    <cellStyle name="Normal 50 3" xfId="397"/>
    <cellStyle name="Normal 50 3 2" xfId="6353"/>
    <cellStyle name="Normal 50 3 3" xfId="6550"/>
    <cellStyle name="Normal 50 3 4" xfId="6857"/>
    <cellStyle name="Normal 50 3_SA1" xfId="5958"/>
    <cellStyle name="Normal 50 4" xfId="4309"/>
    <cellStyle name="Normal 50 5" xfId="4310"/>
    <cellStyle name="Normal 50 6" xfId="4311"/>
    <cellStyle name="Normal 50 7" xfId="4312"/>
    <cellStyle name="Normal 50 8" xfId="4313"/>
    <cellStyle name="Normal 50_SA1" xfId="5442"/>
    <cellStyle name="Normal 51" xfId="398"/>
    <cellStyle name="Normal 51 2" xfId="4314"/>
    <cellStyle name="Normal 51 3" xfId="4315"/>
    <cellStyle name="Normal 51 4" xfId="4316"/>
    <cellStyle name="Normal 51 5" xfId="4317"/>
    <cellStyle name="Normal 51 6" xfId="4318"/>
    <cellStyle name="Normal 51 7" xfId="4319"/>
    <cellStyle name="Normal 51_SA1" xfId="5444"/>
    <cellStyle name="Normal 52" xfId="399"/>
    <cellStyle name="Normal 52 2" xfId="4320"/>
    <cellStyle name="Normal 52 3" xfId="4321"/>
    <cellStyle name="Normal 52 4" xfId="4322"/>
    <cellStyle name="Normal 52 5" xfId="4323"/>
    <cellStyle name="Normal 52 6" xfId="4324"/>
    <cellStyle name="Normal 52 7" xfId="4325"/>
    <cellStyle name="Normal 52_SA1" xfId="5445"/>
    <cellStyle name="Normal 53" xfId="400"/>
    <cellStyle name="Normal 54" xfId="401"/>
    <cellStyle name="Normal 54 10" xfId="6093"/>
    <cellStyle name="Normal 54 2" xfId="402"/>
    <cellStyle name="Normal 54 2 2" xfId="6355"/>
    <cellStyle name="Normal 54 2 3" xfId="7006"/>
    <cellStyle name="Normal 54 2 4" xfId="6094"/>
    <cellStyle name="Normal 54 2_SA1" xfId="5959"/>
    <cellStyle name="Normal 54 3" xfId="4326"/>
    <cellStyle name="Normal 54 4" xfId="4327"/>
    <cellStyle name="Normal 54 5" xfId="4328"/>
    <cellStyle name="Normal 54 6" xfId="4329"/>
    <cellStyle name="Normal 54 7" xfId="4330"/>
    <cellStyle name="Normal 54 8" xfId="6354"/>
    <cellStyle name="Normal 54 9" xfId="7007"/>
    <cellStyle name="Normal 54_SA1" xfId="5446"/>
    <cellStyle name="Normal 55" xfId="403"/>
    <cellStyle name="Normal 55 2" xfId="404"/>
    <cellStyle name="Normal 55 2 2" xfId="6357"/>
    <cellStyle name="Normal 55 2 3" xfId="7004"/>
    <cellStyle name="Normal 55 2 4" xfId="6710"/>
    <cellStyle name="Normal 55 2_SA1" xfId="5960"/>
    <cellStyle name="Normal 55 3" xfId="6356"/>
    <cellStyle name="Normal 55 4" xfId="7005"/>
    <cellStyle name="Normal 55 5" xfId="6095"/>
    <cellStyle name="Normal 55_SA1" xfId="5447"/>
    <cellStyle name="Normal 56" xfId="405"/>
    <cellStyle name="Normal 56 10" xfId="7344"/>
    <cellStyle name="Normal 56 2" xfId="406"/>
    <cellStyle name="Normal 56 2 2" xfId="6359"/>
    <cellStyle name="Normal 56 2 3" xfId="7003"/>
    <cellStyle name="Normal 56 2 4" xfId="6711"/>
    <cellStyle name="Normal 56 2_SA1" xfId="5961"/>
    <cellStyle name="Normal 56 3" xfId="4331"/>
    <cellStyle name="Normal 56 4" xfId="4332"/>
    <cellStyle name="Normal 56 5" xfId="4333"/>
    <cellStyle name="Normal 56 6" xfId="4334"/>
    <cellStyle name="Normal 56 7" xfId="4335"/>
    <cellStyle name="Normal 56 8" xfId="6358"/>
    <cellStyle name="Normal 56 9" xfId="7270"/>
    <cellStyle name="Normal 56_SA1" xfId="5448"/>
    <cellStyle name="Normal 57" xfId="407"/>
    <cellStyle name="Normal 57 2" xfId="408"/>
    <cellStyle name="Normal 57 2 2" xfId="4336"/>
    <cellStyle name="Normal 57 2 3" xfId="4337"/>
    <cellStyle name="Normal 57 2 4" xfId="4338"/>
    <cellStyle name="Normal 57 2 5" xfId="4339"/>
    <cellStyle name="Normal 57 2 6" xfId="4340"/>
    <cellStyle name="Normal 57 2_SA1" xfId="5450"/>
    <cellStyle name="Normal 57 3" xfId="4341"/>
    <cellStyle name="Normal 57 4" xfId="4342"/>
    <cellStyle name="Normal 57 5" xfId="4343"/>
    <cellStyle name="Normal 57 6" xfId="4344"/>
    <cellStyle name="Normal 57 7" xfId="4345"/>
    <cellStyle name="Normal 57_SA1" xfId="5449"/>
    <cellStyle name="Normal 58" xfId="409"/>
    <cellStyle name="Normal 58 2" xfId="410"/>
    <cellStyle name="Normal 58 3" xfId="4346"/>
    <cellStyle name="Normal 58 4" xfId="4347"/>
    <cellStyle name="Normal 58 5" xfId="4348"/>
    <cellStyle name="Normal 58 6" xfId="4349"/>
    <cellStyle name="Normal 58 7" xfId="4350"/>
    <cellStyle name="Normal 58_SA1" xfId="5451"/>
    <cellStyle name="Normal 59" xfId="411"/>
    <cellStyle name="Normal 59 2" xfId="4351"/>
    <cellStyle name="Normal 59 3" xfId="4352"/>
    <cellStyle name="Normal 59 4" xfId="4353"/>
    <cellStyle name="Normal 59 5" xfId="4354"/>
    <cellStyle name="Normal 59 6" xfId="4355"/>
    <cellStyle name="Normal 59 7" xfId="4356"/>
    <cellStyle name="Normal 59_SA1" xfId="5452"/>
    <cellStyle name="Normal 6" xfId="23"/>
    <cellStyle name="Normal 6 2" xfId="412"/>
    <cellStyle name="Normal 6 2 10" xfId="4357"/>
    <cellStyle name="Normal 6 2 11" xfId="4358"/>
    <cellStyle name="Normal 6 2 12" xfId="5962"/>
    <cellStyle name="Normal 6 2 12 2" xfId="6539"/>
    <cellStyle name="Normal 6 2 12 3" xfId="6865"/>
    <cellStyle name="Normal 6 2 12 4" xfId="6136"/>
    <cellStyle name="Normal 6 2 13" xfId="6178"/>
    <cellStyle name="Normal 6 2 14" xfId="7160"/>
    <cellStyle name="Normal 6 2 15" xfId="6490"/>
    <cellStyle name="Normal 6 2 2" xfId="4359"/>
    <cellStyle name="Normal 6 2 2 2" xfId="5963"/>
    <cellStyle name="Normal 6 2 2 3" xfId="5964"/>
    <cellStyle name="Normal 6 2 2 4" xfId="6364"/>
    <cellStyle name="Normal 6 2 2 5" xfId="6999"/>
    <cellStyle name="Normal 6 2 2 6" xfId="6712"/>
    <cellStyle name="Normal 6 2 3" xfId="4360"/>
    <cellStyle name="Normal 6 2 4" xfId="4361"/>
    <cellStyle name="Normal 6 2 5" xfId="4362"/>
    <cellStyle name="Normal 6 2 6" xfId="4363"/>
    <cellStyle name="Normal 6 2 7" xfId="4364"/>
    <cellStyle name="Normal 6 2 8" xfId="4365"/>
    <cellStyle name="Normal 6 2 9" xfId="4366"/>
    <cellStyle name="Normal 6 2_A7-CFlow" xfId="1250"/>
    <cellStyle name="Normal 6 3" xfId="4367"/>
    <cellStyle name="Normal 6 4" xfId="4368"/>
    <cellStyle name="Normal 6 5" xfId="4369"/>
    <cellStyle name="Normal 6_EDIH Asset Listing Tool" xfId="413"/>
    <cellStyle name="Normal 60" xfId="414"/>
    <cellStyle name="Normal 60 2" xfId="4370"/>
    <cellStyle name="Normal 60 3" xfId="4371"/>
    <cellStyle name="Normal 60 4" xfId="4372"/>
    <cellStyle name="Normal 60 5" xfId="4373"/>
    <cellStyle name="Normal 60 6" xfId="4374"/>
    <cellStyle name="Normal 60 7" xfId="4375"/>
    <cellStyle name="Normal 60_SA1" xfId="5453"/>
    <cellStyle name="Normal 61" xfId="415"/>
    <cellStyle name="Normal 61 2" xfId="4376"/>
    <cellStyle name="Normal 61 3" xfId="4377"/>
    <cellStyle name="Normal 61 4" xfId="4378"/>
    <cellStyle name="Normal 61 5" xfId="4379"/>
    <cellStyle name="Normal 61 6" xfId="4380"/>
    <cellStyle name="Normal 61 7" xfId="4381"/>
    <cellStyle name="Normal 61_SA1" xfId="5454"/>
    <cellStyle name="Normal 62" xfId="416"/>
    <cellStyle name="Normal 62 2" xfId="4382"/>
    <cellStyle name="Normal 62 3" xfId="4383"/>
    <cellStyle name="Normal 62 4" xfId="4384"/>
    <cellStyle name="Normal 62 5" xfId="4385"/>
    <cellStyle name="Normal 62 6" xfId="4386"/>
    <cellStyle name="Normal 62 7" xfId="4387"/>
    <cellStyle name="Normal 62_SA1" xfId="5455"/>
    <cellStyle name="Normal 63" xfId="417"/>
    <cellStyle name="Normal 63 2" xfId="4388"/>
    <cellStyle name="Normal 63 3" xfId="4389"/>
    <cellStyle name="Normal 63 4" xfId="4390"/>
    <cellStyle name="Normal 63 5" xfId="4391"/>
    <cellStyle name="Normal 63 6" xfId="4392"/>
    <cellStyle name="Normal 63 7" xfId="4393"/>
    <cellStyle name="Normal 63_SA1" xfId="5456"/>
    <cellStyle name="Normal 64" xfId="418"/>
    <cellStyle name="Normal 64 2" xfId="4394"/>
    <cellStyle name="Normal 64 3" xfId="6365"/>
    <cellStyle name="Normal 64 4" xfId="6998"/>
    <cellStyle name="Normal 64 5" xfId="6713"/>
    <cellStyle name="Normal 64_SA1" xfId="5457"/>
    <cellStyle name="Normal 65" xfId="419"/>
    <cellStyle name="Normal 65 2" xfId="4395"/>
    <cellStyle name="Normal 65 3" xfId="6366"/>
    <cellStyle name="Normal 65 4" xfId="7269"/>
    <cellStyle name="Normal 65 5" xfId="7343"/>
    <cellStyle name="Normal 65_SA1" xfId="5458"/>
    <cellStyle name="Normal 66" xfId="420"/>
    <cellStyle name="Normal 66 2" xfId="4396"/>
    <cellStyle name="Normal 66 3" xfId="6367"/>
    <cellStyle name="Normal 66 4" xfId="6997"/>
    <cellStyle name="Normal 66 5" xfId="7252"/>
    <cellStyle name="Normal 66_SA1" xfId="5459"/>
    <cellStyle name="Normal 67" xfId="421"/>
    <cellStyle name="Normal 67 2" xfId="4397"/>
    <cellStyle name="Normal 67 3" xfId="4398"/>
    <cellStyle name="Normal 67 4" xfId="4399"/>
    <cellStyle name="Normal 67 5" xfId="4400"/>
    <cellStyle name="Normal 67 6" xfId="4401"/>
    <cellStyle name="Normal 67 7" xfId="4402"/>
    <cellStyle name="Normal 67_SA1" xfId="5460"/>
    <cellStyle name="Normal 68" xfId="422"/>
    <cellStyle name="Normal 68 2" xfId="4403"/>
    <cellStyle name="Normal 68 2 2" xfId="4404"/>
    <cellStyle name="Normal 68 2_Sheet1" xfId="4405"/>
    <cellStyle name="Normal 68 3" xfId="4406"/>
    <cellStyle name="Normal 68 3 2" xfId="4407"/>
    <cellStyle name="Normal 68 3_Sheet1" xfId="4408"/>
    <cellStyle name="Normal 68 4" xfId="4409"/>
    <cellStyle name="Normal 68 5" xfId="4410"/>
    <cellStyle name="Normal 68 6" xfId="4411"/>
    <cellStyle name="Normal 68 7" xfId="4412"/>
    <cellStyle name="Normal 68 8" xfId="4413"/>
    <cellStyle name="Normal 68 9" xfId="4414"/>
    <cellStyle name="Normal 68_SA1" xfId="5461"/>
    <cellStyle name="Normal 69" xfId="423"/>
    <cellStyle name="Normal 69 2" xfId="4415"/>
    <cellStyle name="Normal 69 3" xfId="4416"/>
    <cellStyle name="Normal 69 4" xfId="4417"/>
    <cellStyle name="Normal 69 5" xfId="4418"/>
    <cellStyle name="Normal 69 6" xfId="4419"/>
    <cellStyle name="Normal 69 7" xfId="4420"/>
    <cellStyle name="Normal 69_SA1" xfId="5462"/>
    <cellStyle name="Normal 7" xfId="424"/>
    <cellStyle name="Normal 7 10" xfId="4421"/>
    <cellStyle name="Normal 7 11" xfId="4422"/>
    <cellStyle name="Normal 7 12" xfId="4423"/>
    <cellStyle name="Normal 7 13" xfId="5965"/>
    <cellStyle name="Normal 7 13 2" xfId="6538"/>
    <cellStyle name="Normal 7 13 3" xfId="6866"/>
    <cellStyle name="Normal 7 13 4" xfId="7273"/>
    <cellStyle name="Normal 7 14" xfId="6179"/>
    <cellStyle name="Normal 7 15" xfId="7159"/>
    <cellStyle name="Normal 7 16" xfId="6609"/>
    <cellStyle name="Normal 7 2" xfId="425"/>
    <cellStyle name="Normal 7 2 10" xfId="4424"/>
    <cellStyle name="Normal 7 2 11" xfId="5966"/>
    <cellStyle name="Normal 7 2 11 2" xfId="6537"/>
    <cellStyle name="Normal 7 2 11 3" xfId="6867"/>
    <cellStyle name="Normal 7 2 11 4" xfId="6789"/>
    <cellStyle name="Normal 7 2 12" xfId="6180"/>
    <cellStyle name="Normal 7 2 13" xfId="7158"/>
    <cellStyle name="Normal 7 2 14" xfId="7243"/>
    <cellStyle name="Normal 7 2 2" xfId="4425"/>
    <cellStyle name="Normal 7 2 2 2" xfId="5967"/>
    <cellStyle name="Normal 7 2 2 3" xfId="5968"/>
    <cellStyle name="Normal 7 2 2 4" xfId="6369"/>
    <cellStyle name="Normal 7 2 2 5" xfId="6548"/>
    <cellStyle name="Normal 7 2 2 6" xfId="6858"/>
    <cellStyle name="Normal 7 2 3" xfId="4426"/>
    <cellStyle name="Normal 7 2 4" xfId="4427"/>
    <cellStyle name="Normal 7 2 5" xfId="4428"/>
    <cellStyle name="Normal 7 2 6" xfId="4429"/>
    <cellStyle name="Normal 7 2 7" xfId="4430"/>
    <cellStyle name="Normal 7 2 8" xfId="4431"/>
    <cellStyle name="Normal 7 2 9" xfId="4432"/>
    <cellStyle name="Normal 7 2_A7-CFlow" xfId="1252"/>
    <cellStyle name="Normal 7 3" xfId="4433"/>
    <cellStyle name="Normal 7 3 2" xfId="5969"/>
    <cellStyle name="Normal 7 3 3" xfId="5970"/>
    <cellStyle name="Normal 7 3 4" xfId="6368"/>
    <cellStyle name="Normal 7 3 5" xfId="6996"/>
    <cellStyle name="Normal 7 3 6" xfId="6714"/>
    <cellStyle name="Normal 7 4" xfId="4434"/>
    <cellStyle name="Normal 7 4 2" xfId="4435"/>
    <cellStyle name="Normal 7 4 2 2" xfId="4436"/>
    <cellStyle name="Normal 7 4 2_Sheet1" xfId="4437"/>
    <cellStyle name="Normal 7 4 3" xfId="4438"/>
    <cellStyle name="Normal 7 4_Sheet1" xfId="4439"/>
    <cellStyle name="Normal 7 5" xfId="4440"/>
    <cellStyle name="Normal 7 5 2" xfId="4441"/>
    <cellStyle name="Normal 7 5_Sheet1" xfId="4442"/>
    <cellStyle name="Normal 7 6" xfId="4443"/>
    <cellStyle name="Normal 7 7" xfId="4444"/>
    <cellStyle name="Normal 7 7 2" xfId="4445"/>
    <cellStyle name="Normal 7 7_Sheet1" xfId="4446"/>
    <cellStyle name="Normal 7 8" xfId="4447"/>
    <cellStyle name="Normal 7 9" xfId="4448"/>
    <cellStyle name="Normal 7_A7-CFlow" xfId="1251"/>
    <cellStyle name="Normal 70" xfId="426"/>
    <cellStyle name="Normal 70 2" xfId="4449"/>
    <cellStyle name="Normal 70 3" xfId="4450"/>
    <cellStyle name="Normal 70 4" xfId="4451"/>
    <cellStyle name="Normal 70 5" xfId="4452"/>
    <cellStyle name="Normal 70 6" xfId="4453"/>
    <cellStyle name="Normal 70 7" xfId="4454"/>
    <cellStyle name="Normal 70_SA1" xfId="5463"/>
    <cellStyle name="Normal 71" xfId="4455"/>
    <cellStyle name="Normal 71 2" xfId="4456"/>
    <cellStyle name="Normal 71_Sheet1" xfId="4457"/>
    <cellStyle name="Normal 72" xfId="4458"/>
    <cellStyle name="Normal 72 2" xfId="4459"/>
    <cellStyle name="Normal 72_Sheet1" xfId="4460"/>
    <cellStyle name="Normal 73" xfId="4461"/>
    <cellStyle name="Normal 73 2" xfId="4462"/>
    <cellStyle name="Normal 73_Sheet1" xfId="4463"/>
    <cellStyle name="Normal 74" xfId="4464"/>
    <cellStyle name="Normal 74 2" xfId="4465"/>
    <cellStyle name="Normal 74_Sheet1" xfId="4466"/>
    <cellStyle name="Normal 75" xfId="4467"/>
    <cellStyle name="Normal 75 2" xfId="4468"/>
    <cellStyle name="Normal 75_Sheet1" xfId="4469"/>
    <cellStyle name="Normal 76" xfId="4470"/>
    <cellStyle name="Normal 76 2" xfId="4471"/>
    <cellStyle name="Normal 76_Sheet1" xfId="4472"/>
    <cellStyle name="Normal 77" xfId="4473"/>
    <cellStyle name="Normal 77 2" xfId="4474"/>
    <cellStyle name="Normal 77_Sheet1" xfId="4475"/>
    <cellStyle name="Normal 78" xfId="4476"/>
    <cellStyle name="Normal 78 2" xfId="4477"/>
    <cellStyle name="Normal 78_Sheet1" xfId="4478"/>
    <cellStyle name="Normal 79" xfId="4479"/>
    <cellStyle name="Normal 79 2" xfId="4480"/>
    <cellStyle name="Normal 79_Sheet1" xfId="4481"/>
    <cellStyle name="Normal 8" xfId="427"/>
    <cellStyle name="Normal 8 10" xfId="5971"/>
    <cellStyle name="Normal 8 10 2" xfId="6536"/>
    <cellStyle name="Normal 8 10 3" xfId="7213"/>
    <cellStyle name="Normal 8 10 4" xfId="7312"/>
    <cellStyle name="Normal 8 11" xfId="6181"/>
    <cellStyle name="Normal 8 12" xfId="7157"/>
    <cellStyle name="Normal 8 13" xfId="6610"/>
    <cellStyle name="Normal 8 2" xfId="428"/>
    <cellStyle name="Normal 8 2 10" xfId="4482"/>
    <cellStyle name="Normal 8 2 11" xfId="5972"/>
    <cellStyle name="Normal 8 2 11 2" xfId="6535"/>
    <cellStyle name="Normal 8 2 11 3" xfId="6868"/>
    <cellStyle name="Normal 8 2 11 4" xfId="6788"/>
    <cellStyle name="Normal 8 2 12" xfId="6182"/>
    <cellStyle name="Normal 8 2 13" xfId="7156"/>
    <cellStyle name="Normal 8 2 14" xfId="6611"/>
    <cellStyle name="Normal 8 2 2" xfId="4483"/>
    <cellStyle name="Normal 8 2 2 2" xfId="5973"/>
    <cellStyle name="Normal 8 2 2 3" xfId="5974"/>
    <cellStyle name="Normal 8 2 2 4" xfId="6372"/>
    <cellStyle name="Normal 8 2 2 5" xfId="6993"/>
    <cellStyle name="Normal 8 2 2 6" xfId="7253"/>
    <cellStyle name="Normal 8 2 3" xfId="4484"/>
    <cellStyle name="Normal 8 2 4" xfId="4485"/>
    <cellStyle name="Normal 8 2 5" xfId="4486"/>
    <cellStyle name="Normal 8 2 6" xfId="4487"/>
    <cellStyle name="Normal 8 2 7" xfId="4488"/>
    <cellStyle name="Normal 8 2 8" xfId="4489"/>
    <cellStyle name="Normal 8 2 9" xfId="4490"/>
    <cellStyle name="Normal 8 2_A7-CFlow" xfId="1254"/>
    <cellStyle name="Normal 8 3" xfId="4491"/>
    <cellStyle name="Normal 8 3 2" xfId="5975"/>
    <cellStyle name="Normal 8 3 3" xfId="5976"/>
    <cellStyle name="Normal 8 3 4" xfId="6371"/>
    <cellStyle name="Normal 8 3 5" xfId="6994"/>
    <cellStyle name="Normal 8 3 6" xfId="6715"/>
    <cellStyle name="Normal 8 4" xfId="4492"/>
    <cellStyle name="Normal 8 5" xfId="4493"/>
    <cellStyle name="Normal 8 6" xfId="4494"/>
    <cellStyle name="Normal 8 7" xfId="4495"/>
    <cellStyle name="Normal 8 8" xfId="4496"/>
    <cellStyle name="Normal 8 9" xfId="4497"/>
    <cellStyle name="Normal 8_A7-CFlow" xfId="1253"/>
    <cellStyle name="Normal 80" xfId="4498"/>
    <cellStyle name="Normal 80 2" xfId="4499"/>
    <cellStyle name="Normal 80_Sheet1" xfId="4500"/>
    <cellStyle name="Normal 81" xfId="4501"/>
    <cellStyle name="Normal 81 2" xfId="4502"/>
    <cellStyle name="Normal 81_Sheet1" xfId="4503"/>
    <cellStyle name="Normal 82" xfId="4504"/>
    <cellStyle name="Normal 82 2" xfId="4505"/>
    <cellStyle name="Normal 82_Sheet1" xfId="4506"/>
    <cellStyle name="Normal 83" xfId="4507"/>
    <cellStyle name="Normal 83 2" xfId="4508"/>
    <cellStyle name="Normal 83_Sheet1" xfId="4509"/>
    <cellStyle name="Normal 84" xfId="4510"/>
    <cellStyle name="Normal 84 2" xfId="4511"/>
    <cellStyle name="Normal 84_Sheet1" xfId="4512"/>
    <cellStyle name="Normal 85" xfId="4513"/>
    <cellStyle name="Normal 85 2" xfId="4514"/>
    <cellStyle name="Normal 85_Sheet1" xfId="4515"/>
    <cellStyle name="Normal 86" xfId="4516"/>
    <cellStyle name="Normal 86 2" xfId="4517"/>
    <cellStyle name="Normal 86_Sheet1" xfId="4518"/>
    <cellStyle name="Normal 87" xfId="4519"/>
    <cellStyle name="Normal 87 2" xfId="4520"/>
    <cellStyle name="Normal 87_Sheet1" xfId="4521"/>
    <cellStyle name="Normal 88" xfId="4522"/>
    <cellStyle name="Normal 89" xfId="4523"/>
    <cellStyle name="Normal 9" xfId="429"/>
    <cellStyle name="Normal 9 10" xfId="4524"/>
    <cellStyle name="Normal 9 11" xfId="4525"/>
    <cellStyle name="Normal 9 12" xfId="4526"/>
    <cellStyle name="Normal 9 13" xfId="4527"/>
    <cellStyle name="Normal 9 14" xfId="4528"/>
    <cellStyle name="Normal 9 15" xfId="4529"/>
    <cellStyle name="Normal 9 16" xfId="5977"/>
    <cellStyle name="Normal 9 16 2" xfId="6534"/>
    <cellStyle name="Normal 9 16 3" xfId="6869"/>
    <cellStyle name="Normal 9 16 4" xfId="6787"/>
    <cellStyle name="Normal 9 17" xfId="6183"/>
    <cellStyle name="Normal 9 18" xfId="7155"/>
    <cellStyle name="Normal 9 19" xfId="6612"/>
    <cellStyle name="Normal 9 2" xfId="430"/>
    <cellStyle name="Normal 9 2 2" xfId="4530"/>
    <cellStyle name="Normal 9 2 3" xfId="4531"/>
    <cellStyle name="Normal 9 2 4" xfId="4532"/>
    <cellStyle name="Normal 9 2 5" xfId="4533"/>
    <cellStyle name="Normal 9 2 6" xfId="4534"/>
    <cellStyle name="Normal 9 2_SA1" xfId="5464"/>
    <cellStyle name="Normal 9 3" xfId="4535"/>
    <cellStyle name="Normal 9 4" xfId="4536"/>
    <cellStyle name="Normal 9 4 2" xfId="4537"/>
    <cellStyle name="Normal 9 4_Sheet1" xfId="4538"/>
    <cellStyle name="Normal 9 5" xfId="4539"/>
    <cellStyle name="Normal 9 5 2" xfId="4540"/>
    <cellStyle name="Normal 9 5_Sheet1" xfId="4541"/>
    <cellStyle name="Normal 9 6" xfId="4542"/>
    <cellStyle name="Normal 9 7" xfId="4543"/>
    <cellStyle name="Normal 9 8" xfId="4544"/>
    <cellStyle name="Normal 9 9" xfId="4545"/>
    <cellStyle name="Normal 9_A7-CFlow" xfId="1255"/>
    <cellStyle name="Normal 90" xfId="4546"/>
    <cellStyle name="Normal 90 2" xfId="4547"/>
    <cellStyle name="Normal 90_Sheet1" xfId="4548"/>
    <cellStyle name="Normal 91" xfId="4549"/>
    <cellStyle name="Normal 91 2" xfId="4550"/>
    <cellStyle name="Normal 91_Sheet1" xfId="4551"/>
    <cellStyle name="Normal 92" xfId="4552"/>
    <cellStyle name="Normal 92 2" xfId="4553"/>
    <cellStyle name="Normal 92_Sheet1" xfId="4554"/>
    <cellStyle name="Normal 93" xfId="4555"/>
    <cellStyle name="Normal 94" xfId="4556"/>
    <cellStyle name="Normal 94 2" xfId="4557"/>
    <cellStyle name="Normal 94_Sheet1" xfId="4558"/>
    <cellStyle name="Normal 95" xfId="4559"/>
    <cellStyle name="Normal 95 2" xfId="4560"/>
    <cellStyle name="Normal 95_Sheet1" xfId="4561"/>
    <cellStyle name="Normal 96" xfId="4562"/>
    <cellStyle name="Normal 96 2" xfId="4563"/>
    <cellStyle name="Normal 96_Sheet1" xfId="4564"/>
    <cellStyle name="Normal 97" xfId="4565"/>
    <cellStyle name="Normal 98" xfId="4566"/>
    <cellStyle name="Normal 99" xfId="4567"/>
    <cellStyle name="Normal_Final cover - LG Reporting" xfId="11"/>
    <cellStyle name="Note 10" xfId="431"/>
    <cellStyle name="Note 10 10" xfId="4568"/>
    <cellStyle name="Note 10 11" xfId="4569"/>
    <cellStyle name="Note 10 12" xfId="4570"/>
    <cellStyle name="Note 10 13" xfId="4571"/>
    <cellStyle name="Note 10 14" xfId="5978"/>
    <cellStyle name="Note 10 14 2" xfId="6533"/>
    <cellStyle name="Note 10 14 3" xfId="6870"/>
    <cellStyle name="Note 10 14 4" xfId="6135"/>
    <cellStyle name="Note 10 15" xfId="6184"/>
    <cellStyle name="Note 10 16" xfId="7154"/>
    <cellStyle name="Note 10 17" xfId="6613"/>
    <cellStyle name="Note 10 2" xfId="4572"/>
    <cellStyle name="Note 10 2 2" xfId="5979"/>
    <cellStyle name="Note 10 2 3" xfId="5980"/>
    <cellStyle name="Note 10 2 4" xfId="6375"/>
    <cellStyle name="Note 10 2 5" xfId="6990"/>
    <cellStyle name="Note 10 2 6" xfId="6717"/>
    <cellStyle name="Note 10 3" xfId="4573"/>
    <cellStyle name="Note 10 4" xfId="4574"/>
    <cellStyle name="Note 10 5" xfId="4575"/>
    <cellStyle name="Note 10 6" xfId="4576"/>
    <cellStyle name="Note 10 7" xfId="4577"/>
    <cellStyle name="Note 10 8" xfId="4578"/>
    <cellStyle name="Note 10 9" xfId="4579"/>
    <cellStyle name="Note 10_A7-CFlow" xfId="1256"/>
    <cellStyle name="Note 11" xfId="432"/>
    <cellStyle name="Note 11 10" xfId="4580"/>
    <cellStyle name="Note 11 11" xfId="4581"/>
    <cellStyle name="Note 11 12" xfId="4582"/>
    <cellStyle name="Note 11 13" xfId="4583"/>
    <cellStyle name="Note 11 14" xfId="5981"/>
    <cellStyle name="Note 11 14 2" xfId="6532"/>
    <cellStyle name="Note 11 14 3" xfId="6871"/>
    <cellStyle name="Note 11 14 4" xfId="6134"/>
    <cellStyle name="Note 11 15" xfId="6185"/>
    <cellStyle name="Note 11 16" xfId="7231"/>
    <cellStyle name="Note 11 17" xfId="7329"/>
    <cellStyle name="Note 11 2" xfId="4584"/>
    <cellStyle name="Note 11 2 2" xfId="5982"/>
    <cellStyle name="Note 11 2 3" xfId="5983"/>
    <cellStyle name="Note 11 2 4" xfId="6376"/>
    <cellStyle name="Note 11 2 5" xfId="6989"/>
    <cellStyle name="Note 11 2 6" xfId="6718"/>
    <cellStyle name="Note 11 3" xfId="4585"/>
    <cellStyle name="Note 11 4" xfId="4586"/>
    <cellStyle name="Note 11 5" xfId="4587"/>
    <cellStyle name="Note 11 6" xfId="4588"/>
    <cellStyle name="Note 11 7" xfId="4589"/>
    <cellStyle name="Note 11 8" xfId="4590"/>
    <cellStyle name="Note 11 9" xfId="4591"/>
    <cellStyle name="Note 11_A7-CFlow" xfId="1257"/>
    <cellStyle name="Note 12" xfId="433"/>
    <cellStyle name="Note 12 10" xfId="4592"/>
    <cellStyle name="Note 12 11" xfId="4593"/>
    <cellStyle name="Note 12 12" xfId="4594"/>
    <cellStyle name="Note 12 13" xfId="4595"/>
    <cellStyle name="Note 12 14" xfId="5984"/>
    <cellStyle name="Note 12 14 2" xfId="6531"/>
    <cellStyle name="Note 12 14 3" xfId="6872"/>
    <cellStyle name="Note 12 14 4" xfId="6133"/>
    <cellStyle name="Note 12 15" xfId="6186"/>
    <cellStyle name="Note 12 16" xfId="7153"/>
    <cellStyle name="Note 12 17" xfId="6491"/>
    <cellStyle name="Note 12 2" xfId="4596"/>
    <cellStyle name="Note 12 2 2" xfId="5985"/>
    <cellStyle name="Note 12 2 3" xfId="5986"/>
    <cellStyle name="Note 12 2 4" xfId="6377"/>
    <cellStyle name="Note 12 2 5" xfId="7268"/>
    <cellStyle name="Note 12 2 6" xfId="7342"/>
    <cellStyle name="Note 12 3" xfId="4597"/>
    <cellStyle name="Note 12 4" xfId="4598"/>
    <cellStyle name="Note 12 5" xfId="4599"/>
    <cellStyle name="Note 12 6" xfId="4600"/>
    <cellStyle name="Note 12 7" xfId="4601"/>
    <cellStyle name="Note 12 8" xfId="4602"/>
    <cellStyle name="Note 12 9" xfId="4603"/>
    <cellStyle name="Note 12_A7-CFlow" xfId="1258"/>
    <cellStyle name="Note 13" xfId="434"/>
    <cellStyle name="Note 13 10" xfId="4604"/>
    <cellStyle name="Note 13 11" xfId="4605"/>
    <cellStyle name="Note 13 12" xfId="4606"/>
    <cellStyle name="Note 13 13" xfId="4607"/>
    <cellStyle name="Note 13 14" xfId="5987"/>
    <cellStyle name="Note 13 14 2" xfId="6530"/>
    <cellStyle name="Note 13 14 3" xfId="7212"/>
    <cellStyle name="Note 13 14 4" xfId="7311"/>
    <cellStyle name="Note 13 15" xfId="6187"/>
    <cellStyle name="Note 13 16" xfId="7152"/>
    <cellStyle name="Note 13 17" xfId="6614"/>
    <cellStyle name="Note 13 2" xfId="4608"/>
    <cellStyle name="Note 13 2 2" xfId="5988"/>
    <cellStyle name="Note 13 2 3" xfId="5989"/>
    <cellStyle name="Note 13 2 4" xfId="6378"/>
    <cellStyle name="Note 13 2 5" xfId="6988"/>
    <cellStyle name="Note 13 2 6" xfId="6502"/>
    <cellStyle name="Note 13 3" xfId="4609"/>
    <cellStyle name="Note 13 4" xfId="4610"/>
    <cellStyle name="Note 13 5" xfId="4611"/>
    <cellStyle name="Note 13 6" xfId="4612"/>
    <cellStyle name="Note 13 7" xfId="4613"/>
    <cellStyle name="Note 13 8" xfId="4614"/>
    <cellStyle name="Note 13 9" xfId="4615"/>
    <cellStyle name="Note 13_A7-CFlow" xfId="1259"/>
    <cellStyle name="Note 14" xfId="435"/>
    <cellStyle name="Note 14 10" xfId="6379"/>
    <cellStyle name="Note 14 11" xfId="6987"/>
    <cellStyle name="Note 14 12" xfId="6719"/>
    <cellStyle name="Note 14 2" xfId="4616"/>
    <cellStyle name="Note 14 3" xfId="4617"/>
    <cellStyle name="Note 14 4" xfId="4618"/>
    <cellStyle name="Note 14 5" xfId="4619"/>
    <cellStyle name="Note 14 6" xfId="4620"/>
    <cellStyle name="Note 14 7" xfId="4621"/>
    <cellStyle name="Note 14 8" xfId="4622"/>
    <cellStyle name="Note 14 9" xfId="4623"/>
    <cellStyle name="Note 14_SA1" xfId="5465"/>
    <cellStyle name="Note 15" xfId="436"/>
    <cellStyle name="Note 15 10" xfId="6380"/>
    <cellStyle name="Note 15 11" xfId="6986"/>
    <cellStyle name="Note 15 12" xfId="7254"/>
    <cellStyle name="Note 15 2" xfId="4624"/>
    <cellStyle name="Note 15 3" xfId="4625"/>
    <cellStyle name="Note 15 4" xfId="4626"/>
    <cellStyle name="Note 15 5" xfId="4627"/>
    <cellStyle name="Note 15 6" xfId="4628"/>
    <cellStyle name="Note 15 7" xfId="4629"/>
    <cellStyle name="Note 15 8" xfId="4630"/>
    <cellStyle name="Note 15 9" xfId="4631"/>
    <cellStyle name="Note 15_SA1" xfId="5466"/>
    <cellStyle name="Note 16" xfId="437"/>
    <cellStyle name="Note 16 10" xfId="6381"/>
    <cellStyle name="Note 16 11" xfId="6985"/>
    <cellStyle name="Note 16 12" xfId="6720"/>
    <cellStyle name="Note 16 2" xfId="4632"/>
    <cellStyle name="Note 16 3" xfId="4633"/>
    <cellStyle name="Note 16 4" xfId="4634"/>
    <cellStyle name="Note 16 5" xfId="4635"/>
    <cellStyle name="Note 16 6" xfId="4636"/>
    <cellStyle name="Note 16 7" xfId="4637"/>
    <cellStyle name="Note 16 8" xfId="4638"/>
    <cellStyle name="Note 16 9" xfId="4639"/>
    <cellStyle name="Note 16_SA1" xfId="5467"/>
    <cellStyle name="Note 17" xfId="438"/>
    <cellStyle name="Note 17 10" xfId="6382"/>
    <cellStyle name="Note 17 11" xfId="6984"/>
    <cellStyle name="Note 17 12" xfId="6721"/>
    <cellStyle name="Note 17 2" xfId="4640"/>
    <cellStyle name="Note 17 3" xfId="4641"/>
    <cellStyle name="Note 17 4" xfId="4642"/>
    <cellStyle name="Note 17 5" xfId="4643"/>
    <cellStyle name="Note 17 6" xfId="4644"/>
    <cellStyle name="Note 17 7" xfId="4645"/>
    <cellStyle name="Note 17 8" xfId="4646"/>
    <cellStyle name="Note 17 9" xfId="4647"/>
    <cellStyle name="Note 17_SA1" xfId="5468"/>
    <cellStyle name="Note 18" xfId="439"/>
    <cellStyle name="Note 18 10" xfId="6383"/>
    <cellStyle name="Note 18 11" xfId="6547"/>
    <cellStyle name="Note 18 12" xfId="6859"/>
    <cellStyle name="Note 18 2" xfId="4648"/>
    <cellStyle name="Note 18 3" xfId="4649"/>
    <cellStyle name="Note 18 4" xfId="4650"/>
    <cellStyle name="Note 18 5" xfId="4651"/>
    <cellStyle name="Note 18 6" xfId="4652"/>
    <cellStyle name="Note 18 7" xfId="4653"/>
    <cellStyle name="Note 18 8" xfId="4654"/>
    <cellStyle name="Note 18 9" xfId="4655"/>
    <cellStyle name="Note 18_SA1" xfId="5469"/>
    <cellStyle name="Note 19" xfId="440"/>
    <cellStyle name="Note 19 10" xfId="6384"/>
    <cellStyle name="Note 19 11" xfId="6983"/>
    <cellStyle name="Note 19 12" xfId="6722"/>
    <cellStyle name="Note 19 2" xfId="4656"/>
    <cellStyle name="Note 19 3" xfId="4657"/>
    <cellStyle name="Note 19 4" xfId="4658"/>
    <cellStyle name="Note 19 5" xfId="4659"/>
    <cellStyle name="Note 19 6" xfId="4660"/>
    <cellStyle name="Note 19 7" xfId="4661"/>
    <cellStyle name="Note 19 8" xfId="4662"/>
    <cellStyle name="Note 19 9" xfId="4663"/>
    <cellStyle name="Note 19_SA1" xfId="5470"/>
    <cellStyle name="Note 2" xfId="441"/>
    <cellStyle name="Note 2 10" xfId="4664"/>
    <cellStyle name="Note 2 11" xfId="4665"/>
    <cellStyle name="Note 2 12" xfId="4666"/>
    <cellStyle name="Note 2 13" xfId="4667"/>
    <cellStyle name="Note 2 14" xfId="4668"/>
    <cellStyle name="Note 2 15" xfId="4669"/>
    <cellStyle name="Note 2 16" xfId="5990"/>
    <cellStyle name="Note 2 16 2" xfId="6529"/>
    <cellStyle name="Note 2 16 3" xfId="6361"/>
    <cellStyle name="Note 2 16 4" xfId="7001"/>
    <cellStyle name="Note 2 17" xfId="6188"/>
    <cellStyle name="Note 2 18" xfId="7151"/>
    <cellStyle name="Note 2 19" xfId="7244"/>
    <cellStyle name="Note 2 2" xfId="442"/>
    <cellStyle name="Note 2 2 10" xfId="4670"/>
    <cellStyle name="Note 2 2 11" xfId="4671"/>
    <cellStyle name="Note 2 2 12" xfId="4672"/>
    <cellStyle name="Note 2 2 13" xfId="4673"/>
    <cellStyle name="Note 2 2 14" xfId="5991"/>
    <cellStyle name="Note 2 2 14 2" xfId="6528"/>
    <cellStyle name="Note 2 2 14 3" xfId="6362"/>
    <cellStyle name="Note 2 2 14 4" xfId="7000"/>
    <cellStyle name="Note 2 2 15" xfId="6189"/>
    <cellStyle name="Note 2 2 16" xfId="7150"/>
    <cellStyle name="Note 2 2 17" xfId="6615"/>
    <cellStyle name="Note 2 2 2" xfId="443"/>
    <cellStyle name="Note 2 2 2 10" xfId="4674"/>
    <cellStyle name="Note 2 2 2 2" xfId="444"/>
    <cellStyle name="Note 2 2 2 3" xfId="445"/>
    <cellStyle name="Note 2 2 2 4" xfId="446"/>
    <cellStyle name="Note 2 2 2 5" xfId="447"/>
    <cellStyle name="Note 2 2 2 6" xfId="4675"/>
    <cellStyle name="Note 2 2 2 7" xfId="4676"/>
    <cellStyle name="Note 2 2 2 8" xfId="4677"/>
    <cellStyle name="Note 2 2 2 9" xfId="4678"/>
    <cellStyle name="Note 2 2 2_SA1" xfId="5473"/>
    <cellStyle name="Note 2 2 3" xfId="448"/>
    <cellStyle name="Note 2 2 3 2" xfId="4679"/>
    <cellStyle name="Note 2 2 3 3" xfId="4680"/>
    <cellStyle name="Note 2 2 3 4" xfId="4681"/>
    <cellStyle name="Note 2 2 3 5" xfId="4682"/>
    <cellStyle name="Note 2 2 3 6" xfId="4683"/>
    <cellStyle name="Note 2 2 3_SA1" xfId="5474"/>
    <cellStyle name="Note 2 2 4" xfId="449"/>
    <cellStyle name="Note 2 2 5" xfId="450"/>
    <cellStyle name="Note 2 2 6" xfId="451"/>
    <cellStyle name="Note 2 2 7" xfId="4684"/>
    <cellStyle name="Note 2 2 8" xfId="4685"/>
    <cellStyle name="Note 2 2 9" xfId="4686"/>
    <cellStyle name="Note 2 2_SA1" xfId="5472"/>
    <cellStyle name="Note 2 3" xfId="452"/>
    <cellStyle name="Note 2 3 10" xfId="4687"/>
    <cellStyle name="Note 2 3 11" xfId="4688"/>
    <cellStyle name="Note 2 3 12" xfId="4689"/>
    <cellStyle name="Note 2 3 13" xfId="5992"/>
    <cellStyle name="Note 2 3 13 2" xfId="6527"/>
    <cellStyle name="Note 2 3 13 3" xfId="6873"/>
    <cellStyle name="Note 2 3 13 4" xfId="6132"/>
    <cellStyle name="Note 2 3 14" xfId="6190"/>
    <cellStyle name="Note 2 3 15" xfId="7149"/>
    <cellStyle name="Note 2 3 16" xfId="6616"/>
    <cellStyle name="Note 2 3 2" xfId="453"/>
    <cellStyle name="Note 2 3 2 2" xfId="4690"/>
    <cellStyle name="Note 2 3 2 3" xfId="4691"/>
    <cellStyle name="Note 2 3 2 4" xfId="4692"/>
    <cellStyle name="Note 2 3 2 5" xfId="4693"/>
    <cellStyle name="Note 2 3 2 6" xfId="4694"/>
    <cellStyle name="Note 2 3 2_SA1" xfId="5476"/>
    <cellStyle name="Note 2 3 3" xfId="454"/>
    <cellStyle name="Note 2 3 3 2" xfId="4695"/>
    <cellStyle name="Note 2 3 3 3" xfId="4696"/>
    <cellStyle name="Note 2 3 3 4" xfId="4697"/>
    <cellStyle name="Note 2 3 3 5" xfId="4698"/>
    <cellStyle name="Note 2 3 3 6" xfId="4699"/>
    <cellStyle name="Note 2 3 3_SA1" xfId="5477"/>
    <cellStyle name="Note 2 3 4" xfId="455"/>
    <cellStyle name="Note 2 3 5" xfId="456"/>
    <cellStyle name="Note 2 3 6" xfId="4700"/>
    <cellStyle name="Note 2 3 7" xfId="4701"/>
    <cellStyle name="Note 2 3 8" xfId="4702"/>
    <cellStyle name="Note 2 3 9" xfId="4703"/>
    <cellStyle name="Note 2 3_SA1" xfId="5475"/>
    <cellStyle name="Note 2 4" xfId="457"/>
    <cellStyle name="Note 2 4 10" xfId="4704"/>
    <cellStyle name="Note 2 4 11" xfId="5993"/>
    <cellStyle name="Note 2 4 11 2" xfId="6526"/>
    <cellStyle name="Note 2 4 11 3" xfId="6874"/>
    <cellStyle name="Note 2 4 11 4" xfId="6131"/>
    <cellStyle name="Note 2 4 12" xfId="6191"/>
    <cellStyle name="Note 2 4 13" xfId="7148"/>
    <cellStyle name="Note 2 4 14" xfId="6617"/>
    <cellStyle name="Note 2 4 2" xfId="4705"/>
    <cellStyle name="Note 2 4 2 2" xfId="5994"/>
    <cellStyle name="Note 2 4 2 3" xfId="5995"/>
    <cellStyle name="Note 2 4 2 4" xfId="6389"/>
    <cellStyle name="Note 2 4 2 5" xfId="6979"/>
    <cellStyle name="Note 2 4 2 6" xfId="7255"/>
    <cellStyle name="Note 2 4 3" xfId="4706"/>
    <cellStyle name="Note 2 4 4" xfId="4707"/>
    <cellStyle name="Note 2 4 5" xfId="4708"/>
    <cellStyle name="Note 2 4 6" xfId="4709"/>
    <cellStyle name="Note 2 4 7" xfId="4710"/>
    <cellStyle name="Note 2 4 8" xfId="4711"/>
    <cellStyle name="Note 2 4 9" xfId="4712"/>
    <cellStyle name="Note 2 4_SA1" xfId="5478"/>
    <cellStyle name="Note 2 5" xfId="458"/>
    <cellStyle name="Note 2 5 10" xfId="6618"/>
    <cellStyle name="Note 2 5 2" xfId="4713"/>
    <cellStyle name="Note 2 5 2 2" xfId="5996"/>
    <cellStyle name="Note 2 5 2 3" xfId="5997"/>
    <cellStyle name="Note 2 5 2 4" xfId="6390"/>
    <cellStyle name="Note 2 5 2 5" xfId="6978"/>
    <cellStyle name="Note 2 5 2 6" xfId="6724"/>
    <cellStyle name="Note 2 5 3" xfId="4714"/>
    <cellStyle name="Note 2 5 4" xfId="4715"/>
    <cellStyle name="Note 2 5 5" xfId="4716"/>
    <cellStyle name="Note 2 5 6" xfId="4717"/>
    <cellStyle name="Note 2 5 7" xfId="5998"/>
    <cellStyle name="Note 2 5 7 2" xfId="6525"/>
    <cellStyle name="Note 2 5 7 3" xfId="6875"/>
    <cellStyle name="Note 2 5 7 4" xfId="6511"/>
    <cellStyle name="Note 2 5 8" xfId="6192"/>
    <cellStyle name="Note 2 5 9" xfId="7147"/>
    <cellStyle name="Note 2 5_SA1" xfId="5479"/>
    <cellStyle name="Note 2 6" xfId="459"/>
    <cellStyle name="Note 2 6 10" xfId="6492"/>
    <cellStyle name="Note 2 6 2" xfId="4718"/>
    <cellStyle name="Note 2 6 2 2" xfId="5999"/>
    <cellStyle name="Note 2 6 2 3" xfId="6000"/>
    <cellStyle name="Note 2 6 2 4" xfId="6391"/>
    <cellStyle name="Note 2 6 2 5" xfId="6977"/>
    <cellStyle name="Note 2 6 2 6" xfId="6725"/>
    <cellStyle name="Note 2 6 3" xfId="4719"/>
    <cellStyle name="Note 2 6 4" xfId="4720"/>
    <cellStyle name="Note 2 6 5" xfId="4721"/>
    <cellStyle name="Note 2 6 6" xfId="4722"/>
    <cellStyle name="Note 2 6 7" xfId="6001"/>
    <cellStyle name="Note 2 6 7 2" xfId="6524"/>
    <cellStyle name="Note 2 6 7 3" xfId="6876"/>
    <cellStyle name="Note 2 6 7 4" xfId="6786"/>
    <cellStyle name="Note 2 6 8" xfId="6193"/>
    <cellStyle name="Note 2 6 9" xfId="7146"/>
    <cellStyle name="Note 2 6_SA1" xfId="5480"/>
    <cellStyle name="Note 2 7" xfId="460"/>
    <cellStyle name="Note 2 7 10" xfId="7328"/>
    <cellStyle name="Note 2 7 2" xfId="4723"/>
    <cellStyle name="Note 2 7 2 2" xfId="6002"/>
    <cellStyle name="Note 2 7 2 3" xfId="6003"/>
    <cellStyle name="Note 2 7 2 4" xfId="6392"/>
    <cellStyle name="Note 2 7 2 5" xfId="6976"/>
    <cellStyle name="Note 2 7 2 6" xfId="6726"/>
    <cellStyle name="Note 2 7 3" xfId="4724"/>
    <cellStyle name="Note 2 7 4" xfId="4725"/>
    <cellStyle name="Note 2 7 5" xfId="4726"/>
    <cellStyle name="Note 2 7 6" xfId="4727"/>
    <cellStyle name="Note 2 7 7" xfId="6004"/>
    <cellStyle name="Note 2 7 7 2" xfId="6523"/>
    <cellStyle name="Note 2 7 7 3" xfId="6877"/>
    <cellStyle name="Note 2 7 7 4" xfId="6785"/>
    <cellStyle name="Note 2 7 8" xfId="6194"/>
    <cellStyle name="Note 2 7 9" xfId="7230"/>
    <cellStyle name="Note 2 7_SA1" xfId="5481"/>
    <cellStyle name="Note 2 8" xfId="4728"/>
    <cellStyle name="Note 2 8 2" xfId="6005"/>
    <cellStyle name="Note 2 8 3" xfId="6006"/>
    <cellStyle name="Note 2 8 4" xfId="6385"/>
    <cellStyle name="Note 2 8 5" xfId="6982"/>
    <cellStyle name="Note 2 8 6" xfId="6503"/>
    <cellStyle name="Note 2 9" xfId="4729"/>
    <cellStyle name="Note 2_SA1" xfId="5471"/>
    <cellStyle name="Note 20" xfId="461"/>
    <cellStyle name="Note 20 10" xfId="6393"/>
    <cellStyle name="Note 20 11" xfId="6975"/>
    <cellStyle name="Note 20 12" xfId="6727"/>
    <cellStyle name="Note 20 2" xfId="4730"/>
    <cellStyle name="Note 20 3" xfId="4731"/>
    <cellStyle name="Note 20 4" xfId="4732"/>
    <cellStyle name="Note 20 5" xfId="4733"/>
    <cellStyle name="Note 20 6" xfId="4734"/>
    <cellStyle name="Note 20 7" xfId="4735"/>
    <cellStyle name="Note 20 8" xfId="4736"/>
    <cellStyle name="Note 20 9" xfId="4737"/>
    <cellStyle name="Note 20_SA1" xfId="5482"/>
    <cellStyle name="Note 21" xfId="462"/>
    <cellStyle name="Note 21 10" xfId="6394"/>
    <cellStyle name="Note 21 11" xfId="6974"/>
    <cellStyle name="Note 21 12" xfId="6504"/>
    <cellStyle name="Note 21 2" xfId="4738"/>
    <cellStyle name="Note 21 3" xfId="4739"/>
    <cellStyle name="Note 21 4" xfId="4740"/>
    <cellStyle name="Note 21 5" xfId="4741"/>
    <cellStyle name="Note 21 6" xfId="4742"/>
    <cellStyle name="Note 21 7" xfId="4743"/>
    <cellStyle name="Note 21 8" xfId="4744"/>
    <cellStyle name="Note 21 9" xfId="4745"/>
    <cellStyle name="Note 21_SA1" xfId="5483"/>
    <cellStyle name="Note 22" xfId="463"/>
    <cellStyle name="Note 22 10" xfId="6395"/>
    <cellStyle name="Note 22 11" xfId="6973"/>
    <cellStyle name="Note 22 12" xfId="6102"/>
    <cellStyle name="Note 22 2" xfId="4746"/>
    <cellStyle name="Note 22 3" xfId="4747"/>
    <cellStyle name="Note 22 4" xfId="4748"/>
    <cellStyle name="Note 22 5" xfId="4749"/>
    <cellStyle name="Note 22 6" xfId="4750"/>
    <cellStyle name="Note 22 7" xfId="4751"/>
    <cellStyle name="Note 22 8" xfId="4752"/>
    <cellStyle name="Note 22 9" xfId="4753"/>
    <cellStyle name="Note 22_SA1" xfId="5484"/>
    <cellStyle name="Note 23" xfId="464"/>
    <cellStyle name="Note 23 10" xfId="6396"/>
    <cellStyle name="Note 23 11" xfId="6972"/>
    <cellStyle name="Note 23 12" xfId="6103"/>
    <cellStyle name="Note 23 2" xfId="4754"/>
    <cellStyle name="Note 23 3" xfId="4755"/>
    <cellStyle name="Note 23 4" xfId="4756"/>
    <cellStyle name="Note 23 5" xfId="4757"/>
    <cellStyle name="Note 23 6" xfId="4758"/>
    <cellStyle name="Note 23 7" xfId="4759"/>
    <cellStyle name="Note 23 8" xfId="4760"/>
    <cellStyle name="Note 23 9" xfId="4761"/>
    <cellStyle name="Note 23_SA1" xfId="5485"/>
    <cellStyle name="Note 24" xfId="465"/>
    <cellStyle name="Note 24 10" xfId="6397"/>
    <cellStyle name="Note 24 11" xfId="6971"/>
    <cellStyle name="Note 24 12" xfId="6104"/>
    <cellStyle name="Note 24 2" xfId="4762"/>
    <cellStyle name="Note 24 3" xfId="4763"/>
    <cellStyle name="Note 24 4" xfId="4764"/>
    <cellStyle name="Note 24 5" xfId="4765"/>
    <cellStyle name="Note 24 6" xfId="4766"/>
    <cellStyle name="Note 24 7" xfId="4767"/>
    <cellStyle name="Note 24 8" xfId="4768"/>
    <cellStyle name="Note 24 9" xfId="4769"/>
    <cellStyle name="Note 24_SA1" xfId="5486"/>
    <cellStyle name="Note 25" xfId="466"/>
    <cellStyle name="Note 25 10" xfId="6398"/>
    <cellStyle name="Note 25 11" xfId="6970"/>
    <cellStyle name="Note 25 12" xfId="6105"/>
    <cellStyle name="Note 25 2" xfId="4770"/>
    <cellStyle name="Note 25 3" xfId="4771"/>
    <cellStyle name="Note 25 4" xfId="4772"/>
    <cellStyle name="Note 25 5" xfId="4773"/>
    <cellStyle name="Note 25 6" xfId="4774"/>
    <cellStyle name="Note 25 7" xfId="4775"/>
    <cellStyle name="Note 25 8" xfId="4776"/>
    <cellStyle name="Note 25 9" xfId="4777"/>
    <cellStyle name="Note 25_SA1" xfId="5487"/>
    <cellStyle name="Note 26" xfId="467"/>
    <cellStyle name="Note 26 10" xfId="6399"/>
    <cellStyle name="Note 26 11" xfId="6969"/>
    <cellStyle name="Note 26 12" xfId="6106"/>
    <cellStyle name="Note 26 2" xfId="4778"/>
    <cellStyle name="Note 26 3" xfId="4779"/>
    <cellStyle name="Note 26 4" xfId="4780"/>
    <cellStyle name="Note 26 5" xfId="4781"/>
    <cellStyle name="Note 26 6" xfId="4782"/>
    <cellStyle name="Note 26 7" xfId="4783"/>
    <cellStyle name="Note 26 8" xfId="4784"/>
    <cellStyle name="Note 26 9" xfId="4785"/>
    <cellStyle name="Note 26_SA1" xfId="5488"/>
    <cellStyle name="Note 27" xfId="468"/>
    <cellStyle name="Note 27 10" xfId="6400"/>
    <cellStyle name="Note 27 11" xfId="6968"/>
    <cellStyle name="Note 27 12" xfId="6728"/>
    <cellStyle name="Note 27 2" xfId="4786"/>
    <cellStyle name="Note 27 3" xfId="4787"/>
    <cellStyle name="Note 27 4" xfId="4788"/>
    <cellStyle name="Note 27 5" xfId="4789"/>
    <cellStyle name="Note 27 6" xfId="4790"/>
    <cellStyle name="Note 27 7" xfId="4791"/>
    <cellStyle name="Note 27 8" xfId="4792"/>
    <cellStyle name="Note 27 9" xfId="4793"/>
    <cellStyle name="Note 27_SA1" xfId="5489"/>
    <cellStyle name="Note 28" xfId="469"/>
    <cellStyle name="Note 28 10" xfId="6401"/>
    <cellStyle name="Note 28 11" xfId="6967"/>
    <cellStyle name="Note 28 12" xfId="6729"/>
    <cellStyle name="Note 28 2" xfId="4794"/>
    <cellStyle name="Note 28 3" xfId="4795"/>
    <cellStyle name="Note 28 4" xfId="4796"/>
    <cellStyle name="Note 28 5" xfId="4797"/>
    <cellStyle name="Note 28 6" xfId="4798"/>
    <cellStyle name="Note 28 7" xfId="4799"/>
    <cellStyle name="Note 28 8" xfId="4800"/>
    <cellStyle name="Note 28 9" xfId="4801"/>
    <cellStyle name="Note 28_SA1" xfId="5490"/>
    <cellStyle name="Note 29" xfId="470"/>
    <cellStyle name="Note 29 10" xfId="6402"/>
    <cellStyle name="Note 29 11" xfId="6966"/>
    <cellStyle name="Note 29 12" xfId="6730"/>
    <cellStyle name="Note 29 2" xfId="4802"/>
    <cellStyle name="Note 29 3" xfId="4803"/>
    <cellStyle name="Note 29 4" xfId="4804"/>
    <cellStyle name="Note 29 5" xfId="4805"/>
    <cellStyle name="Note 29 6" xfId="4806"/>
    <cellStyle name="Note 29 7" xfId="4807"/>
    <cellStyle name="Note 29 8" xfId="4808"/>
    <cellStyle name="Note 29 9" xfId="4809"/>
    <cellStyle name="Note 29_SA1" xfId="5491"/>
    <cellStyle name="Note 3" xfId="471"/>
    <cellStyle name="Note 3 10" xfId="4810"/>
    <cellStyle name="Note 3 11" xfId="4811"/>
    <cellStyle name="Note 3 12" xfId="4812"/>
    <cellStyle name="Note 3 13" xfId="4813"/>
    <cellStyle name="Note 3 14" xfId="6007"/>
    <cellStyle name="Note 3 14 2" xfId="6317"/>
    <cellStyle name="Note 3 14 3" xfId="6196"/>
    <cellStyle name="Note 3 14 4" xfId="7144"/>
    <cellStyle name="Note 3 15" xfId="6195"/>
    <cellStyle name="Note 3 16" xfId="7145"/>
    <cellStyle name="Note 3 17" xfId="6619"/>
    <cellStyle name="Note 3 2" xfId="1261"/>
    <cellStyle name="Note 3 2 2" xfId="4814"/>
    <cellStyle name="Note 3 2 3" xfId="4815"/>
    <cellStyle name="Note 3 2 4" xfId="4816"/>
    <cellStyle name="Note 3 2 5" xfId="4817"/>
    <cellStyle name="Note 3 2 6" xfId="4818"/>
    <cellStyle name="Note 3 2 7" xfId="4819"/>
    <cellStyle name="Note 3 2 8" xfId="4820"/>
    <cellStyle name="Note 3 2 9" xfId="4821"/>
    <cellStyle name="Note 3 2_SA1" xfId="5492"/>
    <cellStyle name="Note 3 3" xfId="4822"/>
    <cellStyle name="Note 3 3 2" xfId="6008"/>
    <cellStyle name="Note 3 3 3" xfId="6009"/>
    <cellStyle name="Note 3 3 4" xfId="6403"/>
    <cellStyle name="Note 3 3 5" xfId="6965"/>
    <cellStyle name="Note 3 3 6" xfId="7275"/>
    <cellStyle name="Note 3 4" xfId="4823"/>
    <cellStyle name="Note 3 5" xfId="4824"/>
    <cellStyle name="Note 3 6" xfId="4825"/>
    <cellStyle name="Note 3 7" xfId="4826"/>
    <cellStyle name="Note 3 8" xfId="4827"/>
    <cellStyle name="Note 3 9" xfId="4828"/>
    <cellStyle name="Note 3_A7-CFlow" xfId="1260"/>
    <cellStyle name="Note 30" xfId="472"/>
    <cellStyle name="Note 30 10" xfId="6404"/>
    <cellStyle name="Note 30 11" xfId="6964"/>
    <cellStyle name="Note 30 12" xfId="6107"/>
    <cellStyle name="Note 30 2" xfId="4829"/>
    <cellStyle name="Note 30 3" xfId="4830"/>
    <cellStyle name="Note 30 4" xfId="4831"/>
    <cellStyle name="Note 30 5" xfId="4832"/>
    <cellStyle name="Note 30 6" xfId="4833"/>
    <cellStyle name="Note 30 7" xfId="4834"/>
    <cellStyle name="Note 30 8" xfId="4835"/>
    <cellStyle name="Note 30 9" xfId="4836"/>
    <cellStyle name="Note 30_SA1" xfId="5493"/>
    <cellStyle name="Note 31" xfId="473"/>
    <cellStyle name="Note 31 10" xfId="6405"/>
    <cellStyle name="Note 31 11" xfId="6963"/>
    <cellStyle name="Note 31 12" xfId="6731"/>
    <cellStyle name="Note 31 2" xfId="4837"/>
    <cellStyle name="Note 31 3" xfId="4838"/>
    <cellStyle name="Note 31 4" xfId="4839"/>
    <cellStyle name="Note 31 5" xfId="4840"/>
    <cellStyle name="Note 31 6" xfId="4841"/>
    <cellStyle name="Note 31 7" xfId="4842"/>
    <cellStyle name="Note 31 8" xfId="4843"/>
    <cellStyle name="Note 31 9" xfId="4844"/>
    <cellStyle name="Note 31_SA1" xfId="5494"/>
    <cellStyle name="Note 32" xfId="474"/>
    <cellStyle name="Note 32 10" xfId="6406"/>
    <cellStyle name="Note 32 11" xfId="6962"/>
    <cellStyle name="Note 32 12" xfId="6732"/>
    <cellStyle name="Note 32 2" xfId="4845"/>
    <cellStyle name="Note 32 3" xfId="4846"/>
    <cellStyle name="Note 32 4" xfId="4847"/>
    <cellStyle name="Note 32 5" xfId="4848"/>
    <cellStyle name="Note 32 6" xfId="4849"/>
    <cellStyle name="Note 32 7" xfId="4850"/>
    <cellStyle name="Note 32 8" xfId="4851"/>
    <cellStyle name="Note 32 9" xfId="4852"/>
    <cellStyle name="Note 32_SA1" xfId="5495"/>
    <cellStyle name="Note 33" xfId="475"/>
    <cellStyle name="Note 33 10" xfId="6407"/>
    <cellStyle name="Note 33 11" xfId="6961"/>
    <cellStyle name="Note 33 12" xfId="6733"/>
    <cellStyle name="Note 33 2" xfId="4853"/>
    <cellStyle name="Note 33 3" xfId="4854"/>
    <cellStyle name="Note 33 4" xfId="4855"/>
    <cellStyle name="Note 33 5" xfId="4856"/>
    <cellStyle name="Note 33 6" xfId="4857"/>
    <cellStyle name="Note 33 7" xfId="4858"/>
    <cellStyle name="Note 33 8" xfId="4859"/>
    <cellStyle name="Note 33 9" xfId="4860"/>
    <cellStyle name="Note 33_SA1" xfId="5496"/>
    <cellStyle name="Note 34" xfId="476"/>
    <cellStyle name="Note 34 10" xfId="6408"/>
    <cellStyle name="Note 34 11" xfId="6960"/>
    <cellStyle name="Note 34 12" xfId="6734"/>
    <cellStyle name="Note 34 2" xfId="4861"/>
    <cellStyle name="Note 34 3" xfId="4862"/>
    <cellStyle name="Note 34 4" xfId="4863"/>
    <cellStyle name="Note 34 5" xfId="4864"/>
    <cellStyle name="Note 34 6" xfId="4865"/>
    <cellStyle name="Note 34 7" xfId="4866"/>
    <cellStyle name="Note 34 8" xfId="4867"/>
    <cellStyle name="Note 34 9" xfId="4868"/>
    <cellStyle name="Note 34_SA1" xfId="5497"/>
    <cellStyle name="Note 35" xfId="477"/>
    <cellStyle name="Note 35 10" xfId="6409"/>
    <cellStyle name="Note 35 11" xfId="6546"/>
    <cellStyle name="Note 35 12" xfId="6860"/>
    <cellStyle name="Note 35 2" xfId="4869"/>
    <cellStyle name="Note 35 3" xfId="4870"/>
    <cellStyle name="Note 35 4" xfId="4871"/>
    <cellStyle name="Note 35 5" xfId="4872"/>
    <cellStyle name="Note 35 6" xfId="4873"/>
    <cellStyle name="Note 35 7" xfId="4874"/>
    <cellStyle name="Note 35 8" xfId="4875"/>
    <cellStyle name="Note 35 9" xfId="4876"/>
    <cellStyle name="Note 35_SA1" xfId="5498"/>
    <cellStyle name="Note 36" xfId="478"/>
    <cellStyle name="Note 36 10" xfId="6410"/>
    <cellStyle name="Note 36 11" xfId="6959"/>
    <cellStyle name="Note 36 12" xfId="6735"/>
    <cellStyle name="Note 36 2" xfId="4877"/>
    <cellStyle name="Note 36 3" xfId="4878"/>
    <cellStyle name="Note 36 4" xfId="4879"/>
    <cellStyle name="Note 36 5" xfId="4880"/>
    <cellStyle name="Note 36 6" xfId="4881"/>
    <cellStyle name="Note 36 7" xfId="4882"/>
    <cellStyle name="Note 36 8" xfId="4883"/>
    <cellStyle name="Note 36 9" xfId="4884"/>
    <cellStyle name="Note 36_SA1" xfId="5499"/>
    <cellStyle name="Note 37" xfId="479"/>
    <cellStyle name="Note 37 10" xfId="6411"/>
    <cellStyle name="Note 37 11" xfId="6958"/>
    <cellStyle name="Note 37 12" xfId="6736"/>
    <cellStyle name="Note 37 2" xfId="4885"/>
    <cellStyle name="Note 37 3" xfId="4886"/>
    <cellStyle name="Note 37 4" xfId="4887"/>
    <cellStyle name="Note 37 5" xfId="4888"/>
    <cellStyle name="Note 37 6" xfId="4889"/>
    <cellStyle name="Note 37 7" xfId="4890"/>
    <cellStyle name="Note 37 8" xfId="4891"/>
    <cellStyle name="Note 37 9" xfId="4892"/>
    <cellStyle name="Note 37_SA1" xfId="5500"/>
    <cellStyle name="Note 38" xfId="480"/>
    <cellStyle name="Note 38 10" xfId="6412"/>
    <cellStyle name="Note 38 11" xfId="6957"/>
    <cellStyle name="Note 38 12" xfId="6108"/>
    <cellStyle name="Note 38 2" xfId="4893"/>
    <cellStyle name="Note 38 3" xfId="4894"/>
    <cellStyle name="Note 38 4" xfId="4895"/>
    <cellStyle name="Note 38 5" xfId="4896"/>
    <cellStyle name="Note 38 6" xfId="4897"/>
    <cellStyle name="Note 38 7" xfId="4898"/>
    <cellStyle name="Note 38 8" xfId="4899"/>
    <cellStyle name="Note 38 9" xfId="4900"/>
    <cellStyle name="Note 38_SA1" xfId="5501"/>
    <cellStyle name="Note 39" xfId="481"/>
    <cellStyle name="Note 39 10" xfId="6413"/>
    <cellStyle name="Note 39 11" xfId="6956"/>
    <cellStyle name="Note 39 12" xfId="6737"/>
    <cellStyle name="Note 39 2" xfId="4901"/>
    <cellStyle name="Note 39 3" xfId="4902"/>
    <cellStyle name="Note 39 4" xfId="4903"/>
    <cellStyle name="Note 39 5" xfId="4904"/>
    <cellStyle name="Note 39 6" xfId="4905"/>
    <cellStyle name="Note 39 7" xfId="4906"/>
    <cellStyle name="Note 39 8" xfId="4907"/>
    <cellStyle name="Note 39 9" xfId="4908"/>
    <cellStyle name="Note 39_SA1" xfId="5502"/>
    <cellStyle name="Note 4" xfId="482"/>
    <cellStyle name="Note 4 10" xfId="4909"/>
    <cellStyle name="Note 4 11" xfId="4910"/>
    <cellStyle name="Note 4 12" xfId="4911"/>
    <cellStyle name="Note 4 13" xfId="4912"/>
    <cellStyle name="Note 4 14" xfId="6010"/>
    <cellStyle name="Note 4 14 2" xfId="6522"/>
    <cellStyle name="Note 4 14 3" xfId="7214"/>
    <cellStyle name="Note 4 14 4" xfId="7313"/>
    <cellStyle name="Note 4 15" xfId="6197"/>
    <cellStyle name="Note 4 16" xfId="7143"/>
    <cellStyle name="Note 4 17" xfId="7245"/>
    <cellStyle name="Note 4 2" xfId="1263"/>
    <cellStyle name="Note 4 2 2" xfId="4913"/>
    <cellStyle name="Note 4 2 3" xfId="4914"/>
    <cellStyle name="Note 4 2 4" xfId="4915"/>
    <cellStyle name="Note 4 2 5" xfId="4916"/>
    <cellStyle name="Note 4 2 6" xfId="4917"/>
    <cellStyle name="Note 4 2 7" xfId="4918"/>
    <cellStyle name="Note 4 2 8" xfId="4919"/>
    <cellStyle name="Note 4 2 9" xfId="4920"/>
    <cellStyle name="Note 4 2_SA1" xfId="5503"/>
    <cellStyle name="Note 4 3" xfId="4921"/>
    <cellStyle name="Note 4 3 2" xfId="6011"/>
    <cellStyle name="Note 4 3 3" xfId="6012"/>
    <cellStyle name="Note 4 3 4" xfId="6414"/>
    <cellStyle name="Note 4 3 5" xfId="6955"/>
    <cellStyle name="Note 4 3 6" xfId="6738"/>
    <cellStyle name="Note 4 4" xfId="4922"/>
    <cellStyle name="Note 4 5" xfId="4923"/>
    <cellStyle name="Note 4 6" xfId="4924"/>
    <cellStyle name="Note 4 7" xfId="4925"/>
    <cellStyle name="Note 4 8" xfId="4926"/>
    <cellStyle name="Note 4 9" xfId="4927"/>
    <cellStyle name="Note 4_A7-CFlow" xfId="1262"/>
    <cellStyle name="Note 40" xfId="483"/>
    <cellStyle name="Note 40 10" xfId="6415"/>
    <cellStyle name="Note 40 11" xfId="6954"/>
    <cellStyle name="Note 40 12" xfId="6739"/>
    <cellStyle name="Note 40 2" xfId="4928"/>
    <cellStyle name="Note 40 3" xfId="4929"/>
    <cellStyle name="Note 40 4" xfId="4930"/>
    <cellStyle name="Note 40 5" xfId="4931"/>
    <cellStyle name="Note 40 6" xfId="4932"/>
    <cellStyle name="Note 40 7" xfId="4933"/>
    <cellStyle name="Note 40 8" xfId="4934"/>
    <cellStyle name="Note 40 9" xfId="4935"/>
    <cellStyle name="Note 40_SA1" xfId="5504"/>
    <cellStyle name="Note 41" xfId="484"/>
    <cellStyle name="Note 41 10" xfId="6416"/>
    <cellStyle name="Note 41 11" xfId="6953"/>
    <cellStyle name="Note 41 12" xfId="6740"/>
    <cellStyle name="Note 41 2" xfId="4936"/>
    <cellStyle name="Note 41 3" xfId="4937"/>
    <cellStyle name="Note 41 4" xfId="4938"/>
    <cellStyle name="Note 41 5" xfId="4939"/>
    <cellStyle name="Note 41 6" xfId="4940"/>
    <cellStyle name="Note 41 7" xfId="4941"/>
    <cellStyle name="Note 41 8" xfId="4942"/>
    <cellStyle name="Note 41 9" xfId="4943"/>
    <cellStyle name="Note 41_SA1" xfId="5505"/>
    <cellStyle name="Note 42" xfId="485"/>
    <cellStyle name="Note 42 10" xfId="6417"/>
    <cellStyle name="Note 42 11" xfId="6952"/>
    <cellStyle name="Note 42 12" xfId="6741"/>
    <cellStyle name="Note 42 2" xfId="4944"/>
    <cellStyle name="Note 42 3" xfId="4945"/>
    <cellStyle name="Note 42 4" xfId="4946"/>
    <cellStyle name="Note 42 5" xfId="4947"/>
    <cellStyle name="Note 42 6" xfId="4948"/>
    <cellStyle name="Note 42 7" xfId="4949"/>
    <cellStyle name="Note 42 8" xfId="4950"/>
    <cellStyle name="Note 42 9" xfId="4951"/>
    <cellStyle name="Note 42_SA1" xfId="5506"/>
    <cellStyle name="Note 43" xfId="486"/>
    <cellStyle name="Note 43 10" xfId="6418"/>
    <cellStyle name="Note 43 11" xfId="6951"/>
    <cellStyle name="Note 43 12" xfId="6742"/>
    <cellStyle name="Note 43 2" xfId="4952"/>
    <cellStyle name="Note 43 3" xfId="4953"/>
    <cellStyle name="Note 43 4" xfId="4954"/>
    <cellStyle name="Note 43 5" xfId="4955"/>
    <cellStyle name="Note 43 6" xfId="4956"/>
    <cellStyle name="Note 43 7" xfId="4957"/>
    <cellStyle name="Note 43 8" xfId="4958"/>
    <cellStyle name="Note 43 9" xfId="4959"/>
    <cellStyle name="Note 43_SA1" xfId="5507"/>
    <cellStyle name="Note 44" xfId="487"/>
    <cellStyle name="Note 44 10" xfId="6419"/>
    <cellStyle name="Note 44 11" xfId="6950"/>
    <cellStyle name="Note 44 12" xfId="6743"/>
    <cellStyle name="Note 44 2" xfId="4960"/>
    <cellStyle name="Note 44 3" xfId="4961"/>
    <cellStyle name="Note 44 4" xfId="4962"/>
    <cellStyle name="Note 44 5" xfId="4963"/>
    <cellStyle name="Note 44 6" xfId="4964"/>
    <cellStyle name="Note 44 7" xfId="4965"/>
    <cellStyle name="Note 44 8" xfId="4966"/>
    <cellStyle name="Note 44 9" xfId="4967"/>
    <cellStyle name="Note 44_SA1" xfId="5508"/>
    <cellStyle name="Note 45" xfId="488"/>
    <cellStyle name="Note 45 10" xfId="6420"/>
    <cellStyle name="Note 45 11" xfId="6949"/>
    <cellStyle name="Note 45 12" xfId="6744"/>
    <cellStyle name="Note 45 2" xfId="4968"/>
    <cellStyle name="Note 45 3" xfId="4969"/>
    <cellStyle name="Note 45 4" xfId="4970"/>
    <cellStyle name="Note 45 5" xfId="4971"/>
    <cellStyle name="Note 45 6" xfId="4972"/>
    <cellStyle name="Note 45 7" xfId="4973"/>
    <cellStyle name="Note 45 8" xfId="4974"/>
    <cellStyle name="Note 45 9" xfId="4975"/>
    <cellStyle name="Note 45_SA1" xfId="5509"/>
    <cellStyle name="Note 46" xfId="489"/>
    <cellStyle name="Note 46 10" xfId="6421"/>
    <cellStyle name="Note 46 11" xfId="7215"/>
    <cellStyle name="Note 46 12" xfId="7314"/>
    <cellStyle name="Note 46 2" xfId="4976"/>
    <cellStyle name="Note 46 3" xfId="4977"/>
    <cellStyle name="Note 46 4" xfId="4978"/>
    <cellStyle name="Note 46 5" xfId="4979"/>
    <cellStyle name="Note 46 6" xfId="4980"/>
    <cellStyle name="Note 46 7" xfId="4981"/>
    <cellStyle name="Note 46 8" xfId="4982"/>
    <cellStyle name="Note 46 9" xfId="4983"/>
    <cellStyle name="Note 46_SA1" xfId="5510"/>
    <cellStyle name="Note 47" xfId="490"/>
    <cellStyle name="Note 47 10" xfId="6422"/>
    <cellStyle name="Note 47 11" xfId="6948"/>
    <cellStyle name="Note 47 12" xfId="6745"/>
    <cellStyle name="Note 47 2" xfId="4984"/>
    <cellStyle name="Note 47 3" xfId="4985"/>
    <cellStyle name="Note 47 4" xfId="4986"/>
    <cellStyle name="Note 47 5" xfId="4987"/>
    <cellStyle name="Note 47 6" xfId="4988"/>
    <cellStyle name="Note 47 7" xfId="4989"/>
    <cellStyle name="Note 47 8" xfId="4990"/>
    <cellStyle name="Note 47 9" xfId="4991"/>
    <cellStyle name="Note 47_SA1" xfId="5511"/>
    <cellStyle name="Note 48" xfId="491"/>
    <cellStyle name="Note 48 10" xfId="6423"/>
    <cellStyle name="Note 48 11" xfId="6947"/>
    <cellStyle name="Note 48 12" xfId="6746"/>
    <cellStyle name="Note 48 2" xfId="4992"/>
    <cellStyle name="Note 48 3" xfId="4993"/>
    <cellStyle name="Note 48 4" xfId="4994"/>
    <cellStyle name="Note 48 5" xfId="4995"/>
    <cellStyle name="Note 48 6" xfId="4996"/>
    <cellStyle name="Note 48 7" xfId="4997"/>
    <cellStyle name="Note 48 8" xfId="4998"/>
    <cellStyle name="Note 48 9" xfId="4999"/>
    <cellStyle name="Note 48_SA1" xfId="5512"/>
    <cellStyle name="Note 49" xfId="492"/>
    <cellStyle name="Note 49 10" xfId="6424"/>
    <cellStyle name="Note 49 11" xfId="6946"/>
    <cellStyle name="Note 49 12" xfId="6109"/>
    <cellStyle name="Note 49 2" xfId="5000"/>
    <cellStyle name="Note 49 3" xfId="5001"/>
    <cellStyle name="Note 49 4" xfId="5002"/>
    <cellStyle name="Note 49 5" xfId="5003"/>
    <cellStyle name="Note 49 6" xfId="5004"/>
    <cellStyle name="Note 49 7" xfId="5005"/>
    <cellStyle name="Note 49 8" xfId="5006"/>
    <cellStyle name="Note 49 9" xfId="5007"/>
    <cellStyle name="Note 49_SA1" xfId="5513"/>
    <cellStyle name="Note 5" xfId="493"/>
    <cellStyle name="Note 5 10" xfId="5008"/>
    <cellStyle name="Note 5 11" xfId="5009"/>
    <cellStyle name="Note 5 12" xfId="5010"/>
    <cellStyle name="Note 5 13" xfId="5011"/>
    <cellStyle name="Note 5 14" xfId="6013"/>
    <cellStyle name="Note 5 14 2" xfId="6521"/>
    <cellStyle name="Note 5 14 3" xfId="6363"/>
    <cellStyle name="Note 5 14 4" xfId="6549"/>
    <cellStyle name="Note 5 15" xfId="6198"/>
    <cellStyle name="Note 5 16" xfId="7142"/>
    <cellStyle name="Note 5 17" xfId="6620"/>
    <cellStyle name="Note 5 2" xfId="1265"/>
    <cellStyle name="Note 5 2 2" xfId="5012"/>
    <cellStyle name="Note 5 2 3" xfId="5013"/>
    <cellStyle name="Note 5 2 4" xfId="5014"/>
    <cellStyle name="Note 5 2 5" xfId="5015"/>
    <cellStyle name="Note 5 2 6" xfId="5016"/>
    <cellStyle name="Note 5 2 7" xfId="5017"/>
    <cellStyle name="Note 5 2 8" xfId="5018"/>
    <cellStyle name="Note 5 2 9" xfId="5019"/>
    <cellStyle name="Note 5 2_SA1" xfId="5514"/>
    <cellStyle name="Note 5 3" xfId="5020"/>
    <cellStyle name="Note 5 3 2" xfId="6014"/>
    <cellStyle name="Note 5 3 3" xfId="6015"/>
    <cellStyle name="Note 5 3 4" xfId="6425"/>
    <cellStyle name="Note 5 3 5" xfId="6945"/>
    <cellStyle name="Note 5 3 6" xfId="6747"/>
    <cellStyle name="Note 5 4" xfId="5021"/>
    <cellStyle name="Note 5 5" xfId="5022"/>
    <cellStyle name="Note 5 6" xfId="5023"/>
    <cellStyle name="Note 5 7" xfId="5024"/>
    <cellStyle name="Note 5 8" xfId="5025"/>
    <cellStyle name="Note 5 9" xfId="5026"/>
    <cellStyle name="Note 5_A7-CFlow" xfId="1264"/>
    <cellStyle name="Note 50" xfId="494"/>
    <cellStyle name="Note 50 10" xfId="6426"/>
    <cellStyle name="Note 50 11" xfId="6944"/>
    <cellStyle name="Note 50 12" xfId="6748"/>
    <cellStyle name="Note 50 2" xfId="5027"/>
    <cellStyle name="Note 50 3" xfId="5028"/>
    <cellStyle name="Note 50 4" xfId="5029"/>
    <cellStyle name="Note 50 5" xfId="5030"/>
    <cellStyle name="Note 50 6" xfId="5031"/>
    <cellStyle name="Note 50 7" xfId="5032"/>
    <cellStyle name="Note 50 8" xfId="5033"/>
    <cellStyle name="Note 50 9" xfId="5034"/>
    <cellStyle name="Note 50_SA1" xfId="5515"/>
    <cellStyle name="Note 51" xfId="495"/>
    <cellStyle name="Note 51 10" xfId="6427"/>
    <cellStyle name="Note 51 11" xfId="6373"/>
    <cellStyle name="Note 51 12" xfId="6992"/>
    <cellStyle name="Note 51 2" xfId="5035"/>
    <cellStyle name="Note 51 3" xfId="5036"/>
    <cellStyle name="Note 51 4" xfId="5037"/>
    <cellStyle name="Note 51 5" xfId="5038"/>
    <cellStyle name="Note 51 6" xfId="5039"/>
    <cellStyle name="Note 51 7" xfId="5040"/>
    <cellStyle name="Note 51 8" xfId="5041"/>
    <cellStyle name="Note 51 9" xfId="5042"/>
    <cellStyle name="Note 51_SA1" xfId="5516"/>
    <cellStyle name="Note 52" xfId="496"/>
    <cellStyle name="Note 52 10" xfId="6428"/>
    <cellStyle name="Note 52 11" xfId="6943"/>
    <cellStyle name="Note 52 12" xfId="6749"/>
    <cellStyle name="Note 52 2" xfId="5043"/>
    <cellStyle name="Note 52 3" xfId="5044"/>
    <cellStyle name="Note 52 4" xfId="5045"/>
    <cellStyle name="Note 52 5" xfId="5046"/>
    <cellStyle name="Note 52 6" xfId="5047"/>
    <cellStyle name="Note 52 7" xfId="5048"/>
    <cellStyle name="Note 52 8" xfId="5049"/>
    <cellStyle name="Note 52 9" xfId="5050"/>
    <cellStyle name="Note 52_SA1" xfId="5517"/>
    <cellStyle name="Note 53" xfId="497"/>
    <cellStyle name="Note 53 10" xfId="6429"/>
    <cellStyle name="Note 53 11" xfId="6942"/>
    <cellStyle name="Note 53 12" xfId="6750"/>
    <cellStyle name="Note 53 2" xfId="5051"/>
    <cellStyle name="Note 53 3" xfId="5052"/>
    <cellStyle name="Note 53 4" xfId="5053"/>
    <cellStyle name="Note 53 5" xfId="5054"/>
    <cellStyle name="Note 53 6" xfId="5055"/>
    <cellStyle name="Note 53 7" xfId="5056"/>
    <cellStyle name="Note 53 8" xfId="5057"/>
    <cellStyle name="Note 53 9" xfId="5058"/>
    <cellStyle name="Note 53_SA1" xfId="5518"/>
    <cellStyle name="Note 54" xfId="498"/>
    <cellStyle name="Note 54 10" xfId="6430"/>
    <cellStyle name="Note 54 11" xfId="6941"/>
    <cellStyle name="Note 54 12" xfId="6751"/>
    <cellStyle name="Note 54 2" xfId="5059"/>
    <cellStyle name="Note 54 3" xfId="5060"/>
    <cellStyle name="Note 54 4" xfId="5061"/>
    <cellStyle name="Note 54 5" xfId="5062"/>
    <cellStyle name="Note 54 6" xfId="5063"/>
    <cellStyle name="Note 54 7" xfId="5064"/>
    <cellStyle name="Note 54 8" xfId="5065"/>
    <cellStyle name="Note 54 9" xfId="5066"/>
    <cellStyle name="Note 54_SA1" xfId="5519"/>
    <cellStyle name="Note 55" xfId="499"/>
    <cellStyle name="Note 55 10" xfId="6431"/>
    <cellStyle name="Note 55 11" xfId="6940"/>
    <cellStyle name="Note 55 12" xfId="6752"/>
    <cellStyle name="Note 55 2" xfId="5067"/>
    <cellStyle name="Note 55 3" xfId="5068"/>
    <cellStyle name="Note 55 4" xfId="5069"/>
    <cellStyle name="Note 55 5" xfId="5070"/>
    <cellStyle name="Note 55 6" xfId="5071"/>
    <cellStyle name="Note 55 7" xfId="5072"/>
    <cellStyle name="Note 55 8" xfId="5073"/>
    <cellStyle name="Note 55 9" xfId="5074"/>
    <cellStyle name="Note 55_SA1" xfId="5520"/>
    <cellStyle name="Note 56" xfId="500"/>
    <cellStyle name="Note 56 10" xfId="6432"/>
    <cellStyle name="Note 56 11" xfId="6939"/>
    <cellStyle name="Note 56 12" xfId="6753"/>
    <cellStyle name="Note 56 2" xfId="5075"/>
    <cellStyle name="Note 56 3" xfId="5076"/>
    <cellStyle name="Note 56 4" xfId="5077"/>
    <cellStyle name="Note 56 5" xfId="5078"/>
    <cellStyle name="Note 56 6" xfId="5079"/>
    <cellStyle name="Note 56 7" xfId="5080"/>
    <cellStyle name="Note 56 8" xfId="5081"/>
    <cellStyle name="Note 56 9" xfId="5082"/>
    <cellStyle name="Note 56_SA1" xfId="5521"/>
    <cellStyle name="Note 57" xfId="501"/>
    <cellStyle name="Note 57 10" xfId="6433"/>
    <cellStyle name="Note 57 11" xfId="6938"/>
    <cellStyle name="Note 57 12" xfId="6754"/>
    <cellStyle name="Note 57 2" xfId="5083"/>
    <cellStyle name="Note 57 3" xfId="5084"/>
    <cellStyle name="Note 57 4" xfId="5085"/>
    <cellStyle name="Note 57 5" xfId="5086"/>
    <cellStyle name="Note 57 6" xfId="5087"/>
    <cellStyle name="Note 57 7" xfId="5088"/>
    <cellStyle name="Note 57 8" xfId="5089"/>
    <cellStyle name="Note 57 9" xfId="5090"/>
    <cellStyle name="Note 57_SA1" xfId="5522"/>
    <cellStyle name="Note 58" xfId="502"/>
    <cellStyle name="Note 58 10" xfId="6434"/>
    <cellStyle name="Note 58 11" xfId="6937"/>
    <cellStyle name="Note 58 12" xfId="6755"/>
    <cellStyle name="Note 58 2" xfId="5091"/>
    <cellStyle name="Note 58 3" xfId="5092"/>
    <cellStyle name="Note 58 4" xfId="5093"/>
    <cellStyle name="Note 58 5" xfId="5094"/>
    <cellStyle name="Note 58 6" xfId="5095"/>
    <cellStyle name="Note 58 7" xfId="5096"/>
    <cellStyle name="Note 58 8" xfId="5097"/>
    <cellStyle name="Note 58 9" xfId="5098"/>
    <cellStyle name="Note 58_SA1" xfId="5523"/>
    <cellStyle name="Note 59" xfId="503"/>
    <cellStyle name="Note 59 10" xfId="6435"/>
    <cellStyle name="Note 59 11" xfId="6936"/>
    <cellStyle name="Note 59 12" xfId="6756"/>
    <cellStyle name="Note 59 2" xfId="5099"/>
    <cellStyle name="Note 59 3" xfId="5100"/>
    <cellStyle name="Note 59 4" xfId="5101"/>
    <cellStyle name="Note 59 5" xfId="5102"/>
    <cellStyle name="Note 59 6" xfId="5103"/>
    <cellStyle name="Note 59 7" xfId="5104"/>
    <cellStyle name="Note 59 8" xfId="5105"/>
    <cellStyle name="Note 59 9" xfId="5106"/>
    <cellStyle name="Note 59_SA1" xfId="5524"/>
    <cellStyle name="Note 6" xfId="504"/>
    <cellStyle name="Note 6 10" xfId="5107"/>
    <cellStyle name="Note 6 11" xfId="5108"/>
    <cellStyle name="Note 6 12" xfId="5109"/>
    <cellStyle name="Note 6 13" xfId="5110"/>
    <cellStyle name="Note 6 14" xfId="6016"/>
    <cellStyle name="Note 6 14 2" xfId="6520"/>
    <cellStyle name="Note 6 14 3" xfId="6878"/>
    <cellStyle name="Note 6 14 4" xfId="6784"/>
    <cellStyle name="Note 6 15" xfId="6199"/>
    <cellStyle name="Note 6 16" xfId="7141"/>
    <cellStyle name="Note 6 17" xfId="6621"/>
    <cellStyle name="Note 6 2" xfId="1267"/>
    <cellStyle name="Note 6 2 2" xfId="5111"/>
    <cellStyle name="Note 6 2 3" xfId="5112"/>
    <cellStyle name="Note 6 2 4" xfId="5113"/>
    <cellStyle name="Note 6 2 5" xfId="5114"/>
    <cellStyle name="Note 6 2 6" xfId="5115"/>
    <cellStyle name="Note 6 2 7" xfId="5116"/>
    <cellStyle name="Note 6 2 8" xfId="5117"/>
    <cellStyle name="Note 6 2 9" xfId="5118"/>
    <cellStyle name="Note 6 2_SA1" xfId="5525"/>
    <cellStyle name="Note 6 3" xfId="5119"/>
    <cellStyle name="Note 6 3 2" xfId="6017"/>
    <cellStyle name="Note 6 3 3" xfId="6018"/>
    <cellStyle name="Note 6 3 4" xfId="6436"/>
    <cellStyle name="Note 6 3 5" xfId="6935"/>
    <cellStyle name="Note 6 3 6" xfId="6110"/>
    <cellStyle name="Note 6 4" xfId="5120"/>
    <cellStyle name="Note 6 5" xfId="5121"/>
    <cellStyle name="Note 6 6" xfId="5122"/>
    <cellStyle name="Note 6 7" xfId="5123"/>
    <cellStyle name="Note 6 8" xfId="5124"/>
    <cellStyle name="Note 6 9" xfId="5125"/>
    <cellStyle name="Note 6_A7-CFlow" xfId="1266"/>
    <cellStyle name="Note 60" xfId="505"/>
    <cellStyle name="Note 60 10" xfId="6437"/>
    <cellStyle name="Note 60 11" xfId="6934"/>
    <cellStyle name="Note 60 12" xfId="6757"/>
    <cellStyle name="Note 60 2" xfId="5126"/>
    <cellStyle name="Note 60 3" xfId="5127"/>
    <cellStyle name="Note 60 4" xfId="5128"/>
    <cellStyle name="Note 60 5" xfId="5129"/>
    <cellStyle name="Note 60 6" xfId="5130"/>
    <cellStyle name="Note 60 7" xfId="5131"/>
    <cellStyle name="Note 60 8" xfId="5132"/>
    <cellStyle name="Note 60 9" xfId="5133"/>
    <cellStyle name="Note 60_SA1" xfId="5526"/>
    <cellStyle name="Note 61" xfId="506"/>
    <cellStyle name="Note 61 10" xfId="6438"/>
    <cellStyle name="Note 61 11" xfId="6933"/>
    <cellStyle name="Note 61 12" xfId="6758"/>
    <cellStyle name="Note 61 2" xfId="5134"/>
    <cellStyle name="Note 61 3" xfId="5135"/>
    <cellStyle name="Note 61 4" xfId="5136"/>
    <cellStyle name="Note 61 5" xfId="5137"/>
    <cellStyle name="Note 61 6" xfId="5138"/>
    <cellStyle name="Note 61 7" xfId="5139"/>
    <cellStyle name="Note 61 8" xfId="5140"/>
    <cellStyle name="Note 61 9" xfId="5141"/>
    <cellStyle name="Note 61_SA1" xfId="5527"/>
    <cellStyle name="Note 62" xfId="507"/>
    <cellStyle name="Note 62 10" xfId="6439"/>
    <cellStyle name="Note 62 11" xfId="6932"/>
    <cellStyle name="Note 62 12" xfId="6759"/>
    <cellStyle name="Note 62 2" xfId="5142"/>
    <cellStyle name="Note 62 3" xfId="5143"/>
    <cellStyle name="Note 62 4" xfId="5144"/>
    <cellStyle name="Note 62 5" xfId="5145"/>
    <cellStyle name="Note 62 6" xfId="5146"/>
    <cellStyle name="Note 62 7" xfId="5147"/>
    <cellStyle name="Note 62 8" xfId="5148"/>
    <cellStyle name="Note 62 9" xfId="5149"/>
    <cellStyle name="Note 62_SA1" xfId="5528"/>
    <cellStyle name="Note 63" xfId="508"/>
    <cellStyle name="Note 63 10" xfId="6440"/>
    <cellStyle name="Note 63 11" xfId="6931"/>
    <cellStyle name="Note 63 12" xfId="6760"/>
    <cellStyle name="Note 63 2" xfId="5150"/>
    <cellStyle name="Note 63 3" xfId="5151"/>
    <cellStyle name="Note 63 4" xfId="5152"/>
    <cellStyle name="Note 63 5" xfId="5153"/>
    <cellStyle name="Note 63 6" xfId="5154"/>
    <cellStyle name="Note 63 7" xfId="5155"/>
    <cellStyle name="Note 63 8" xfId="5156"/>
    <cellStyle name="Note 63 9" xfId="5157"/>
    <cellStyle name="Note 63_SA1" xfId="5529"/>
    <cellStyle name="Note 64" xfId="509"/>
    <cellStyle name="Note 64 2" xfId="5158"/>
    <cellStyle name="Note 64 2 2" xfId="5159"/>
    <cellStyle name="Note 64 2_Sheet1" xfId="5160"/>
    <cellStyle name="Note 64 3" xfId="5161"/>
    <cellStyle name="Note 64 4" xfId="5162"/>
    <cellStyle name="Note 64 5" xfId="6441"/>
    <cellStyle name="Note 64 6" xfId="6930"/>
    <cellStyle name="Note 64 7" xfId="6761"/>
    <cellStyle name="Note 64_SA1" xfId="5530"/>
    <cellStyle name="Note 65" xfId="510"/>
    <cellStyle name="Note 65 2" xfId="5163"/>
    <cellStyle name="Note 65 2 2" xfId="5164"/>
    <cellStyle name="Note 65 2_Sheet1" xfId="5165"/>
    <cellStyle name="Note 65 3" xfId="5166"/>
    <cellStyle name="Note 65 4" xfId="6442"/>
    <cellStyle name="Note 65 5" xfId="6929"/>
    <cellStyle name="Note 65 6" xfId="6762"/>
    <cellStyle name="Note 65_SA1" xfId="5531"/>
    <cellStyle name="Note 66" xfId="511"/>
    <cellStyle name="Note 66 2" xfId="5167"/>
    <cellStyle name="Note 66 3" xfId="5168"/>
    <cellStyle name="Note 66 4" xfId="5169"/>
    <cellStyle name="Note 66 5" xfId="5170"/>
    <cellStyle name="Note 66 6" xfId="5171"/>
    <cellStyle name="Note 66 7" xfId="6443"/>
    <cellStyle name="Note 66 8" xfId="6928"/>
    <cellStyle name="Note 66 9" xfId="6763"/>
    <cellStyle name="Note 66_SA1" xfId="5532"/>
    <cellStyle name="Note 67" xfId="512"/>
    <cellStyle name="Note 67 2" xfId="5172"/>
    <cellStyle name="Note 67 3" xfId="6444"/>
    <cellStyle name="Note 67 4" xfId="6927"/>
    <cellStyle name="Note 67 5" xfId="6764"/>
    <cellStyle name="Note 67_SA1" xfId="5533"/>
    <cellStyle name="Note 68" xfId="513"/>
    <cellStyle name="Note 68 2" xfId="5173"/>
    <cellStyle name="Note 68 3" xfId="5174"/>
    <cellStyle name="Note 68 4" xfId="5175"/>
    <cellStyle name="Note 68 5" xfId="5176"/>
    <cellStyle name="Note 68 6" xfId="5177"/>
    <cellStyle name="Note 68 7" xfId="6445"/>
    <cellStyle name="Note 68 8" xfId="6926"/>
    <cellStyle name="Note 68 9" xfId="6765"/>
    <cellStyle name="Note 68_SA1" xfId="5534"/>
    <cellStyle name="Note 69" xfId="514"/>
    <cellStyle name="Note 69 2" xfId="5178"/>
    <cellStyle name="Note 69 3" xfId="5179"/>
    <cellStyle name="Note 69 4" xfId="5180"/>
    <cellStyle name="Note 69 5" xfId="5181"/>
    <cellStyle name="Note 69 6" xfId="5182"/>
    <cellStyle name="Note 69 7" xfId="6446"/>
    <cellStyle name="Note 69 8" xfId="6925"/>
    <cellStyle name="Note 69 9" xfId="6111"/>
    <cellStyle name="Note 69_SA1" xfId="5535"/>
    <cellStyle name="Note 7" xfId="515"/>
    <cellStyle name="Note 7 10" xfId="5183"/>
    <cellStyle name="Note 7 11" xfId="5184"/>
    <cellStyle name="Note 7 12" xfId="5185"/>
    <cellStyle name="Note 7 13" xfId="5186"/>
    <cellStyle name="Note 7 14" xfId="6019"/>
    <cellStyle name="Note 7 14 2" xfId="6519"/>
    <cellStyle name="Note 7 14 3" xfId="6879"/>
    <cellStyle name="Note 7 14 4" xfId="6783"/>
    <cellStyle name="Note 7 15" xfId="6200"/>
    <cellStyle name="Note 7 16" xfId="7229"/>
    <cellStyle name="Note 7 17" xfId="7327"/>
    <cellStyle name="Note 7 2" xfId="1269"/>
    <cellStyle name="Note 7 2 2" xfId="5187"/>
    <cellStyle name="Note 7 2 3" xfId="5188"/>
    <cellStyle name="Note 7 2 4" xfId="5189"/>
    <cellStyle name="Note 7 2 5" xfId="5190"/>
    <cellStyle name="Note 7 2 6" xfId="5191"/>
    <cellStyle name="Note 7 2 7" xfId="5192"/>
    <cellStyle name="Note 7 2 8" xfId="5193"/>
    <cellStyle name="Note 7 2 9" xfId="5194"/>
    <cellStyle name="Note 7 2_SA1" xfId="5536"/>
    <cellStyle name="Note 7 3" xfId="5195"/>
    <cellStyle name="Note 7 3 2" xfId="6020"/>
    <cellStyle name="Note 7 3 3" xfId="6021"/>
    <cellStyle name="Note 7 3 4" xfId="6447"/>
    <cellStyle name="Note 7 3 5" xfId="6924"/>
    <cellStyle name="Note 7 3 6" xfId="6112"/>
    <cellStyle name="Note 7 4" xfId="5196"/>
    <cellStyle name="Note 7 5" xfId="5197"/>
    <cellStyle name="Note 7 6" xfId="5198"/>
    <cellStyle name="Note 7 7" xfId="5199"/>
    <cellStyle name="Note 7 8" xfId="5200"/>
    <cellStyle name="Note 7 9" xfId="5201"/>
    <cellStyle name="Note 7_A7-CFlow" xfId="1268"/>
    <cellStyle name="Note 70" xfId="5202"/>
    <cellStyle name="Note 71" xfId="5203"/>
    <cellStyle name="Note 72" xfId="6022"/>
    <cellStyle name="Note 72 2" xfId="6501"/>
    <cellStyle name="Note 72 3" xfId="6885"/>
    <cellStyle name="Note 72 4" xfId="6779"/>
    <cellStyle name="Note 8" xfId="516"/>
    <cellStyle name="Note 8 10" xfId="5204"/>
    <cellStyle name="Note 8 11" xfId="5205"/>
    <cellStyle name="Note 8 12" xfId="5206"/>
    <cellStyle name="Note 8 13" xfId="5207"/>
    <cellStyle name="Note 8 14" xfId="6023"/>
    <cellStyle name="Note 8 14 2" xfId="6518"/>
    <cellStyle name="Note 8 14 3" xfId="6880"/>
    <cellStyle name="Note 8 14 4" xfId="7258"/>
    <cellStyle name="Note 8 15" xfId="6201"/>
    <cellStyle name="Note 8 16" xfId="7140"/>
    <cellStyle name="Note 8 17" xfId="6622"/>
    <cellStyle name="Note 8 2" xfId="1271"/>
    <cellStyle name="Note 8 2 2" xfId="5208"/>
    <cellStyle name="Note 8 2 3" xfId="5209"/>
    <cellStyle name="Note 8 2 4" xfId="5210"/>
    <cellStyle name="Note 8 2 5" xfId="5211"/>
    <cellStyle name="Note 8 2 6" xfId="5212"/>
    <cellStyle name="Note 8 2 7" xfId="5213"/>
    <cellStyle name="Note 8 2 8" xfId="5214"/>
    <cellStyle name="Note 8 2 9" xfId="5215"/>
    <cellStyle name="Note 8 2_SA1" xfId="5537"/>
    <cellStyle name="Note 8 3" xfId="5216"/>
    <cellStyle name="Note 8 3 2" xfId="6024"/>
    <cellStyle name="Note 8 3 3" xfId="6025"/>
    <cellStyle name="Note 8 3 4" xfId="6448"/>
    <cellStyle name="Note 8 3 5" xfId="6923"/>
    <cellStyle name="Note 8 3 6" xfId="6113"/>
    <cellStyle name="Note 8 4" xfId="5217"/>
    <cellStyle name="Note 8 5" xfId="5218"/>
    <cellStyle name="Note 8 6" xfId="5219"/>
    <cellStyle name="Note 8 7" xfId="5220"/>
    <cellStyle name="Note 8 8" xfId="5221"/>
    <cellStyle name="Note 8 9" xfId="5222"/>
    <cellStyle name="Note 8_A7-CFlow" xfId="1270"/>
    <cellStyle name="Note 9" xfId="517"/>
    <cellStyle name="Note 9 10" xfId="5223"/>
    <cellStyle name="Note 9 11" xfId="5224"/>
    <cellStyle name="Note 9 12" xfId="5225"/>
    <cellStyle name="Note 9 13" xfId="5226"/>
    <cellStyle name="Note 9 14" xfId="6026"/>
    <cellStyle name="Note 9 14 2" xfId="6517"/>
    <cellStyle name="Note 9 14 3" xfId="6881"/>
    <cellStyle name="Note 9 14 4" xfId="6782"/>
    <cellStyle name="Note 9 15" xfId="6202"/>
    <cellStyle name="Note 9 16" xfId="7139"/>
    <cellStyle name="Note 9 17" xfId="6623"/>
    <cellStyle name="Note 9 2" xfId="5227"/>
    <cellStyle name="Note 9 2 2" xfId="6027"/>
    <cellStyle name="Note 9 2 3" xfId="6028"/>
    <cellStyle name="Note 9 2 4" xfId="6449"/>
    <cellStyle name="Note 9 2 5" xfId="6922"/>
    <cellStyle name="Note 9 2 6" xfId="6766"/>
    <cellStyle name="Note 9 3" xfId="5228"/>
    <cellStyle name="Note 9 4" xfId="5229"/>
    <cellStyle name="Note 9 5" xfId="5230"/>
    <cellStyle name="Note 9 6" xfId="5231"/>
    <cellStyle name="Note 9 7" xfId="5232"/>
    <cellStyle name="Note 9 8" xfId="5233"/>
    <cellStyle name="Note 9 9" xfId="5234"/>
    <cellStyle name="Note 9_A7-CFlow" xfId="1272"/>
    <cellStyle name="Output 10" xfId="1273"/>
    <cellStyle name="Output 11" xfId="1274"/>
    <cellStyle name="Output 12" xfId="1275"/>
    <cellStyle name="Output 13" xfId="1276"/>
    <cellStyle name="Output 14" xfId="5235"/>
    <cellStyle name="Output 15" xfId="5236"/>
    <cellStyle name="Output 16" xfId="5237"/>
    <cellStyle name="Output 17" xfId="6029"/>
    <cellStyle name="Output 17 2" xfId="6505"/>
    <cellStyle name="Output 17 3" xfId="6884"/>
    <cellStyle name="Output 17 4" xfId="6510"/>
    <cellStyle name="Output 2" xfId="518"/>
    <cellStyle name="Output 2 2" xfId="519"/>
    <cellStyle name="Output 2 2 2" xfId="520"/>
    <cellStyle name="Output 2 2 2 2" xfId="521"/>
    <cellStyle name="Output 2 2 2 3" xfId="522"/>
    <cellStyle name="Output 2 2 2 4" xfId="523"/>
    <cellStyle name="Output 2 2 2_SA1" xfId="5540"/>
    <cellStyle name="Output 2 2 3" xfId="524"/>
    <cellStyle name="Output 2 2 4" xfId="525"/>
    <cellStyle name="Output 2 2 5" xfId="526"/>
    <cellStyle name="Output 2 2_SA1" xfId="5539"/>
    <cellStyle name="Output 2 3" xfId="527"/>
    <cellStyle name="Output 2 3 2" xfId="528"/>
    <cellStyle name="Output 2 3 2 2" xfId="529"/>
    <cellStyle name="Output 2 3 2 3" xfId="530"/>
    <cellStyle name="Output 2 3 2 4" xfId="531"/>
    <cellStyle name="Output 2 3 2_SA1" xfId="5542"/>
    <cellStyle name="Output 2 3 3" xfId="532"/>
    <cellStyle name="Output 2 3 4" xfId="533"/>
    <cellStyle name="Output 2 3 5" xfId="534"/>
    <cellStyle name="Output 2 3_SA1" xfId="5541"/>
    <cellStyle name="Output 2 4" xfId="535"/>
    <cellStyle name="Output 2 4 2" xfId="536"/>
    <cellStyle name="Output 2 4 3" xfId="537"/>
    <cellStyle name="Output 2 4 4" xfId="538"/>
    <cellStyle name="Output 2 4_SA1" xfId="5543"/>
    <cellStyle name="Output 2 5" xfId="539"/>
    <cellStyle name="Output 2 6" xfId="540"/>
    <cellStyle name="Output 2 7" xfId="541"/>
    <cellStyle name="Output 2_SA1" xfId="5538"/>
    <cellStyle name="Output 3" xfId="542"/>
    <cellStyle name="Output 3 10" xfId="5238"/>
    <cellStyle name="Output 3 11" xfId="5239"/>
    <cellStyle name="Output 3 12" xfId="5240"/>
    <cellStyle name="Output 3 13" xfId="5241"/>
    <cellStyle name="Output 3 2" xfId="543"/>
    <cellStyle name="Output 3 2 2" xfId="544"/>
    <cellStyle name="Output 3 2 2 2" xfId="545"/>
    <cellStyle name="Output 3 2 2 3" xfId="546"/>
    <cellStyle name="Output 3 2 2 4" xfId="547"/>
    <cellStyle name="Output 3 2 2_SA1" xfId="5546"/>
    <cellStyle name="Output 3 2 3" xfId="548"/>
    <cellStyle name="Output 3 2 4" xfId="549"/>
    <cellStyle name="Output 3 2 5" xfId="550"/>
    <cellStyle name="Output 3 2_SA1" xfId="5545"/>
    <cellStyle name="Output 3 3" xfId="551"/>
    <cellStyle name="Output 3 3 2" xfId="552"/>
    <cellStyle name="Output 3 3 3" xfId="553"/>
    <cellStyle name="Output 3 3 4" xfId="554"/>
    <cellStyle name="Output 3 3_SA1" xfId="5547"/>
    <cellStyle name="Output 3 4" xfId="555"/>
    <cellStyle name="Output 3 5" xfId="556"/>
    <cellStyle name="Output 3 6" xfId="557"/>
    <cellStyle name="Output 3 7" xfId="5242"/>
    <cellStyle name="Output 3 8" xfId="5243"/>
    <cellStyle name="Output 3 9" xfId="5244"/>
    <cellStyle name="Output 3_SA1" xfId="5544"/>
    <cellStyle name="Output 4" xfId="1277"/>
    <cellStyle name="Output 5" xfId="1278"/>
    <cellStyle name="Output 5 2" xfId="5245"/>
    <cellStyle name="Output 5 3" xfId="5246"/>
    <cellStyle name="Output 5 4" xfId="5247"/>
    <cellStyle name="Output 5 5" xfId="5248"/>
    <cellStyle name="Output 5 6" xfId="5249"/>
    <cellStyle name="Output 5 7" xfId="5250"/>
    <cellStyle name="Output 5 8" xfId="5251"/>
    <cellStyle name="Output 5 9" xfId="5252"/>
    <cellStyle name="Output 5_SA1" xfId="5548"/>
    <cellStyle name="Output 6" xfId="1279"/>
    <cellStyle name="Output 7" xfId="1280"/>
    <cellStyle name="Output 8" xfId="1281"/>
    <cellStyle name="Output 9" xfId="1282"/>
    <cellStyle name="Percent" xfId="12" builtinId="5"/>
    <cellStyle name="Percent [0]" xfId="5253"/>
    <cellStyle name="Percent [00]" xfId="5254"/>
    <cellStyle name="Percent [2]" xfId="5255"/>
    <cellStyle name="Percent 10" xfId="1283"/>
    <cellStyle name="Percent 10 10" xfId="5256"/>
    <cellStyle name="Percent 10 2" xfId="13"/>
    <cellStyle name="Percent 10 2 2" xfId="14"/>
    <cellStyle name="Percent 10 2 2 2" xfId="20"/>
    <cellStyle name="Percent 10 2 2 3" xfId="6204"/>
    <cellStyle name="Percent 10 2 2 4" xfId="7137"/>
    <cellStyle name="Percent 10 2 2 5" xfId="6625"/>
    <cellStyle name="Percent 10 2 2_SA1" xfId="5551"/>
    <cellStyle name="Percent 10 2 3" xfId="19"/>
    <cellStyle name="Percent 10 2 4" xfId="6203"/>
    <cellStyle name="Percent 10 2 5" xfId="7138"/>
    <cellStyle name="Percent 10 2 6" xfId="6624"/>
    <cellStyle name="Percent 10 2_SA1" xfId="5550"/>
    <cellStyle name="Percent 10 3" xfId="5257"/>
    <cellStyle name="Percent 10 4" xfId="5258"/>
    <cellStyle name="Percent 10 5" xfId="5259"/>
    <cellStyle name="Percent 10 6" xfId="5260"/>
    <cellStyle name="Percent 10 7" xfId="5261"/>
    <cellStyle name="Percent 10 8" xfId="5262"/>
    <cellStyle name="Percent 10 9" xfId="5263"/>
    <cellStyle name="Percent 10_SA1" xfId="5549"/>
    <cellStyle name="Percent 11" xfId="1284"/>
    <cellStyle name="Percent 11 2" xfId="5264"/>
    <cellStyle name="Percent 11 3" xfId="5265"/>
    <cellStyle name="Percent 11 4" xfId="5266"/>
    <cellStyle name="Percent 11 5" xfId="5267"/>
    <cellStyle name="Percent 11 6" xfId="5268"/>
    <cellStyle name="Percent 11 7" xfId="5269"/>
    <cellStyle name="Percent 11 8" xfId="5270"/>
    <cellStyle name="Percent 11 9" xfId="5271"/>
    <cellStyle name="Percent 11_SA1" xfId="5552"/>
    <cellStyle name="Percent 12" xfId="5272"/>
    <cellStyle name="Percent 12 2" xfId="6030"/>
    <cellStyle name="Percent 12 3" xfId="6031"/>
    <cellStyle name="Percent 13" xfId="5273"/>
    <cellStyle name="Percent 14" xfId="5274"/>
    <cellStyle name="Percent 15" xfId="5275"/>
    <cellStyle name="Percent 16" xfId="5276"/>
    <cellStyle name="Percent 17" xfId="5277"/>
    <cellStyle name="Percent 18" xfId="5278"/>
    <cellStyle name="Percent 19" xfId="5279"/>
    <cellStyle name="Percent 2" xfId="15"/>
    <cellStyle name="Percent 2 10" xfId="558"/>
    <cellStyle name="Percent 2 11" xfId="559"/>
    <cellStyle name="Percent 2 12" xfId="560"/>
    <cellStyle name="Percent 2 12 2" xfId="5280"/>
    <cellStyle name="Percent 2 12 3" xfId="5281"/>
    <cellStyle name="Percent 2 12 4" xfId="5282"/>
    <cellStyle name="Percent 2 12 5" xfId="5283"/>
    <cellStyle name="Percent 2 12 6" xfId="5284"/>
    <cellStyle name="Percent 2 12_SA1" xfId="5554"/>
    <cellStyle name="Percent 2 13" xfId="561"/>
    <cellStyle name="Percent 2 14" xfId="5285"/>
    <cellStyle name="Percent 2 15" xfId="5286"/>
    <cellStyle name="Percent 2 16" xfId="5287"/>
    <cellStyle name="Percent 2 17" xfId="5288"/>
    <cellStyle name="Percent 2 18" xfId="5289"/>
    <cellStyle name="Percent 2 19" xfId="5290"/>
    <cellStyle name="Percent 2 2" xfId="562"/>
    <cellStyle name="Percent 2 20" xfId="5291"/>
    <cellStyle name="Percent 2 21" xfId="5292"/>
    <cellStyle name="Percent 2 22" xfId="5293"/>
    <cellStyle name="Percent 2 23" xfId="5294"/>
    <cellStyle name="Percent 2 24" xfId="5295"/>
    <cellStyle name="Percent 2 25" xfId="5296"/>
    <cellStyle name="Percent 2 26" xfId="5297"/>
    <cellStyle name="Percent 2 27" xfId="5298"/>
    <cellStyle name="Percent 2 28" xfId="5299"/>
    <cellStyle name="Percent 2 29" xfId="5300"/>
    <cellStyle name="Percent 2 3" xfId="563"/>
    <cellStyle name="Percent 2 30" xfId="5301"/>
    <cellStyle name="Percent 2 31" xfId="5302"/>
    <cellStyle name="Percent 2 32" xfId="5303"/>
    <cellStyle name="Percent 2 33" xfId="5304"/>
    <cellStyle name="Percent 2 34" xfId="5305"/>
    <cellStyle name="Percent 2 35" xfId="5306"/>
    <cellStyle name="Percent 2 36" xfId="5307"/>
    <cellStyle name="Percent 2 37" xfId="5595"/>
    <cellStyle name="Percent 2 38" xfId="5596"/>
    <cellStyle name="Percent 2 4" xfId="564"/>
    <cellStyle name="Percent 2 5" xfId="565"/>
    <cellStyle name="Percent 2 6" xfId="566"/>
    <cellStyle name="Percent 2 7" xfId="567"/>
    <cellStyle name="Percent 2 8" xfId="568"/>
    <cellStyle name="Percent 2 9" xfId="569"/>
    <cellStyle name="Percent 2_SA1" xfId="5553"/>
    <cellStyle name="Percent 20" xfId="5308"/>
    <cellStyle name="Percent 21" xfId="5309"/>
    <cellStyle name="Percent 22" xfId="5597"/>
    <cellStyle name="Percent 23" xfId="5598"/>
    <cellStyle name="Percent 24" xfId="6032"/>
    <cellStyle name="Percent 25" xfId="6033"/>
    <cellStyle name="Percent 3" xfId="17"/>
    <cellStyle name="Percent 3 10" xfId="5310"/>
    <cellStyle name="Percent 3 2" xfId="1285"/>
    <cellStyle name="Percent 3 3" xfId="5311"/>
    <cellStyle name="Percent 3 4" xfId="5312"/>
    <cellStyle name="Percent 3 5" xfId="5313"/>
    <cellStyle name="Percent 3 6" xfId="5314"/>
    <cellStyle name="Percent 3 7" xfId="5315"/>
    <cellStyle name="Percent 3 8" xfId="5316"/>
    <cellStyle name="Percent 3 9" xfId="5317"/>
    <cellStyle name="Percent 3_SA1" xfId="5555"/>
    <cellStyle name="Percent 4" xfId="16"/>
    <cellStyle name="Percent 4 2" xfId="1286"/>
    <cellStyle name="Percent 4_SA1" xfId="5556"/>
    <cellStyle name="Percent 5" xfId="570"/>
    <cellStyle name="Percent 5 10" xfId="7136"/>
    <cellStyle name="Percent 5 11" xfId="6626"/>
    <cellStyle name="Percent 5 2" xfId="1287"/>
    <cellStyle name="Percent 5 3" xfId="5318"/>
    <cellStyle name="Percent 5 3 2" xfId="6034"/>
    <cellStyle name="Percent 5 3 3" xfId="6035"/>
    <cellStyle name="Percent 5 3 4" xfId="6462"/>
    <cellStyle name="Percent 5 3 5" xfId="6909"/>
    <cellStyle name="Percent 5 3 6" xfId="6775"/>
    <cellStyle name="Percent 5 4" xfId="5319"/>
    <cellStyle name="Percent 5 5" xfId="5320"/>
    <cellStyle name="Percent 5 6" xfId="5321"/>
    <cellStyle name="Percent 5 7" xfId="5322"/>
    <cellStyle name="Percent 5 8" xfId="6036"/>
    <cellStyle name="Percent 5 8 2" xfId="6516"/>
    <cellStyle name="Percent 5 8 3" xfId="6882"/>
    <cellStyle name="Percent 5 8 4" xfId="6781"/>
    <cellStyle name="Percent 5 9" xfId="6205"/>
    <cellStyle name="Percent 5_SA1" xfId="5557"/>
    <cellStyle name="Percent 6" xfId="571"/>
    <cellStyle name="Percent 6 10" xfId="7135"/>
    <cellStyle name="Percent 6 11" xfId="6064"/>
    <cellStyle name="Percent 6 2" xfId="1288"/>
    <cellStyle name="Percent 6 3" xfId="5323"/>
    <cellStyle name="Percent 6 3 2" xfId="6037"/>
    <cellStyle name="Percent 6 3 3" xfId="6038"/>
    <cellStyle name="Percent 6 3 4" xfId="6463"/>
    <cellStyle name="Percent 6 3 5" xfId="6908"/>
    <cellStyle name="Percent 6 3 6" xfId="6776"/>
    <cellStyle name="Percent 6 4" xfId="5324"/>
    <cellStyle name="Percent 6 5" xfId="5325"/>
    <cellStyle name="Percent 6 6" xfId="5326"/>
    <cellStyle name="Percent 6 7" xfId="5327"/>
    <cellStyle name="Percent 6 8" xfId="6039"/>
    <cellStyle name="Percent 6 8 2" xfId="6515"/>
    <cellStyle name="Percent 6 8 3" xfId="7264"/>
    <cellStyle name="Percent 6 8 4" xfId="7341"/>
    <cellStyle name="Percent 6 9" xfId="6206"/>
    <cellStyle name="Percent 6_SA1" xfId="5558"/>
    <cellStyle name="Percent 7" xfId="572"/>
    <cellStyle name="Percent 7 2" xfId="1289"/>
    <cellStyle name="Percent 7_SA1" xfId="5559"/>
    <cellStyle name="Percent 8" xfId="573"/>
    <cellStyle name="Percent 8 10" xfId="7134"/>
    <cellStyle name="Percent 8 11" xfId="6627"/>
    <cellStyle name="Percent 8 2" xfId="1290"/>
    <cellStyle name="Percent 8 3" xfId="5328"/>
    <cellStyle name="Percent 8 3 2" xfId="6040"/>
    <cellStyle name="Percent 8 3 3" xfId="6041"/>
    <cellStyle name="Percent 8 3 4" xfId="6465"/>
    <cellStyle name="Percent 8 3 5" xfId="6906"/>
    <cellStyle name="Percent 8 3 6" xfId="6120"/>
    <cellStyle name="Percent 8 4" xfId="5329"/>
    <cellStyle name="Percent 8 5" xfId="5330"/>
    <cellStyle name="Percent 8 6" xfId="5331"/>
    <cellStyle name="Percent 8 7" xfId="5332"/>
    <cellStyle name="Percent 8 8" xfId="6042"/>
    <cellStyle name="Percent 8 8 2" xfId="6310"/>
    <cellStyle name="Percent 8 8 3" xfId="7044"/>
    <cellStyle name="Percent 8 8 4" xfId="6682"/>
    <cellStyle name="Percent 8 9" xfId="6207"/>
    <cellStyle name="Percent 8_SA1" xfId="5560"/>
    <cellStyle name="Percent 9" xfId="574"/>
    <cellStyle name="Percent 9 10" xfId="5333"/>
    <cellStyle name="Percent 9 2" xfId="5334"/>
    <cellStyle name="Percent 9 3" xfId="5335"/>
    <cellStyle name="Percent 9 4" xfId="5336"/>
    <cellStyle name="Percent 9 5" xfId="5337"/>
    <cellStyle name="Percent 9 6" xfId="5338"/>
    <cellStyle name="Percent 9 7" xfId="5339"/>
    <cellStyle name="Percent 9 8" xfId="5340"/>
    <cellStyle name="Percent 9 9" xfId="5341"/>
    <cellStyle name="Percent 9_SA1" xfId="5561"/>
    <cellStyle name="PrePop Currency (0)" xfId="5342"/>
    <cellStyle name="PrePop Currency (2)" xfId="5343"/>
    <cellStyle name="PrePop Units (0)" xfId="5344"/>
    <cellStyle name="PrePop Units (1)" xfId="5345"/>
    <cellStyle name="PrePop Units (2)" xfId="5346"/>
    <cellStyle name="Reset  - Style7" xfId="575"/>
    <cellStyle name="rf20" xfId="5347"/>
    <cellStyle name="rf5" xfId="5348"/>
    <cellStyle name="rf6" xfId="5349"/>
    <cellStyle name="rf7" xfId="5350"/>
    <cellStyle name="rf8" xfId="5351"/>
    <cellStyle name="rs5" xfId="5352"/>
    <cellStyle name="Table  - Style6" xfId="576"/>
    <cellStyle name="Table  - Style6 2" xfId="577"/>
    <cellStyle name="Table  - Style6 3" xfId="578"/>
    <cellStyle name="Table  - Style6 4" xfId="579"/>
    <cellStyle name="Table  - Style6 5" xfId="580"/>
    <cellStyle name="Table  - Style6_SA1" xfId="5562"/>
    <cellStyle name="Text Indent A" xfId="5353"/>
    <cellStyle name="Text Indent B" xfId="5354"/>
    <cellStyle name="Text Indent C" xfId="5355"/>
    <cellStyle name="Title  - Style1" xfId="581"/>
    <cellStyle name="Title 10" xfId="1291"/>
    <cellStyle name="Title 11" xfId="1292"/>
    <cellStyle name="Title 12" xfId="1293"/>
    <cellStyle name="Title 13" xfId="1294"/>
    <cellStyle name="Title 14" xfId="5356"/>
    <cellStyle name="Title 15" xfId="5357"/>
    <cellStyle name="Title 16" xfId="5358"/>
    <cellStyle name="Title 17" xfId="6043"/>
    <cellStyle name="Title 17 2" xfId="6506"/>
    <cellStyle name="Title 17 3" xfId="6883"/>
    <cellStyle name="Title 17 4" xfId="6780"/>
    <cellStyle name="Title 2" xfId="582"/>
    <cellStyle name="Title 2 2" xfId="1295"/>
    <cellStyle name="Title 2 3" xfId="1296"/>
    <cellStyle name="Title 2 4" xfId="1297"/>
    <cellStyle name="Title 2 5" xfId="1298"/>
    <cellStyle name="Title 2 6" xfId="1299"/>
    <cellStyle name="Title 2 7" xfId="1300"/>
    <cellStyle name="Title 2_SA1" xfId="5563"/>
    <cellStyle name="Title 3" xfId="1301"/>
    <cellStyle name="Title 3 2" xfId="5359"/>
    <cellStyle name="Title 3 3" xfId="5360"/>
    <cellStyle name="Title 3 4" xfId="5361"/>
    <cellStyle name="Title 3 5" xfId="5362"/>
    <cellStyle name="Title 3 6" xfId="5363"/>
    <cellStyle name="Title 3 7" xfId="5364"/>
    <cellStyle name="Title 3 8" xfId="5365"/>
    <cellStyle name="Title 3 9" xfId="5366"/>
    <cellStyle name="Title 3_SA1" xfId="5564"/>
    <cellStyle name="Title 4" xfId="1302"/>
    <cellStyle name="Title 5" xfId="1303"/>
    <cellStyle name="Title 5 2" xfId="5367"/>
    <cellStyle name="Title 5 3" xfId="5368"/>
    <cellStyle name="Title 5 4" xfId="5369"/>
    <cellStyle name="Title 5 5" xfId="5370"/>
    <cellStyle name="Title 5 6" xfId="5371"/>
    <cellStyle name="Title 5 7" xfId="5372"/>
    <cellStyle name="Title 5 8" xfId="5373"/>
    <cellStyle name="Title 5 9" xfId="5374"/>
    <cellStyle name="Title 5_SA1" xfId="5565"/>
    <cellStyle name="Title 6" xfId="1304"/>
    <cellStyle name="Title 7" xfId="1305"/>
    <cellStyle name="Title 8" xfId="1306"/>
    <cellStyle name="Title 9" xfId="1307"/>
    <cellStyle name="Total 10" xfId="1308"/>
    <cellStyle name="Total 11" xfId="1309"/>
    <cellStyle name="Total 12" xfId="1310"/>
    <cellStyle name="Total 13" xfId="1311"/>
    <cellStyle name="Total 14" xfId="5375"/>
    <cellStyle name="Total 15" xfId="5376"/>
    <cellStyle name="Total 16" xfId="5377"/>
    <cellStyle name="Total 17" xfId="6044"/>
    <cellStyle name="Total 17 2" xfId="7277"/>
    <cellStyle name="Total 17 3" xfId="7347"/>
    <cellStyle name="Total 17 4" xfId="7350"/>
    <cellStyle name="Total 2" xfId="583"/>
    <cellStyle name="Total 2 10" xfId="5378"/>
    <cellStyle name="Total 2 11" xfId="5379"/>
    <cellStyle name="Total 2 12" xfId="5380"/>
    <cellStyle name="Total 2 13" xfId="5381"/>
    <cellStyle name="Total 2 14" xfId="5382"/>
    <cellStyle name="Total 2 15" xfId="5383"/>
    <cellStyle name="Total 2 2" xfId="584"/>
    <cellStyle name="Total 2 2 2" xfId="585"/>
    <cellStyle name="Total 2 2 2 2" xfId="586"/>
    <cellStyle name="Total 2 2 2 3" xfId="587"/>
    <cellStyle name="Total 2 2 2 4" xfId="588"/>
    <cellStyle name="Total 2 2 2_SA1" xfId="5568"/>
    <cellStyle name="Total 2 2 3" xfId="589"/>
    <cellStyle name="Total 2 2 4" xfId="590"/>
    <cellStyle name="Total 2 2 5" xfId="591"/>
    <cellStyle name="Total 2 2_SA1" xfId="5567"/>
    <cellStyle name="Total 2 3" xfId="592"/>
    <cellStyle name="Total 2 3 2" xfId="593"/>
    <cellStyle name="Total 2 3 2 2" xfId="594"/>
    <cellStyle name="Total 2 3 2 3" xfId="595"/>
    <cellStyle name="Total 2 3 2 4" xfId="596"/>
    <cellStyle name="Total 2 3 2_SA1" xfId="5570"/>
    <cellStyle name="Total 2 3 3" xfId="597"/>
    <cellStyle name="Total 2 3 4" xfId="598"/>
    <cellStyle name="Total 2 3 5" xfId="599"/>
    <cellStyle name="Total 2 3_SA1" xfId="5569"/>
    <cellStyle name="Total 2 4" xfId="600"/>
    <cellStyle name="Total 2 4 2" xfId="601"/>
    <cellStyle name="Total 2 4 3" xfId="602"/>
    <cellStyle name="Total 2 4 4" xfId="603"/>
    <cellStyle name="Total 2 4_SA1" xfId="5571"/>
    <cellStyle name="Total 2 5" xfId="604"/>
    <cellStyle name="Total 2 6" xfId="605"/>
    <cellStyle name="Total 2 7" xfId="606"/>
    <cellStyle name="Total 2 8" xfId="5384"/>
    <cellStyle name="Total 2 9" xfId="5385"/>
    <cellStyle name="Total 2_SA1" xfId="5566"/>
    <cellStyle name="Total 3" xfId="607"/>
    <cellStyle name="Total 3 2" xfId="608"/>
    <cellStyle name="Total 3 2 2" xfId="609"/>
    <cellStyle name="Total 3 2 2 2" xfId="610"/>
    <cellStyle name="Total 3 2 2 3" xfId="611"/>
    <cellStyle name="Total 3 2 2 4" xfId="612"/>
    <cellStyle name="Total 3 2 2_SA1" xfId="5574"/>
    <cellStyle name="Total 3 2 3" xfId="613"/>
    <cellStyle name="Total 3 2 4" xfId="614"/>
    <cellStyle name="Total 3 2 5" xfId="615"/>
    <cellStyle name="Total 3 2_SA1" xfId="5573"/>
    <cellStyle name="Total 3 3" xfId="616"/>
    <cellStyle name="Total 3 3 2" xfId="617"/>
    <cellStyle name="Total 3 3 3" xfId="618"/>
    <cellStyle name="Total 3 3 4" xfId="619"/>
    <cellStyle name="Total 3 3_SA1" xfId="5575"/>
    <cellStyle name="Total 3 4" xfId="620"/>
    <cellStyle name="Total 3 5" xfId="621"/>
    <cellStyle name="Total 3 6" xfId="622"/>
    <cellStyle name="Total 3_SA1" xfId="5572"/>
    <cellStyle name="Total 4" xfId="1312"/>
    <cellStyle name="Total 4 2" xfId="5386"/>
    <cellStyle name="Total 4 3" xfId="5387"/>
    <cellStyle name="Total 4 4" xfId="5388"/>
    <cellStyle name="Total 4 5" xfId="5389"/>
    <cellStyle name="Total 4 6" xfId="5390"/>
    <cellStyle name="Total 4 7" xfId="5391"/>
    <cellStyle name="Total 4 8" xfId="5392"/>
    <cellStyle name="Total 4 9" xfId="5393"/>
    <cellStyle name="Total 4_SA1" xfId="5576"/>
    <cellStyle name="Total 5" xfId="1313"/>
    <cellStyle name="Total 6" xfId="1314"/>
    <cellStyle name="Total 6 2" xfId="5394"/>
    <cellStyle name="Total 6 3" xfId="5395"/>
    <cellStyle name="Total 6 4" xfId="5396"/>
    <cellStyle name="Total 6 5" xfId="5397"/>
    <cellStyle name="Total 6 6" xfId="5398"/>
    <cellStyle name="Total 6 7" xfId="5399"/>
    <cellStyle name="Total 6 8" xfId="5400"/>
    <cellStyle name="Total 6 9" xfId="5401"/>
    <cellStyle name="Total 6_SA1" xfId="5577"/>
    <cellStyle name="Total 7" xfId="1315"/>
    <cellStyle name="Total 8" xfId="1316"/>
    <cellStyle name="Total 9" xfId="1317"/>
    <cellStyle name="TotCol - Style5" xfId="623"/>
    <cellStyle name="TotCol - Style5 2" xfId="5402"/>
    <cellStyle name="TotCol - Style5 3" xfId="5403"/>
    <cellStyle name="TotCol - Style5_SA1" xfId="5578"/>
    <cellStyle name="TotRow - Style4" xfId="624"/>
    <cellStyle name="TotRow - Style4 2" xfId="625"/>
    <cellStyle name="TotRow - Style4 3" xfId="626"/>
    <cellStyle name="TotRow - Style4 4" xfId="627"/>
    <cellStyle name="TotRow - Style4 5" xfId="628"/>
    <cellStyle name="TotRow - Style4_SA1" xfId="5579"/>
    <cellStyle name="Warning Text 10" xfId="1318"/>
    <cellStyle name="Warning Text 11" xfId="1319"/>
    <cellStyle name="Warning Text 12" xfId="1320"/>
    <cellStyle name="Warning Text 13" xfId="1321"/>
    <cellStyle name="Warning Text 14" xfId="5404"/>
    <cellStyle name="Warning Text 15" xfId="5405"/>
    <cellStyle name="Warning Text 16" xfId="5406"/>
    <cellStyle name="Warning Text 17" xfId="6045"/>
    <cellStyle name="Warning Text 17 2" xfId="7272"/>
    <cellStyle name="Warning Text 17 3" xfId="7346"/>
    <cellStyle name="Warning Text 17 4" xfId="7349"/>
    <cellStyle name="Warning Text 2" xfId="629"/>
    <cellStyle name="Warning Text 2 2" xfId="1322"/>
    <cellStyle name="Warning Text 2 3" xfId="1323"/>
    <cellStyle name="Warning Text 2 4" xfId="1324"/>
    <cellStyle name="Warning Text 2 5" xfId="1325"/>
    <cellStyle name="Warning Text 2 6" xfId="1326"/>
    <cellStyle name="Warning Text 2 7" xfId="1327"/>
    <cellStyle name="Warning Text 2_SA1" xfId="5580"/>
    <cellStyle name="Warning Text 3" xfId="1328"/>
    <cellStyle name="Warning Text 3 2" xfId="5407"/>
    <cellStyle name="Warning Text 3 3" xfId="5408"/>
    <cellStyle name="Warning Text 3 4" xfId="5409"/>
    <cellStyle name="Warning Text 3 5" xfId="5410"/>
    <cellStyle name="Warning Text 3 6" xfId="5411"/>
    <cellStyle name="Warning Text 3 7" xfId="5412"/>
    <cellStyle name="Warning Text 3 8" xfId="5413"/>
    <cellStyle name="Warning Text 3 9" xfId="5414"/>
    <cellStyle name="Warning Text 3_SA1" xfId="5581"/>
    <cellStyle name="Warning Text 4" xfId="1329"/>
    <cellStyle name="Warning Text 5" xfId="1330"/>
    <cellStyle name="Warning Text 5 2" xfId="5415"/>
    <cellStyle name="Warning Text 5 3" xfId="5416"/>
    <cellStyle name="Warning Text 5 4" xfId="5417"/>
    <cellStyle name="Warning Text 5 5" xfId="5418"/>
    <cellStyle name="Warning Text 5 6" xfId="5419"/>
    <cellStyle name="Warning Text 5 7" xfId="5420"/>
    <cellStyle name="Warning Text 5 8" xfId="5421"/>
    <cellStyle name="Warning Text 5 9" xfId="5422"/>
    <cellStyle name="Warning Text 5_SA1" xfId="5582"/>
    <cellStyle name="Warning Text 6" xfId="1331"/>
    <cellStyle name="Warning Text 7" xfId="1332"/>
    <cellStyle name="Warning Text 8" xfId="1333"/>
    <cellStyle name="Warning Text 9" xfId="133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3" Type="http://schemas.openxmlformats.org/officeDocument/2006/relationships/worksheet" Target="worksheets/sheet63.xml"/><Relationship Id="rId64" Type="http://schemas.openxmlformats.org/officeDocument/2006/relationships/externalLink" Target="externalLinks/externalLink1.xml"/><Relationship Id="rId65" Type="http://schemas.openxmlformats.org/officeDocument/2006/relationships/externalLink" Target="externalLinks/externalLink2.xml"/><Relationship Id="rId66" Type="http://schemas.openxmlformats.org/officeDocument/2006/relationships/externalLink" Target="externalLinks/externalLink3.xml"/><Relationship Id="rId67" Type="http://schemas.openxmlformats.org/officeDocument/2006/relationships/externalLink" Target="externalLinks/externalLink4.xml"/><Relationship Id="rId68" Type="http://schemas.openxmlformats.org/officeDocument/2006/relationships/externalLink" Target="externalLinks/externalLink5.xml"/><Relationship Id="rId69" Type="http://schemas.openxmlformats.org/officeDocument/2006/relationships/externalLink" Target="externalLinks/externalLink6.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70" Type="http://schemas.openxmlformats.org/officeDocument/2006/relationships/theme" Target="theme/theme1.xml"/><Relationship Id="rId71" Type="http://schemas.openxmlformats.org/officeDocument/2006/relationships/styles" Target="styles.xml"/><Relationship Id="rId72" Type="http://schemas.openxmlformats.org/officeDocument/2006/relationships/sharedStrings" Target="sharedStrings.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73" Type="http://schemas.openxmlformats.org/officeDocument/2006/relationships/calcChain" Target="calcChain.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s>
</file>

<file path=xl/ctrlProps/ctrlProp1.xml><?xml version="1.0" encoding="utf-8"?>
<formControlPr xmlns="http://schemas.microsoft.com/office/spreadsheetml/2009/9/main" objectType="Drop" dropLines="2" dropStyle="combo" dx="16" fmlaLink="MuniEntities" fmlaRange="$X$4:$X$5" noThreeD="1" val="0"/>
</file>

<file path=xl/ctrlProps/ctrlProp2.xml><?xml version="1.0" encoding="utf-8"?>
<formControlPr xmlns="http://schemas.microsoft.com/office/spreadsheetml/2009/9/main" objectType="Drop" dropLines="2" dropStyle="combo" dx="16" fmlaLink="MuniType" fmlaRange="$X$7:$X$15" noThreeD="1" sel="2"/>
</file>

<file path=xl/ctrlProps/ctrlProp3.xml><?xml version="1.0" encoding="utf-8"?>
<formControlPr xmlns="http://schemas.microsoft.com/office/spreadsheetml/2009/9/main" objectType="Drop" dropLines="6" dropStyle="combo" dx="16" fmlaLink="$X$33" fmlaRange="$X$17:$X$31" noThreeD="1" sel="6" val="4"/>
</file>

<file path=xl/ctrlProps/ctrlProp4.xml><?xml version="1.0" encoding="utf-8"?>
<formControlPr xmlns="http://schemas.microsoft.com/office/spreadsheetml/2009/9/main" objectType="Drop" dropLines="10" dropStyle="combo" dx="16" fmlaLink="'Lookup and lists'!$B$27" fmlaRange="'Lookup and lists'!$B$29:$C$307" noThreeD="1" sel="238" val="23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1" Type="http://schemas.openxmlformats.org/officeDocument/2006/relationships/image" Target="../media/image1.jpeg"/><Relationship Id="rId2"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1" Type="http://schemas.openxmlformats.org/officeDocument/2006/relationships/image" Target="../media/image12.emf"/><Relationship Id="rId12" Type="http://schemas.openxmlformats.org/officeDocument/2006/relationships/image" Target="../media/image13.emf"/><Relationship Id="rId13" Type="http://schemas.openxmlformats.org/officeDocument/2006/relationships/image" Target="../media/image14.emf"/><Relationship Id="rId14" Type="http://schemas.openxmlformats.org/officeDocument/2006/relationships/image" Target="../media/image15.emf"/><Relationship Id="rId15" Type="http://schemas.openxmlformats.org/officeDocument/2006/relationships/image" Target="../media/image16.emf"/><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hyperlink" Target="http://mfma.treasury.gov.za/Circulars/Pages/default.aspx" TargetMode="External"/><Relationship Id="rId4" Type="http://schemas.openxmlformats.org/officeDocument/2006/relationships/hyperlink" Target="http://mfma.treasury.gov.za/Return_Forms/Pages/default.aspx" TargetMode="External"/><Relationship Id="rId5" Type="http://schemas.openxmlformats.org/officeDocument/2006/relationships/hyperlink" Target="http://mfma.treasury.gov.za/Guidelines/Pages/DummyBudgetGuide.aspx" TargetMode="External"/><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7" Type="http://schemas.openxmlformats.org/officeDocument/2006/relationships/hyperlink" Target="http://mfma.treasury.gov.za/MFMA/Guidelines/MFMA%20Funding%20compliance/MFMA%20Funding%20compliance%20guideline%20-%2010%20March%202008.pdf" TargetMode="External"/><Relationship Id="rId8" Type="http://schemas.openxmlformats.org/officeDocument/2006/relationships/image" Target="../media/image9.png"/><Relationship Id="rId9" Type="http://schemas.openxmlformats.org/officeDocument/2006/relationships/image" Target="../media/image10.emf"/><Relationship Id="rId10" Type="http://schemas.openxmlformats.org/officeDocument/2006/relationships/image" Target="../media/image1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81161" name="Group 316"/>
        <xdr:cNvGrpSpPr>
          <a:grpSpLocks/>
        </xdr:cNvGrpSpPr>
      </xdr:nvGrpSpPr>
      <xdr:grpSpPr bwMode="auto">
        <a:xfrm>
          <a:off x="0" y="0"/>
          <a:ext cx="8601075" cy="6029325"/>
          <a:chOff x="0" y="0"/>
          <a:chExt cx="791" cy="672"/>
        </a:xfrm>
      </xdr:grpSpPr>
      <xdr:grpSp>
        <xdr:nvGrpSpPr>
          <xdr:cNvPr id="181163" name="Group 11"/>
          <xdr:cNvGrpSpPr>
            <a:grpSpLocks/>
          </xdr:cNvGrpSpPr>
        </xdr:nvGrpSpPr>
        <xdr:grpSpPr bwMode="auto">
          <a:xfrm>
            <a:off x="0" y="0"/>
            <a:ext cx="791" cy="672"/>
            <a:chOff x="0" y="0"/>
            <a:chExt cx="791" cy="672"/>
          </a:xfrm>
        </xdr:grpSpPr>
        <xdr:grpSp>
          <xdr:nvGrpSpPr>
            <xdr:cNvPr id="181165" name="Group 12"/>
            <xdr:cNvGrpSpPr>
              <a:grpSpLocks/>
            </xdr:cNvGrpSpPr>
          </xdr:nvGrpSpPr>
          <xdr:grpSpPr bwMode="auto">
            <a:xfrm>
              <a:off x="0" y="0"/>
              <a:ext cx="791" cy="672"/>
              <a:chOff x="12" y="17"/>
              <a:chExt cx="791" cy="672"/>
            </a:xfrm>
          </xdr:grpSpPr>
          <xdr:pic>
            <xdr:nvPicPr>
              <xdr:cNvPr id="181167" name="Picture 1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181168" name="Picture 1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181169" name="Group 15"/>
              <xdr:cNvGrpSpPr>
                <a:grpSpLocks/>
              </xdr:cNvGrpSpPr>
            </xdr:nvGrpSpPr>
            <xdr:grpSpPr bwMode="auto">
              <a:xfrm>
                <a:off x="416" y="255"/>
                <a:ext cx="367" cy="413"/>
                <a:chOff x="416" y="255"/>
                <a:chExt cx="367" cy="413"/>
              </a:xfrm>
            </xdr:grpSpPr>
            <xdr:pic>
              <xdr:nvPicPr>
                <xdr:cNvPr id="181174" name="Picture 48" descr="Untitled-4-2"/>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181175" name="Group 17"/>
                <xdr:cNvGrpSpPr>
                  <a:grpSpLocks/>
                </xdr:cNvGrpSpPr>
              </xdr:nvGrpSpPr>
              <xdr:grpSpPr bwMode="auto">
                <a:xfrm>
                  <a:off x="432" y="264"/>
                  <a:ext cx="286" cy="128"/>
                  <a:chOff x="426" y="263"/>
                  <a:chExt cx="290" cy="130"/>
                </a:xfrm>
              </xdr:grpSpPr>
              <xdr:pic>
                <xdr:nvPicPr>
                  <xdr:cNvPr id="181177"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181178" name="Line 53"/>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xdr:cNvSpPr txBox="1">
                  <a:spLocks noChangeArrowheads="1"/>
                </xdr:cNvSpPr>
              </xdr:nvSpPr>
              <xdr:spPr bwMode="auto">
                <a:xfrm>
                  <a:off x="435" y="393"/>
                  <a:ext cx="333"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Data submission enquiries:</a:t>
                  </a:r>
                </a:p>
                <a:p>
                  <a:pPr algn="l" rtl="1">
                    <a:defRPr sz="1000"/>
                  </a:pPr>
                  <a:r>
                    <a:rPr lang="en-US" sz="1000" b="0" i="0" strike="noStrike">
                      <a:solidFill>
                        <a:srgbClr val="000000"/>
                      </a:solidFill>
                      <a:latin typeface="Calibri"/>
                    </a:rPr>
                    <a:t>Elsabé Rossouw </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documents: lgdocuments@treasury.gov.za</a:t>
                  </a:r>
                </a:p>
                <a:p>
                  <a:pPr algn="l" rtl="1">
                    <a:defRPr sz="1000"/>
                  </a:pPr>
                  <a:endParaRPr lang="en-US" sz="1000" b="0" i="0" strike="noStrike">
                    <a:solidFill>
                      <a:srgbClr val="000000"/>
                    </a:solidFill>
                    <a:latin typeface="Calibri"/>
                  </a:endParaRPr>
                </a:p>
              </xdr:txBody>
            </xdr:sp>
          </xdr:grpSp>
          <xdr:grpSp>
            <xdr:nvGrpSpPr>
              <xdr:cNvPr id="181170" name="Group 21"/>
              <xdr:cNvGrpSpPr>
                <a:grpSpLocks/>
              </xdr:cNvGrpSpPr>
            </xdr:nvGrpSpPr>
            <xdr:grpSpPr bwMode="auto">
              <a:xfrm>
                <a:off x="76" y="364"/>
                <a:ext cx="289" cy="256"/>
                <a:chOff x="76" y="364"/>
                <a:chExt cx="289" cy="256"/>
              </a:xfrm>
            </xdr:grpSpPr>
            <xdr:pic>
              <xdr:nvPicPr>
                <xdr:cNvPr id="181171" name="Picture 22" descr="J1c"/>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181172" name="Picture 23" descr="J1a"/>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181173" name="Picture 24" descr="J1b"/>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181166" name="Picture 25" descr="A1 light"/>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xdr:cNvSpPr txBox="1">
            <a:spLocks noChangeArrowheads="1"/>
          </xdr:cNvSpPr>
        </xdr:nvSpPr>
        <xdr:spPr bwMode="auto">
          <a:xfrm>
            <a:off x="666" y="196"/>
            <a:ext cx="109" cy="18"/>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2.4</a:t>
            </a: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122906" name="Text Box 26"/>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199937" name="Picture 3" descr="Untitled-1 copy"/>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199938"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114300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12</xdr:col>
      <xdr:colOff>276225</xdr:colOff>
      <xdr:row>3</xdr:row>
      <xdr:rowOff>133350</xdr:rowOff>
    </xdr:to>
    <xdr:sp macro="" textlink="">
      <xdr:nvSpPr>
        <xdr:cNvPr id="123921" name="Text Box 17"/>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114300</xdr:rowOff>
    </xdr:to>
    <xdr:sp macro="" textlink="">
      <xdr:nvSpPr>
        <xdr:cNvPr id="124127" name="Text Box 18"/>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85725</xdr:rowOff>
    </xdr:from>
    <xdr:to>
      <xdr:col>5</xdr:col>
      <xdr:colOff>47625</xdr:colOff>
      <xdr:row>17</xdr:row>
      <xdr:rowOff>95250</xdr:rowOff>
    </xdr:to>
    <xdr:sp macro="" textlink="">
      <xdr:nvSpPr>
        <xdr:cNvPr id="123926" name="Text Box 22"/>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85725</xdr:rowOff>
    </xdr:from>
    <xdr:to>
      <xdr:col>9</xdr:col>
      <xdr:colOff>476250</xdr:colOff>
      <xdr:row>17</xdr:row>
      <xdr:rowOff>95250</xdr:rowOff>
    </xdr:to>
    <xdr:sp macro="" textlink="">
      <xdr:nvSpPr>
        <xdr:cNvPr id="123928" name="Text Box 24"/>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152400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152399</xdr:rowOff>
    </xdr:to>
    <xdr:sp macro="" textlink="">
      <xdr:nvSpPr>
        <xdr:cNvPr id="124137" name="Text Box 233"/>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199953" name="Picture 4" descr="1 copy"/>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123825</xdr:rowOff>
    </xdr:to>
    <xdr:sp macro="" textlink="">
      <xdr:nvSpPr>
        <xdr:cNvPr id="41" name="Text Box 233"/>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85725</xdr:rowOff>
    </xdr:from>
    <xdr:to>
      <xdr:col>12</xdr:col>
      <xdr:colOff>133350</xdr:colOff>
      <xdr:row>39</xdr:row>
      <xdr:rowOff>133350</xdr:rowOff>
    </xdr:to>
    <xdr:sp macro="" textlink="">
      <xdr:nvSpPr>
        <xdr:cNvPr id="46" name="Text Box 233">
          <a:hlinkClick xmlns:r="http://schemas.openxmlformats.org/officeDocument/2006/relationships" r:id="rId5"/>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123825</xdr:rowOff>
    </xdr:to>
    <xdr:sp macro="" textlink="">
      <xdr:nvSpPr>
        <xdr:cNvPr id="48" name="Text Box 233">
          <a:hlinkClick xmlns:r="http://schemas.openxmlformats.org/officeDocument/2006/relationships" r:id="rId6"/>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152400</xdr:rowOff>
    </xdr:from>
    <xdr:to>
      <xdr:col>12</xdr:col>
      <xdr:colOff>152400</xdr:colOff>
      <xdr:row>42</xdr:row>
      <xdr:rowOff>38100</xdr:rowOff>
    </xdr:to>
    <xdr:sp macro="" textlink="">
      <xdr:nvSpPr>
        <xdr:cNvPr id="49" name="Text Box 233">
          <a:hlinkClick xmlns:r="http://schemas.openxmlformats.org/officeDocument/2006/relationships" r:id="rId7"/>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mc:AlternateContent xmlns:mc="http://schemas.openxmlformats.org/markup-compatibility/2006">
    <mc:Choice xmlns:a14="http://schemas.microsoft.com/office/drawing/2010/main" Requires="a14">
      <xdr:twoCellAnchor editAs="oneCell">
        <xdr:from>
          <xdr:col>5</xdr:col>
          <xdr:colOff>279400</xdr:colOff>
          <xdr:row>18</xdr:row>
          <xdr:rowOff>38100</xdr:rowOff>
        </xdr:from>
        <xdr:to>
          <xdr:col>6</xdr:col>
          <xdr:colOff>647700</xdr:colOff>
          <xdr:row>19</xdr:row>
          <xdr:rowOff>165100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20</xdr:row>
          <xdr:rowOff>152400</xdr:rowOff>
        </xdr:from>
        <xdr:to>
          <xdr:col>7</xdr:col>
          <xdr:colOff>800100</xdr:colOff>
          <xdr:row>22</xdr:row>
          <xdr:rowOff>63500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76200</xdr:rowOff>
        </xdr:from>
        <xdr:to>
          <xdr:col>7</xdr:col>
          <xdr:colOff>330200</xdr:colOff>
          <xdr:row>16</xdr:row>
          <xdr:rowOff>203200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774700</xdr:colOff>
          <xdr:row>15</xdr:row>
          <xdr:rowOff>38100</xdr:rowOff>
        </xdr:from>
        <xdr:to>
          <xdr:col>11</xdr:col>
          <xdr:colOff>622300</xdr:colOff>
          <xdr:row>17</xdr:row>
          <xdr:rowOff>38100</xdr:rowOff>
        </xdr:to>
        <xdr:pic>
          <xdr:nvPicPr>
            <xdr:cNvPr id="176976" name="TextBox2"/>
            <xdr:cNvPicPr preferRelativeResize="0">
              <a:picLocks noChangeArrowheads="1" noChangeShapeType="1"/>
              <a:extLst>
                <a:ext uri="{84589F7E-364E-4C9E-8A38-B11213B215E9}">
                  <a14:cameraTool cellRange="FinYear" spid="_x0000_s176978"/>
                </a:ext>
              </a:extLst>
            </xdr:cNvPicPr>
          </xdr:nvPicPr>
          <xdr:blipFill>
            <a:blip xmlns:r="http://schemas.openxmlformats.org/officeDocument/2006/relationships" r:embed="rId8">
              <a:grayscl/>
              <a:biLevel thresh="50000"/>
            </a:blip>
            <a:srcRect/>
            <a:stretch>
              <a:fillRect/>
            </a:stretch>
          </xdr:blipFill>
          <xdr:spPr bwMode="auto">
            <a:xfrm>
              <a:off x="6731000" y="2324100"/>
              <a:ext cx="1295400" cy="304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5</xdr:col>
      <xdr:colOff>254000</xdr:colOff>
      <xdr:row>7</xdr:row>
      <xdr:rowOff>63500</xdr:rowOff>
    </xdr:from>
    <xdr:to>
      <xdr:col>11</xdr:col>
      <xdr:colOff>330200</xdr:colOff>
      <xdr:row>8</xdr:row>
      <xdr:rowOff>190500</xdr:rowOff>
    </xdr:to>
    <xdr:pic>
      <xdr:nvPicPr>
        <xdr:cNvPr id="123946" name="TextBox3"/>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19500" y="1130300"/>
          <a:ext cx="4114800" cy="2413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266700</xdr:colOff>
      <xdr:row>9</xdr:row>
      <xdr:rowOff>165100</xdr:rowOff>
    </xdr:from>
    <xdr:to>
      <xdr:col>7</xdr:col>
      <xdr:colOff>711200</xdr:colOff>
      <xdr:row>11</xdr:row>
      <xdr:rowOff>76200</xdr:rowOff>
    </xdr:to>
    <xdr:pic>
      <xdr:nvPicPr>
        <xdr:cNvPr id="123947" name="TextBox4"/>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32200" y="1524000"/>
          <a:ext cx="1752600" cy="2286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5</xdr:col>
      <xdr:colOff>254000</xdr:colOff>
      <xdr:row>12</xdr:row>
      <xdr:rowOff>38100</xdr:rowOff>
    </xdr:from>
    <xdr:to>
      <xdr:col>11</xdr:col>
      <xdr:colOff>330200</xdr:colOff>
      <xdr:row>13</xdr:row>
      <xdr:rowOff>165100</xdr:rowOff>
    </xdr:to>
    <xdr:pic>
      <xdr:nvPicPr>
        <xdr:cNvPr id="123948" name="TextBox5"/>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19500" y="1866900"/>
          <a:ext cx="41148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9</xdr:col>
      <xdr:colOff>76200</xdr:colOff>
      <xdr:row>9</xdr:row>
      <xdr:rowOff>190500</xdr:rowOff>
    </xdr:from>
    <xdr:to>
      <xdr:col>11</xdr:col>
      <xdr:colOff>330200</xdr:colOff>
      <xdr:row>11</xdr:row>
      <xdr:rowOff>101600</xdr:rowOff>
    </xdr:to>
    <xdr:pic>
      <xdr:nvPicPr>
        <xdr:cNvPr id="123950" name="TextBox6"/>
        <xdr:cNvPicPr preferRelativeResize="0">
          <a:picLocks noChangeArrowheads="1" noChangeShapeType="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134100" y="1524000"/>
          <a:ext cx="16002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330200</xdr:colOff>
      <xdr:row>37</xdr:row>
      <xdr:rowOff>88900</xdr:rowOff>
    </xdr:from>
    <xdr:to>
      <xdr:col>5</xdr:col>
      <xdr:colOff>304800</xdr:colOff>
      <xdr:row>39</xdr:row>
      <xdr:rowOff>76200</xdr:rowOff>
    </xdr:to>
    <xdr:pic>
      <xdr:nvPicPr>
        <xdr:cNvPr id="124039" name="ToggleReferenceColumns"/>
        <xdr:cNvPicPr preferRelativeResize="0">
          <a:picLocks noChangeArrowheads="1" noChangeShapeType="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03300" y="5727700"/>
          <a:ext cx="2667000" cy="2921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342900</xdr:colOff>
      <xdr:row>35</xdr:row>
      <xdr:rowOff>25400</xdr:rowOff>
    </xdr:from>
    <xdr:to>
      <xdr:col>5</xdr:col>
      <xdr:colOff>317500</xdr:colOff>
      <xdr:row>37</xdr:row>
      <xdr:rowOff>25400</xdr:rowOff>
    </xdr:to>
    <xdr:pic>
      <xdr:nvPicPr>
        <xdr:cNvPr id="124040" name="TogglePreAuditColums"/>
        <xdr:cNvPicPr preferRelativeResize="0">
          <a:picLocks noChangeArrowheads="1" noChangeShapeType="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16000" y="5359400"/>
          <a:ext cx="2667000"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304800</xdr:colOff>
      <xdr:row>42</xdr:row>
      <xdr:rowOff>12700</xdr:rowOff>
    </xdr:from>
    <xdr:to>
      <xdr:col>5</xdr:col>
      <xdr:colOff>279400</xdr:colOff>
      <xdr:row>44</xdr:row>
      <xdr:rowOff>38100</xdr:rowOff>
    </xdr:to>
    <xdr:pic>
      <xdr:nvPicPr>
        <xdr:cNvPr id="124042" name="ToggleHiddenColumns"/>
        <xdr:cNvPicPr preferRelativeResize="0">
          <a:picLocks noChangeArrowheads="1" noChangeShapeType="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977900" y="6413500"/>
          <a:ext cx="2667000" cy="3302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266700</xdr:colOff>
          <xdr:row>4</xdr:row>
          <xdr:rowOff>101600</xdr:rowOff>
        </xdr:from>
        <xdr:to>
          <xdr:col>11</xdr:col>
          <xdr:colOff>330200</xdr:colOff>
          <xdr:row>6</xdr:row>
          <xdr:rowOff>0</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381000</xdr:colOff>
          <xdr:row>2</xdr:row>
          <xdr:rowOff>12700</xdr:rowOff>
        </xdr:from>
        <xdr:to>
          <xdr:col>4</xdr:col>
          <xdr:colOff>2654300</xdr:colOff>
          <xdr:row>4</xdr:row>
          <xdr:rowOff>12700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18288" tIns="0" rIns="0" bIns="0" anchor="ctr" upright="1"/>
            <a:lstStyle/>
            <a:p>
              <a:pPr algn="ctr" rtl="0">
                <a:defRPr sz="1000"/>
              </a:pPr>
              <a:r>
                <a:rPr lang="da-DK" sz="1200" b="0" i="0" u="none" strike="noStrike" baseline="0">
                  <a:latin typeface="Calibri"/>
                  <a:ea typeface="Calibri"/>
                  <a:cs typeface="Calibri"/>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10" name="Text Box 18"/>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1460"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55297" name="AutoShape 1"/>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19050</xdr:colOff>
      <xdr:row>0</xdr:row>
      <xdr:rowOff>0</xdr:rowOff>
    </xdr:to>
    <xdr:sp macro="" textlink="">
      <xdr:nvSpPr>
        <xdr:cNvPr id="55312" name="AutoShape 16"/>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ksrapoo/Downloads/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Dikoko/AppData/Local/Microsoft/Windows/Temporary%20Internet%20Files/Content.Outlook/TB0Y40T6/A1%20Schedule-Ver2%204-NW373%20-%20final%20%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ksrapoo/Downloads/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ksrapoo/Downloads/ressp02/Common/Documents%20and%20Settings/1777/My%20Documents/C%20Tshwane/EM%2010day%20report%20Dec%2020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malatsi/AppData/Local/Microsoft/Windows/Temporary%20Internet%20Files/Content.Outlook/00AKWSRP/RWST%20Budget%202013-14%20ver%203%20-%20In%20AFS%20forma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mofokeng/Desktop/A1%20Schedule-Ver2%204-NW37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Balance Sheet"/>
    </sheetNames>
    <sheetDataSet>
      <sheetData sheetId="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sheetData sheetId="2" refreshError="1"/>
      <sheetData sheetId="3">
        <row r="16">
          <cell r="AA16" t="str">
            <v>Roads, Pavements &amp; Bridges</v>
          </cell>
        </row>
        <row r="17">
          <cell r="AA17" t="str">
            <v>Storm water</v>
          </cell>
        </row>
        <row r="18">
          <cell r="AA18" t="str">
            <v>Generation</v>
          </cell>
        </row>
        <row r="19">
          <cell r="AA19" t="str">
            <v>Transmission &amp; Reticulation</v>
          </cell>
        </row>
        <row r="20">
          <cell r="AA20" t="str">
            <v>Street Lighting</v>
          </cell>
        </row>
        <row r="21">
          <cell r="AA21" t="str">
            <v>Dams &amp; Reservoirs</v>
          </cell>
        </row>
        <row r="22">
          <cell r="AA22" t="str">
            <v>Water purification</v>
          </cell>
        </row>
        <row r="23">
          <cell r="AA23" t="str">
            <v>Reticulation</v>
          </cell>
        </row>
        <row r="24">
          <cell r="AA24" t="str">
            <v>Sewerage purification</v>
          </cell>
        </row>
        <row r="25">
          <cell r="AA25" t="str">
            <v>Waste Management</v>
          </cell>
        </row>
        <row r="26">
          <cell r="AA26" t="str">
            <v>Transportation</v>
          </cell>
        </row>
        <row r="27">
          <cell r="AA27" t="str">
            <v>Gas</v>
          </cell>
        </row>
        <row r="28">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Names"/>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ata"/>
    </sheetNames>
    <sheetDataSet>
      <sheetData sheetId="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in performance"/>
      <sheetName val="Capital exp"/>
      <sheetName val="Balance sheet"/>
      <sheetName val="Cash Flow"/>
      <sheetName val="Detail capital project"/>
    </sheetNames>
    <sheetDataSet>
      <sheetData sheetId="0">
        <row r="29">
          <cell r="E29">
            <v>27008812</v>
          </cell>
        </row>
      </sheetData>
      <sheetData sheetId="1"/>
      <sheetData sheetId="2"/>
      <sheetData sheetId="3"/>
      <sheetData sheetId="4"/>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8">
          <cell r="A18" t="str">
            <v>PMU</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4" Type="http://schemas.openxmlformats.org/officeDocument/2006/relationships/ctrlProp" Target="../ctrlProps/ctrlProp2.xml"/><Relationship Id="rId5" Type="http://schemas.openxmlformats.org/officeDocument/2006/relationships/ctrlProp" Target="../ctrlProps/ctrlProp3.xml"/><Relationship Id="rId6" Type="http://schemas.openxmlformats.org/officeDocument/2006/relationships/ctrlProp" Target="../ctrlProps/ctrlProp4.xml"/><Relationship Id="rId1" Type="http://schemas.openxmlformats.org/officeDocument/2006/relationships/drawing" Target="../drawings/drawing2.xml"/><Relationship Id="rId2"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2" Type="http://schemas.openxmlformats.org/officeDocument/2006/relationships/vmlDrawing" Target="../drawings/vmlDrawing2.vml"/><Relationship Id="rId3" Type="http://schemas.openxmlformats.org/officeDocument/2006/relationships/ctrlProp" Target="../ctrlProps/ctrlProp5.xml"/></Relationships>
</file>

<file path=xl/worksheets/_rels/sheet36.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1" Type="http://schemas.openxmlformats.org/officeDocument/2006/relationships/hyperlink" Target="mailto:jmofokeng@rustenburg.gov.za" TargetMode="External"/><Relationship Id="rId12" Type="http://schemas.openxmlformats.org/officeDocument/2006/relationships/hyperlink" Target="mailto:mdikoko@rustenburg.gov.za" TargetMode="External"/><Relationship Id="rId13" Type="http://schemas.openxmlformats.org/officeDocument/2006/relationships/hyperlink" Target="mailto:jkwatlhai@rustenburg.gov.za" TargetMode="External"/><Relationship Id="rId14" Type="http://schemas.openxmlformats.org/officeDocument/2006/relationships/hyperlink" Target="mailto:pmalatsi@rustenburg.gov.za" TargetMode="External"/><Relationship Id="rId15" Type="http://schemas.openxmlformats.org/officeDocument/2006/relationships/hyperlink" Target="mailto:speaker@rustenburg.gov.za" TargetMode="External"/><Relationship Id="rId16" Type="http://schemas.openxmlformats.org/officeDocument/2006/relationships/hyperlink" Target="mailto:mmokgosi@rustenburg.gov.za" TargetMode="External"/><Relationship Id="rId17" Type="http://schemas.openxmlformats.org/officeDocument/2006/relationships/hyperlink" Target="mailto:mletebele@rustenburg.gov.za" TargetMode="External"/><Relationship Id="rId1" Type="http://schemas.openxmlformats.org/officeDocument/2006/relationships/hyperlink" Target="http://www.rustenburg.gov.za/" TargetMode="External"/><Relationship Id="rId2" Type="http://schemas.openxmlformats.org/officeDocument/2006/relationships/hyperlink" Target="mailto:munman@rustenburg.gov.za" TargetMode="External"/><Relationship Id="rId3" Type="http://schemas.openxmlformats.org/officeDocument/2006/relationships/hyperlink" Target="mailto:speaker@rustenburg.gov.za" TargetMode="External"/><Relationship Id="rId4" Type="http://schemas.openxmlformats.org/officeDocument/2006/relationships/hyperlink" Target="mailto:felixl@cederbergraad.co.za" TargetMode="External"/><Relationship Id="rId5" Type="http://schemas.openxmlformats.org/officeDocument/2006/relationships/hyperlink" Target="mailto:lmekgwe@rustenburg.gov.za" TargetMode="External"/><Relationship Id="rId6" Type="http://schemas.openxmlformats.org/officeDocument/2006/relationships/hyperlink" Target="mailto:munman@rustenburg.gov.za" TargetMode="External"/><Relationship Id="rId7" Type="http://schemas.openxmlformats.org/officeDocument/2006/relationships/hyperlink" Target="mailto:vmdhluli@rustenburg.gov.za" TargetMode="External"/><Relationship Id="rId8" Type="http://schemas.openxmlformats.org/officeDocument/2006/relationships/hyperlink" Target="mailto:munman@rustenburg.gov.za" TargetMode="External"/><Relationship Id="rId9" Type="http://schemas.openxmlformats.org/officeDocument/2006/relationships/hyperlink" Target="mailto:djolobe@rustenburg.gov.za" TargetMode="External"/><Relationship Id="rId10" Type="http://schemas.openxmlformats.org/officeDocument/2006/relationships/hyperlink" Target="mailto:nmodisagae@rustenburg.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enableFormatConditionsCalculation="0">
    <tabColor indexed="46"/>
  </sheetPr>
  <dimension ref="A1"/>
  <sheetViews>
    <sheetView showGridLines="0" topLeftCell="A12" workbookViewId="0">
      <selection activeCell="R36" sqref="R36"/>
    </sheetView>
  </sheetViews>
  <sheetFormatPr baseColWidth="10" defaultColWidth="8" defaultRowHeight="12" x14ac:dyDescent="0"/>
  <cols>
    <col min="1" max="16384" width="8" style="1388"/>
  </cols>
  <sheetData>
    <row r="1" spans="1:1">
      <c r="A1" s="2139"/>
    </row>
  </sheetData>
  <sheetProtection sheet="1" objects="1" scenarios="1"/>
  <phoneticPr fontId="28" type="noConversion"/>
  <pageMargins left="0.75" right="0.75" top="1" bottom="1" header="0.5" footer="0.5"/>
  <headerFooter alignWithMargins="0"/>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4"/>
    <pageSetUpPr fitToPage="1"/>
  </sheetPr>
  <dimension ref="A1:X77"/>
  <sheetViews>
    <sheetView showGridLines="0" topLeftCell="A31" workbookViewId="0">
      <selection activeCell="I20" sqref="I20"/>
    </sheetView>
  </sheetViews>
  <sheetFormatPr baseColWidth="10" defaultColWidth="8.83203125" defaultRowHeight="10" x14ac:dyDescent="0"/>
  <cols>
    <col min="1" max="1" width="30.6640625" style="149" customWidth="1"/>
    <col min="2" max="2" width="3" style="1048" customWidth="1"/>
    <col min="3" max="11" width="9.33203125" style="149" customWidth="1"/>
    <col min="12" max="23" width="9.1640625" style="149" hidden="1" customWidth="1"/>
    <col min="24" max="16384" width="8.83203125" style="149"/>
  </cols>
  <sheetData>
    <row r="1" spans="1:24" s="179" customFormat="1" ht="12">
      <c r="A1" s="1122" t="str">
        <f>muni&amp;" - "&amp;Approve2</f>
        <v>NW373 Rustenburg - Table A3 Consolidated Budgeted Financial Performance (revenue and expenditure by municipal vote)</v>
      </c>
      <c r="B1" s="1122"/>
      <c r="C1" s="1122"/>
      <c r="D1" s="1122"/>
      <c r="E1" s="1122"/>
      <c r="F1" s="1122"/>
      <c r="G1" s="1122"/>
      <c r="H1" s="1122"/>
      <c r="I1" s="1122"/>
      <c r="J1" s="1122"/>
      <c r="K1" s="1122"/>
    </row>
    <row r="2" spans="1:24" ht="28.5" customHeight="1">
      <c r="A2" s="1199" t="str">
        <f>Vdesc</f>
        <v>Vote Description</v>
      </c>
      <c r="B2" s="1200" t="str">
        <f>head27</f>
        <v>Ref</v>
      </c>
      <c r="C2" s="1124" t="str">
        <f>head1b</f>
        <v>2009/10</v>
      </c>
      <c r="D2" s="1124" t="str">
        <f>head1A</f>
        <v>2010/11</v>
      </c>
      <c r="E2" s="1125" t="str">
        <f>Head1</f>
        <v>2011/12</v>
      </c>
      <c r="F2" s="2771" t="str">
        <f>Head2</f>
        <v>Current Year 2012/13</v>
      </c>
      <c r="G2" s="2772"/>
      <c r="H2" s="2772"/>
      <c r="I2" s="2773" t="str">
        <f>Head3</f>
        <v>2013/14 Medium Term Revenue &amp; Expenditure Framework</v>
      </c>
      <c r="J2" s="2774"/>
      <c r="K2" s="2775"/>
      <c r="L2" s="2776" t="str">
        <f>Head4</f>
        <v>LTFS</v>
      </c>
      <c r="M2" s="2777"/>
      <c r="N2" s="2777"/>
      <c r="O2" s="2777"/>
      <c r="P2" s="2777"/>
      <c r="Q2" s="2777"/>
      <c r="R2" s="2777"/>
      <c r="S2" s="2777"/>
      <c r="T2" s="2777"/>
      <c r="U2" s="2777"/>
      <c r="V2" s="2777"/>
      <c r="W2" s="2778"/>
    </row>
    <row r="3" spans="1:24" ht="20">
      <c r="A3" s="1201" t="s">
        <v>667</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c r="L3" s="1549" t="str">
        <f>Head12</f>
        <v>Forecast 2016/17</v>
      </c>
      <c r="M3" s="1550" t="str">
        <f>Head13</f>
        <v>Forecast 2017/18</v>
      </c>
      <c r="N3" s="1550" t="str">
        <f>Head14</f>
        <v>Forecast 2018/19</v>
      </c>
      <c r="O3" s="1550" t="str">
        <f>Head15</f>
        <v>Forecast 2019/20</v>
      </c>
      <c r="P3" s="1550" t="str">
        <f>Head16</f>
        <v>Forecast 2020/21</v>
      </c>
      <c r="Q3" s="1550" t="str">
        <f>Head17</f>
        <v>Forecast 2021/22</v>
      </c>
      <c r="R3" s="1550" t="str">
        <f>Head18</f>
        <v>Forecast 2022/23</v>
      </c>
      <c r="S3" s="1550" t="str">
        <f>Head19</f>
        <v>Forecast 2023/24</v>
      </c>
      <c r="T3" s="1550" t="str">
        <f>Head20</f>
        <v>Forecast 2024/25</v>
      </c>
      <c r="U3" s="1550" t="str">
        <f>Head21</f>
        <v>Forecast 2025/26</v>
      </c>
      <c r="V3" s="1550" t="str">
        <f>Head22</f>
        <v>Forecast 2026/27</v>
      </c>
      <c r="W3" s="1550" t="str">
        <f>Head23</f>
        <v>Forecast 2027/28</v>
      </c>
    </row>
    <row r="4" spans="1:24" ht="11.25" customHeight="1">
      <c r="A4" s="1203" t="s">
        <v>1371</v>
      </c>
      <c r="B4" s="1188">
        <v>1</v>
      </c>
      <c r="C4" s="1204"/>
      <c r="D4" s="1204"/>
      <c r="E4" s="1205"/>
      <c r="F4" s="1206"/>
      <c r="G4" s="1204"/>
      <c r="H4" s="1207"/>
      <c r="I4" s="1208"/>
      <c r="J4" s="1204"/>
      <c r="K4" s="2134"/>
      <c r="L4" s="188"/>
      <c r="M4" s="189"/>
      <c r="N4" s="189"/>
      <c r="O4" s="189"/>
      <c r="P4" s="189"/>
      <c r="Q4" s="189"/>
      <c r="R4" s="189"/>
      <c r="S4" s="189"/>
      <c r="T4" s="189"/>
      <c r="U4" s="189"/>
      <c r="V4" s="189"/>
      <c r="W4" s="189"/>
    </row>
    <row r="5" spans="1:24" ht="11.25" customHeight="1">
      <c r="A5" s="1209" t="str">
        <f>A3A!A5</f>
        <v>Vote 1 - EXECUTIVE MAYOR</v>
      </c>
      <c r="B5" s="1188"/>
      <c r="C5" s="1210">
        <f>A3A!C5</f>
        <v>444028819</v>
      </c>
      <c r="D5" s="1210">
        <f>A3A!D5</f>
        <v>468447502</v>
      </c>
      <c r="E5" s="1211">
        <f>A3A!E5</f>
        <v>357707350</v>
      </c>
      <c r="F5" s="1212">
        <f>A3A!F5</f>
        <v>177173848</v>
      </c>
      <c r="G5" s="1210">
        <f>A3A!G5</f>
        <v>157390311</v>
      </c>
      <c r="H5" s="1213">
        <f>A3A!H5</f>
        <v>157390311</v>
      </c>
      <c r="I5" s="1214">
        <f>A3A!I5</f>
        <v>204196087</v>
      </c>
      <c r="J5" s="1210">
        <f>A3A!J5</f>
        <v>183345140</v>
      </c>
      <c r="K5" s="2129">
        <f>A3A!K5</f>
        <v>171297488</v>
      </c>
      <c r="L5" s="188"/>
      <c r="M5" s="189"/>
      <c r="N5" s="189"/>
      <c r="O5" s="189"/>
      <c r="P5" s="189"/>
      <c r="Q5" s="189"/>
      <c r="R5" s="189"/>
      <c r="S5" s="189"/>
      <c r="T5" s="189"/>
      <c r="U5" s="189"/>
      <c r="V5" s="189"/>
      <c r="W5" s="189"/>
    </row>
    <row r="6" spans="1:24" ht="11.25" customHeight="1">
      <c r="A6" s="1209" t="str">
        <f>A3A!A16</f>
        <v>Vote 2 - MUNICIPAL MANAGER</v>
      </c>
      <c r="B6" s="1188"/>
      <c r="C6" s="1210">
        <f>A3A!C16</f>
        <v>16291501.549999999</v>
      </c>
      <c r="D6" s="1210">
        <f>A3A!D16</f>
        <v>29650013</v>
      </c>
      <c r="E6" s="1211">
        <f>A3A!E16</f>
        <v>20711337</v>
      </c>
      <c r="F6" s="1212">
        <f>A3A!F16</f>
        <v>16388026</v>
      </c>
      <c r="G6" s="1210">
        <f>A3A!G16</f>
        <v>51199830</v>
      </c>
      <c r="H6" s="1213">
        <f>A3A!H16</f>
        <v>51199830</v>
      </c>
      <c r="I6" s="1214">
        <f>A3A!I16</f>
        <v>40343341</v>
      </c>
      <c r="J6" s="1210">
        <f>A3A!J16</f>
        <v>23627783</v>
      </c>
      <c r="K6" s="2129">
        <f>A3A!K16</f>
        <v>24704749</v>
      </c>
      <c r="L6" s="188"/>
      <c r="M6" s="189"/>
      <c r="N6" s="189"/>
      <c r="O6" s="189"/>
      <c r="P6" s="189"/>
      <c r="Q6" s="189"/>
      <c r="R6" s="189"/>
      <c r="S6" s="189"/>
      <c r="T6" s="189"/>
      <c r="U6" s="189"/>
      <c r="V6" s="189"/>
      <c r="W6" s="189"/>
    </row>
    <row r="7" spans="1:24" ht="11.25" customHeight="1">
      <c r="A7" s="1209" t="str">
        <f>A3A!A29</f>
        <v>Vote 3 - CORPORATE SUPPORT SERVICES</v>
      </c>
      <c r="B7" s="1188"/>
      <c r="C7" s="1210">
        <f>A3A!C29</f>
        <v>1809983.25</v>
      </c>
      <c r="D7" s="1210">
        <f>A3A!D29</f>
        <v>1457412</v>
      </c>
      <c r="E7" s="1211">
        <f>A3A!E29</f>
        <v>799451</v>
      </c>
      <c r="F7" s="1212">
        <f>A3A!F29</f>
        <v>1997390</v>
      </c>
      <c r="G7" s="1210">
        <f>A3A!G29</f>
        <v>2206460</v>
      </c>
      <c r="H7" s="1213">
        <f>A3A!H29</f>
        <v>2206460</v>
      </c>
      <c r="I7" s="1214">
        <f>A3A!I29</f>
        <v>2300187</v>
      </c>
      <c r="J7" s="1210">
        <f>A3A!J29</f>
        <v>2413210</v>
      </c>
      <c r="K7" s="2129">
        <f>A3A!K29</f>
        <v>2478558</v>
      </c>
      <c r="L7" s="188"/>
      <c r="M7" s="189"/>
      <c r="N7" s="189"/>
      <c r="O7" s="189"/>
      <c r="P7" s="189"/>
      <c r="Q7" s="189"/>
      <c r="R7" s="189"/>
      <c r="S7" s="189"/>
      <c r="T7" s="189"/>
      <c r="U7" s="189"/>
      <c r="V7" s="189"/>
      <c r="W7" s="189"/>
    </row>
    <row r="8" spans="1:24" ht="11.25" customHeight="1">
      <c r="A8" s="1209" t="str">
        <f>A3A!A40</f>
        <v>Vote 4 - BUDGET AND TREASURY OFFICE</v>
      </c>
      <c r="B8" s="1188"/>
      <c r="C8" s="1210">
        <f>A3A!C40</f>
        <v>5584223.7799999993</v>
      </c>
      <c r="D8" s="1210">
        <f>A3A!D40</f>
        <v>8309971</v>
      </c>
      <c r="E8" s="1211">
        <f>A3A!E40</f>
        <v>8572012</v>
      </c>
      <c r="F8" s="1212">
        <f>A3A!F40</f>
        <v>192533735</v>
      </c>
      <c r="G8" s="1210">
        <f>A3A!G40</f>
        <v>193755784</v>
      </c>
      <c r="H8" s="1213">
        <f>A3A!H40</f>
        <v>193755784</v>
      </c>
      <c r="I8" s="1214">
        <f>A3A!I40</f>
        <v>214142399</v>
      </c>
      <c r="J8" s="1210">
        <f>A3A!J40</f>
        <v>220404193</v>
      </c>
      <c r="K8" s="2129">
        <f>A3A!K40</f>
        <v>233836437</v>
      </c>
      <c r="L8" s="188"/>
      <c r="M8" s="189"/>
      <c r="N8" s="189"/>
      <c r="O8" s="189"/>
      <c r="P8" s="189"/>
      <c r="Q8" s="189"/>
      <c r="R8" s="189"/>
      <c r="S8" s="189"/>
      <c r="T8" s="189"/>
      <c r="U8" s="189"/>
      <c r="V8" s="189"/>
      <c r="W8" s="189"/>
    </row>
    <row r="9" spans="1:24" ht="11.25" customHeight="1">
      <c r="A9" s="1209" t="str">
        <f>A3A!A51</f>
        <v>Vote 5 - PUBLIC SAFETY</v>
      </c>
      <c r="B9" s="1188"/>
      <c r="C9" s="1210">
        <f>A3A!C51</f>
        <v>24857330</v>
      </c>
      <c r="D9" s="1210">
        <f>A3A!D51</f>
        <v>26330131</v>
      </c>
      <c r="E9" s="1211">
        <f>A3A!E51</f>
        <v>23617450</v>
      </c>
      <c r="F9" s="1212">
        <f>A3A!F51</f>
        <v>25637096</v>
      </c>
      <c r="G9" s="1210">
        <f>A3A!G51</f>
        <v>39824748</v>
      </c>
      <c r="H9" s="1213">
        <f>A3A!H51</f>
        <v>39824748</v>
      </c>
      <c r="I9" s="1214">
        <f>A3A!I51</f>
        <v>40979742</v>
      </c>
      <c r="J9" s="1210">
        <f>A3A!J51</f>
        <v>41845176</v>
      </c>
      <c r="K9" s="2129">
        <f>A3A!K51</f>
        <v>43758709</v>
      </c>
      <c r="L9" s="188"/>
      <c r="M9" s="189"/>
      <c r="N9" s="189"/>
      <c r="O9" s="189"/>
      <c r="P9" s="189"/>
      <c r="Q9" s="189"/>
      <c r="R9" s="189"/>
      <c r="S9" s="189"/>
      <c r="T9" s="189"/>
      <c r="U9" s="189"/>
      <c r="V9" s="189"/>
      <c r="W9" s="189"/>
    </row>
    <row r="10" spans="1:24" ht="11.25" customHeight="1">
      <c r="A10" s="1209" t="str">
        <f>A3A!A62</f>
        <v>Vote 6 - PLANNING &amp; HUMAN SETTLEMENT</v>
      </c>
      <c r="B10" s="1188"/>
      <c r="C10" s="1210">
        <f>A3A!C62</f>
        <v>32131272</v>
      </c>
      <c r="D10" s="1210">
        <f>A3A!D62</f>
        <v>26670842</v>
      </c>
      <c r="E10" s="1211">
        <f>A3A!E62</f>
        <v>28288420</v>
      </c>
      <c r="F10" s="1212">
        <f>A3A!F62</f>
        <v>131106022</v>
      </c>
      <c r="G10" s="1210">
        <f>A3A!G62</f>
        <v>72840992</v>
      </c>
      <c r="H10" s="1213">
        <f>A3A!H62</f>
        <v>72840992</v>
      </c>
      <c r="I10" s="1214">
        <f>A3A!I62</f>
        <v>108764595</v>
      </c>
      <c r="J10" s="1210">
        <f>A3A!J62</f>
        <v>60295329</v>
      </c>
      <c r="K10" s="2129">
        <f>A3A!K62</f>
        <v>10713627</v>
      </c>
      <c r="L10" s="188"/>
      <c r="M10" s="189"/>
      <c r="N10" s="189"/>
      <c r="O10" s="189"/>
      <c r="P10" s="189"/>
      <c r="Q10" s="189"/>
      <c r="R10" s="189"/>
      <c r="S10" s="189"/>
      <c r="T10" s="189"/>
      <c r="U10" s="189"/>
      <c r="V10" s="189"/>
      <c r="W10" s="189"/>
    </row>
    <row r="11" spans="1:24" ht="11.25" customHeight="1">
      <c r="A11" s="1209" t="str">
        <f>A3A!A73</f>
        <v xml:space="preserve">Vote 7 - LOCAL ECONOMIC DEVELOPMENT </v>
      </c>
      <c r="B11" s="1188"/>
      <c r="C11" s="1210">
        <f>A3A!C73</f>
        <v>17103</v>
      </c>
      <c r="D11" s="1210">
        <f>A3A!D73</f>
        <v>7895</v>
      </c>
      <c r="E11" s="1211">
        <f>A3A!E73</f>
        <v>19298</v>
      </c>
      <c r="F11" s="1212">
        <f>A3A!F73</f>
        <v>372275</v>
      </c>
      <c r="G11" s="1210">
        <f>A3A!G73</f>
        <v>372275</v>
      </c>
      <c r="H11" s="1213">
        <f>A3A!H73</f>
        <v>372275</v>
      </c>
      <c r="I11" s="1214">
        <f>A3A!I73</f>
        <v>3415470</v>
      </c>
      <c r="J11" s="1210">
        <f>A3A!J73</f>
        <v>3589848</v>
      </c>
      <c r="K11" s="2129">
        <f>A3A!K73</f>
        <v>3725995</v>
      </c>
      <c r="L11" s="188"/>
      <c r="M11" s="189"/>
      <c r="N11" s="189"/>
      <c r="O11" s="189"/>
      <c r="P11" s="189"/>
      <c r="Q11" s="189"/>
      <c r="R11" s="189"/>
      <c r="S11" s="189"/>
      <c r="T11" s="189"/>
      <c r="U11" s="189"/>
      <c r="V11" s="189"/>
      <c r="W11" s="189"/>
    </row>
    <row r="12" spans="1:24" ht="11.25" customHeight="1">
      <c r="A12" s="1209" t="str">
        <f>A3A!A84</f>
        <v>Vote 8 - COMMUNITY DEVELOPMENT</v>
      </c>
      <c r="B12" s="1188"/>
      <c r="C12" s="1210">
        <f>A3A!C84</f>
        <v>2538279</v>
      </c>
      <c r="D12" s="1210">
        <f>A3A!D84</f>
        <v>3592185</v>
      </c>
      <c r="E12" s="1211">
        <f>A3A!E84</f>
        <v>4150485</v>
      </c>
      <c r="F12" s="1212">
        <f>A3A!F84</f>
        <v>4951055</v>
      </c>
      <c r="G12" s="1210">
        <f>A3A!G84</f>
        <v>4342720</v>
      </c>
      <c r="H12" s="1213">
        <f>A3A!H84</f>
        <v>4342720</v>
      </c>
      <c r="I12" s="1214">
        <f>A3A!I84</f>
        <v>5137137</v>
      </c>
      <c r="J12" s="1210">
        <f>A3A!J84</f>
        <v>5331053</v>
      </c>
      <c r="K12" s="2129">
        <f>A3A!K84</f>
        <v>5402910</v>
      </c>
      <c r="L12" s="188"/>
      <c r="M12" s="189"/>
      <c r="N12" s="189"/>
      <c r="O12" s="189"/>
      <c r="P12" s="189"/>
      <c r="Q12" s="189"/>
      <c r="R12" s="189"/>
      <c r="S12" s="189"/>
      <c r="T12" s="189"/>
      <c r="U12" s="189"/>
      <c r="V12" s="189"/>
      <c r="W12" s="189"/>
    </row>
    <row r="13" spans="1:24" ht="11.25" customHeight="1">
      <c r="A13" s="1209" t="str">
        <f>A3A!A95</f>
        <v>Vote 9 - TECHNICAL AND INFRASTRUCTURE</v>
      </c>
      <c r="B13" s="1188"/>
      <c r="C13" s="1210">
        <f>A3A!C95</f>
        <v>1441748692.27</v>
      </c>
      <c r="D13" s="1210">
        <f>A3A!D95</f>
        <v>1653892480</v>
      </c>
      <c r="E13" s="1211">
        <f>A3A!E95</f>
        <v>1731245126</v>
      </c>
      <c r="F13" s="1212">
        <f>A3A!F95</f>
        <v>2135613412</v>
      </c>
      <c r="G13" s="1210">
        <f>A3A!G95</f>
        <v>2110175377</v>
      </c>
      <c r="H13" s="1213">
        <f>A3A!H95</f>
        <v>2110175377</v>
      </c>
      <c r="I13" s="1214">
        <f>A3A!I95</f>
        <v>1947317226</v>
      </c>
      <c r="J13" s="1210">
        <f>A3A!J95</f>
        <v>2120116711</v>
      </c>
      <c r="K13" s="2129">
        <f>A3A!K95</f>
        <v>2339306970</v>
      </c>
      <c r="L13" s="188"/>
      <c r="M13" s="189"/>
      <c r="N13" s="189"/>
      <c r="O13" s="189"/>
      <c r="P13" s="189"/>
      <c r="Q13" s="189"/>
      <c r="R13" s="189"/>
      <c r="S13" s="189"/>
      <c r="T13" s="189"/>
      <c r="U13" s="189"/>
      <c r="V13" s="189"/>
      <c r="W13" s="189"/>
      <c r="X13" s="370"/>
    </row>
    <row r="14" spans="1:24" ht="11.25" customHeight="1">
      <c r="A14" s="1209" t="str">
        <f>A3A!A106</f>
        <v>Vote 10 - RUSTENBURG WATER SERVICE TRUST</v>
      </c>
      <c r="B14" s="1188"/>
      <c r="C14" s="1210">
        <f>A3A!C106</f>
        <v>0</v>
      </c>
      <c r="D14" s="1210">
        <f>A3A!D106</f>
        <v>0</v>
      </c>
      <c r="E14" s="1211">
        <f>A3A!E106</f>
        <v>0</v>
      </c>
      <c r="F14" s="1212">
        <f>A3A!F106</f>
        <v>123293958</v>
      </c>
      <c r="G14" s="1210">
        <f>A3A!G106</f>
        <v>123293958</v>
      </c>
      <c r="H14" s="1213">
        <f>A3A!H106</f>
        <v>123293958</v>
      </c>
      <c r="I14" s="1214">
        <f>A3A!I106</f>
        <v>162679351</v>
      </c>
      <c r="J14" s="2132">
        <f>A3A!J106</f>
        <v>173253508</v>
      </c>
      <c r="K14" s="2129">
        <f>A3A!K106</f>
        <v>236881391</v>
      </c>
      <c r="L14" s="188"/>
      <c r="M14" s="189"/>
      <c r="N14" s="189"/>
      <c r="O14" s="189"/>
      <c r="P14" s="189"/>
      <c r="Q14" s="189"/>
      <c r="R14" s="189"/>
      <c r="S14" s="189"/>
      <c r="T14" s="189"/>
      <c r="U14" s="189"/>
      <c r="V14" s="189"/>
      <c r="W14" s="189"/>
      <c r="X14" s="370"/>
    </row>
    <row r="15" spans="1:24" ht="11.25" customHeight="1">
      <c r="A15" s="1209" t="str">
        <f>A3A!A117</f>
        <v>Vote 11 - [NAME OF VOTE 11]</v>
      </c>
      <c r="B15" s="1188"/>
      <c r="C15" s="192">
        <f>A3A!C117</f>
        <v>0</v>
      </c>
      <c r="D15" s="192">
        <f>A3A!D117</f>
        <v>0</v>
      </c>
      <c r="E15" s="191">
        <f>A3A!E117</f>
        <v>0</v>
      </c>
      <c r="F15" s="194">
        <f>A3A!F117</f>
        <v>0</v>
      </c>
      <c r="G15" s="192">
        <f>A3A!G117</f>
        <v>0</v>
      </c>
      <c r="H15" s="193">
        <f>A3A!H117</f>
        <v>0</v>
      </c>
      <c r="I15" s="1273">
        <f>A3A!I117</f>
        <v>0</v>
      </c>
      <c r="J15" s="191">
        <f>A3A!J117</f>
        <v>0</v>
      </c>
      <c r="K15" s="1274">
        <f>A3A!K117</f>
        <v>0</v>
      </c>
      <c r="L15" s="193">
        <f>A5A!L116</f>
        <v>0</v>
      </c>
      <c r="M15" s="189"/>
      <c r="N15" s="189"/>
      <c r="O15" s="189"/>
      <c r="P15" s="189"/>
      <c r="Q15" s="189"/>
      <c r="R15" s="189"/>
      <c r="S15" s="189"/>
      <c r="T15" s="189"/>
      <c r="U15" s="189"/>
      <c r="V15" s="189"/>
      <c r="W15" s="189"/>
      <c r="X15" s="370"/>
    </row>
    <row r="16" spans="1:24" ht="11.25" customHeight="1">
      <c r="A16" s="1209" t="str">
        <f>A3A!A128</f>
        <v>Vote 12 - [NAME OF VOTE 12]</v>
      </c>
      <c r="B16" s="1188"/>
      <c r="C16" s="192">
        <f>A3A!C128</f>
        <v>0</v>
      </c>
      <c r="D16" s="192">
        <f>A3A!D128</f>
        <v>0</v>
      </c>
      <c r="E16" s="191">
        <f>A3A!E128</f>
        <v>0</v>
      </c>
      <c r="F16" s="194">
        <f>A3A!F128</f>
        <v>0</v>
      </c>
      <c r="G16" s="192">
        <f>A3A!G128</f>
        <v>0</v>
      </c>
      <c r="H16" s="193">
        <f>A3A!H128</f>
        <v>0</v>
      </c>
      <c r="I16" s="1273">
        <f>A3A!I128</f>
        <v>0</v>
      </c>
      <c r="J16" s="191">
        <f>A3A!J128</f>
        <v>0</v>
      </c>
      <c r="K16" s="1274">
        <f>A3A!K128</f>
        <v>0</v>
      </c>
      <c r="L16" s="193">
        <f>A5A!L127</f>
        <v>0</v>
      </c>
      <c r="M16" s="189"/>
      <c r="N16" s="189"/>
      <c r="O16" s="189"/>
      <c r="P16" s="189"/>
      <c r="Q16" s="189"/>
      <c r="R16" s="189"/>
      <c r="S16" s="189"/>
      <c r="T16" s="189"/>
      <c r="U16" s="189"/>
      <c r="V16" s="189"/>
      <c r="W16" s="189"/>
      <c r="X16" s="370"/>
    </row>
    <row r="17" spans="1:24" ht="11.25" customHeight="1">
      <c r="A17" s="1209" t="str">
        <f>A3A!A139</f>
        <v>Vote 13 - [NAME OF VOTE 13]</v>
      </c>
      <c r="B17" s="1188"/>
      <c r="C17" s="192">
        <f>A3A!C139</f>
        <v>0</v>
      </c>
      <c r="D17" s="192">
        <f>A3A!D139</f>
        <v>0</v>
      </c>
      <c r="E17" s="191">
        <f>A3A!E139</f>
        <v>0</v>
      </c>
      <c r="F17" s="194">
        <f>A3A!F139</f>
        <v>0</v>
      </c>
      <c r="G17" s="192">
        <f>A3A!G139</f>
        <v>0</v>
      </c>
      <c r="H17" s="193">
        <f>A3A!H139</f>
        <v>0</v>
      </c>
      <c r="I17" s="1273">
        <f>A3A!I139</f>
        <v>0</v>
      </c>
      <c r="J17" s="191">
        <f>A3A!J139</f>
        <v>0</v>
      </c>
      <c r="K17" s="1274">
        <f>A3A!K139</f>
        <v>0</v>
      </c>
      <c r="L17" s="193">
        <f>A5A!L138</f>
        <v>0</v>
      </c>
      <c r="M17" s="189"/>
      <c r="N17" s="189"/>
      <c r="O17" s="189"/>
      <c r="P17" s="189"/>
      <c r="Q17" s="189"/>
      <c r="R17" s="189"/>
      <c r="S17" s="189"/>
      <c r="T17" s="189"/>
      <c r="U17" s="189"/>
      <c r="V17" s="189"/>
      <c r="W17" s="189"/>
      <c r="X17" s="370"/>
    </row>
    <row r="18" spans="1:24" ht="11.25" customHeight="1">
      <c r="A18" s="1209" t="str">
        <f>A3A!A150</f>
        <v>Vote 14 - [NAME OF VOTE 14]</v>
      </c>
      <c r="B18" s="1188"/>
      <c r="C18" s="192">
        <f>A3A!C150</f>
        <v>0</v>
      </c>
      <c r="D18" s="192">
        <f>A3A!D150</f>
        <v>0</v>
      </c>
      <c r="E18" s="191">
        <f>A3A!E150</f>
        <v>0</v>
      </c>
      <c r="F18" s="194">
        <f>A3A!F150</f>
        <v>0</v>
      </c>
      <c r="G18" s="192">
        <f>A3A!G150</f>
        <v>0</v>
      </c>
      <c r="H18" s="193">
        <f>A3A!H150</f>
        <v>0</v>
      </c>
      <c r="I18" s="1273">
        <f>A3A!I150</f>
        <v>0</v>
      </c>
      <c r="J18" s="191">
        <f>A3A!J150</f>
        <v>0</v>
      </c>
      <c r="K18" s="1274">
        <f>A3A!K150</f>
        <v>0</v>
      </c>
      <c r="L18" s="193">
        <f>A5A!L149</f>
        <v>0</v>
      </c>
      <c r="M18" s="189"/>
      <c r="N18" s="189"/>
      <c r="O18" s="189"/>
      <c r="P18" s="189"/>
      <c r="Q18" s="189"/>
      <c r="R18" s="189"/>
      <c r="S18" s="189"/>
      <c r="T18" s="189"/>
      <c r="U18" s="189"/>
      <c r="V18" s="189"/>
      <c r="W18" s="189"/>
      <c r="X18" s="370"/>
    </row>
    <row r="19" spans="1:24" ht="11.25" customHeight="1">
      <c r="A19" s="1209" t="str">
        <f>A3A!A161</f>
        <v>Vote 15 - [NAME OF VOTE 15]</v>
      </c>
      <c r="B19" s="1188"/>
      <c r="C19" s="192">
        <f>A3A!C161</f>
        <v>0</v>
      </c>
      <c r="D19" s="192">
        <f>A3A!D161</f>
        <v>0</v>
      </c>
      <c r="E19" s="191">
        <f>A3A!E161</f>
        <v>0</v>
      </c>
      <c r="F19" s="194">
        <f>A3A!F161</f>
        <v>0</v>
      </c>
      <c r="G19" s="192">
        <f>A3A!G161</f>
        <v>0</v>
      </c>
      <c r="H19" s="193">
        <f>A3A!H161</f>
        <v>0</v>
      </c>
      <c r="I19" s="2133">
        <f>A3A!I161</f>
        <v>0</v>
      </c>
      <c r="J19" s="191">
        <f>A3A!J161</f>
        <v>0</v>
      </c>
      <c r="K19" s="1274">
        <f>A3A!K161</f>
        <v>0</v>
      </c>
      <c r="L19" s="193">
        <f>A5A!L160</f>
        <v>0</v>
      </c>
      <c r="M19" s="189"/>
      <c r="N19" s="189"/>
      <c r="O19" s="189"/>
      <c r="P19" s="189"/>
      <c r="Q19" s="189"/>
      <c r="R19" s="189"/>
      <c r="S19" s="189"/>
      <c r="T19" s="189"/>
      <c r="U19" s="189"/>
      <c r="V19" s="189"/>
      <c r="W19" s="189"/>
      <c r="X19" s="370"/>
    </row>
    <row r="20" spans="1:24" ht="11.25" customHeight="1">
      <c r="A20" s="1368" t="s">
        <v>180</v>
      </c>
      <c r="B20" s="1367">
        <v>2</v>
      </c>
      <c r="C20" s="1369">
        <f>SUM(C5:C19)</f>
        <v>1969007203.8499999</v>
      </c>
      <c r="D20" s="1369">
        <f t="shared" ref="D20:K20" si="0">SUM(D5:D19)</f>
        <v>2218358431</v>
      </c>
      <c r="E20" s="1370">
        <f t="shared" si="0"/>
        <v>2175110929</v>
      </c>
      <c r="F20" s="1371">
        <f t="shared" si="0"/>
        <v>2809066817</v>
      </c>
      <c r="G20" s="1369">
        <f t="shared" si="0"/>
        <v>2755402455</v>
      </c>
      <c r="H20" s="1372">
        <f t="shared" si="0"/>
        <v>2755402455</v>
      </c>
      <c r="I20" s="1373">
        <f t="shared" si="0"/>
        <v>2729275535</v>
      </c>
      <c r="J20" s="1369">
        <f t="shared" si="0"/>
        <v>2834221951</v>
      </c>
      <c r="K20" s="2135">
        <f t="shared" si="0"/>
        <v>3072106834</v>
      </c>
      <c r="L20" s="199"/>
      <c r="M20" s="200"/>
      <c r="N20" s="200"/>
      <c r="O20" s="200"/>
      <c r="P20" s="200"/>
      <c r="Q20" s="200"/>
      <c r="R20" s="200"/>
      <c r="S20" s="200"/>
      <c r="T20" s="200"/>
      <c r="U20" s="200"/>
      <c r="V20" s="200"/>
      <c r="W20" s="200"/>
      <c r="X20" s="370"/>
    </row>
    <row r="21" spans="1:24" ht="5" customHeight="1">
      <c r="A21" s="1221"/>
      <c r="B21" s="1188"/>
      <c r="C21" s="1222"/>
      <c r="D21" s="1222"/>
      <c r="E21" s="1223"/>
      <c r="F21" s="1224"/>
      <c r="G21" s="1222"/>
      <c r="H21" s="1225"/>
      <c r="I21" s="1226"/>
      <c r="J21" s="1222"/>
      <c r="K21" s="2136"/>
      <c r="L21" s="195"/>
      <c r="M21" s="196"/>
      <c r="N21" s="196"/>
      <c r="O21" s="196"/>
      <c r="P21" s="196"/>
      <c r="Q21" s="196"/>
      <c r="R21" s="196"/>
      <c r="S21" s="196"/>
      <c r="T21" s="196"/>
      <c r="U21" s="196"/>
      <c r="V21" s="196"/>
      <c r="W21" s="196"/>
      <c r="X21" s="370"/>
    </row>
    <row r="22" spans="1:24" ht="11.25" customHeight="1">
      <c r="A22" s="1203" t="s">
        <v>951</v>
      </c>
      <c r="B22" s="1188">
        <v>1</v>
      </c>
      <c r="C22" s="1222"/>
      <c r="D22" s="1222"/>
      <c r="E22" s="1223"/>
      <c r="F22" s="1224"/>
      <c r="G22" s="1222"/>
      <c r="H22" s="1225"/>
      <c r="I22" s="1226"/>
      <c r="J22" s="1222"/>
      <c r="K22" s="2136"/>
      <c r="L22" s="195"/>
      <c r="M22" s="196"/>
      <c r="N22" s="196"/>
      <c r="O22" s="196"/>
      <c r="P22" s="196"/>
      <c r="Q22" s="196"/>
      <c r="R22" s="196"/>
      <c r="S22" s="196"/>
      <c r="T22" s="196"/>
      <c r="U22" s="196"/>
      <c r="V22" s="196"/>
      <c r="W22" s="196"/>
      <c r="X22" s="370"/>
    </row>
    <row r="23" spans="1:24" ht="11.25" customHeight="1">
      <c r="A23" s="1209" t="str">
        <f>A3A!A175</f>
        <v>Vote 1 - EXECUTIVE MAYOR</v>
      </c>
      <c r="B23" s="1188"/>
      <c r="C23" s="1210">
        <f>A3A!C175</f>
        <v>26012492.380000003</v>
      </c>
      <c r="D23" s="1210">
        <f>A3A!D175</f>
        <v>270557182</v>
      </c>
      <c r="E23" s="1211">
        <f>A3A!E175</f>
        <v>307056432</v>
      </c>
      <c r="F23" s="1212">
        <f>A3A!F175</f>
        <v>121263819.11200002</v>
      </c>
      <c r="G23" s="1210">
        <f>A3A!G175</f>
        <v>84096974</v>
      </c>
      <c r="H23" s="1213">
        <f>A3A!H175</f>
        <v>84096974</v>
      </c>
      <c r="I23" s="1214">
        <f>A3A!I175</f>
        <v>102242098</v>
      </c>
      <c r="J23" s="1210">
        <f>A3A!J175</f>
        <v>107536567</v>
      </c>
      <c r="K23" s="2129">
        <f>A3A!K175</f>
        <v>115168100</v>
      </c>
      <c r="L23" s="195"/>
      <c r="M23" s="196"/>
      <c r="N23" s="196"/>
      <c r="O23" s="196"/>
      <c r="P23" s="196"/>
      <c r="Q23" s="196"/>
      <c r="R23" s="196"/>
      <c r="S23" s="196"/>
      <c r="T23" s="196"/>
      <c r="U23" s="196"/>
      <c r="V23" s="196"/>
      <c r="W23" s="196"/>
      <c r="X23" s="370"/>
    </row>
    <row r="24" spans="1:24" ht="11.25" customHeight="1">
      <c r="A24" s="1209" t="str">
        <f>A3A!A186</f>
        <v>Vote 2 - MUNICIPAL MANAGER</v>
      </c>
      <c r="B24" s="1188"/>
      <c r="C24" s="1210">
        <f>A3A!C186</f>
        <v>78191285.139999986</v>
      </c>
      <c r="D24" s="1210">
        <f>A3A!D186</f>
        <v>43654562</v>
      </c>
      <c r="E24" s="1211">
        <f>A3A!E186</f>
        <v>34708027</v>
      </c>
      <c r="F24" s="1212">
        <f>A3A!F186</f>
        <v>65140953.824000001</v>
      </c>
      <c r="G24" s="1210">
        <f>A3A!G186</f>
        <v>117089130</v>
      </c>
      <c r="H24" s="1213">
        <f>A3A!H186</f>
        <v>117089130</v>
      </c>
      <c r="I24" s="1214">
        <f>A3A!I186</f>
        <v>70314287</v>
      </c>
      <c r="J24" s="1210">
        <f>A3A!J186</f>
        <v>53576580</v>
      </c>
      <c r="K24" s="2129">
        <f>A3A!K186</f>
        <v>56467576</v>
      </c>
      <c r="L24" s="208"/>
      <c r="M24" s="209"/>
      <c r="N24" s="209"/>
      <c r="O24" s="209"/>
      <c r="P24" s="209"/>
      <c r="Q24" s="209"/>
      <c r="R24" s="209"/>
      <c r="S24" s="209"/>
      <c r="T24" s="209"/>
      <c r="U24" s="209"/>
      <c r="V24" s="209"/>
      <c r="W24" s="209"/>
      <c r="X24" s="370"/>
    </row>
    <row r="25" spans="1:24" ht="11.25" customHeight="1">
      <c r="A25" s="1209" t="str">
        <f>A3A!A199</f>
        <v>Vote 3 - CORPORATE SUPPORT SERVICES</v>
      </c>
      <c r="B25" s="1188"/>
      <c r="C25" s="1210">
        <f>A3A!C199</f>
        <v>36262038</v>
      </c>
      <c r="D25" s="1210">
        <f>A3A!D199</f>
        <v>41107129</v>
      </c>
      <c r="E25" s="1211">
        <f>A3A!E199</f>
        <v>60346316</v>
      </c>
      <c r="F25" s="1212">
        <f>A3A!F199</f>
        <v>55659400.594000004</v>
      </c>
      <c r="G25" s="1210">
        <f>A3A!G199</f>
        <v>82977121</v>
      </c>
      <c r="H25" s="1213">
        <f>A3A!H199</f>
        <v>82977121</v>
      </c>
      <c r="I25" s="1214">
        <f>A3A!I199</f>
        <v>76475825</v>
      </c>
      <c r="J25" s="1210">
        <f>A3A!J199</f>
        <v>80691506</v>
      </c>
      <c r="K25" s="2129">
        <f>A3A!K199</f>
        <v>85291148</v>
      </c>
      <c r="L25" s="208"/>
      <c r="M25" s="209"/>
      <c r="N25" s="209"/>
      <c r="O25" s="209"/>
      <c r="P25" s="209"/>
      <c r="Q25" s="209"/>
      <c r="R25" s="209"/>
      <c r="S25" s="209"/>
      <c r="T25" s="209"/>
      <c r="U25" s="209"/>
      <c r="V25" s="209"/>
      <c r="W25" s="209"/>
      <c r="X25" s="370"/>
    </row>
    <row r="26" spans="1:24" ht="11.25" customHeight="1">
      <c r="A26" s="1209" t="str">
        <f>A3A!A210</f>
        <v>Vote 4 - BUDGET AND TREASURY OFFICE</v>
      </c>
      <c r="B26" s="1188"/>
      <c r="C26" s="1210">
        <f>A3A!C210</f>
        <v>39277060</v>
      </c>
      <c r="D26" s="1210">
        <f>A3A!D210</f>
        <v>53757028</v>
      </c>
      <c r="E26" s="1211">
        <f>A3A!E210</f>
        <v>64968196</v>
      </c>
      <c r="F26" s="1212">
        <f>A3A!F210</f>
        <v>116709879.56999999</v>
      </c>
      <c r="G26" s="1210">
        <f>A3A!G210</f>
        <v>141438139</v>
      </c>
      <c r="H26" s="1213">
        <f>A3A!H210</f>
        <v>141438139</v>
      </c>
      <c r="I26" s="1214">
        <f>A3A!I210</f>
        <v>182074109</v>
      </c>
      <c r="J26" s="1210">
        <f>A3A!J210</f>
        <v>174164237</v>
      </c>
      <c r="K26" s="2129">
        <f>A3A!K210</f>
        <v>165641919</v>
      </c>
      <c r="L26" s="208"/>
      <c r="M26" s="209"/>
      <c r="N26" s="209"/>
      <c r="O26" s="209"/>
      <c r="P26" s="209"/>
      <c r="Q26" s="209"/>
      <c r="R26" s="209"/>
      <c r="S26" s="209"/>
      <c r="T26" s="209"/>
      <c r="U26" s="209"/>
      <c r="V26" s="209"/>
      <c r="W26" s="209"/>
      <c r="X26" s="370"/>
    </row>
    <row r="27" spans="1:24" ht="11.25" customHeight="1">
      <c r="A27" s="1209" t="str">
        <f>A3A!A221</f>
        <v>Vote 5 - PUBLIC SAFETY</v>
      </c>
      <c r="B27" s="1188"/>
      <c r="C27" s="1210">
        <f>A3A!C221</f>
        <v>74484855.180000007</v>
      </c>
      <c r="D27" s="1210">
        <f>A3A!D221</f>
        <v>85339052</v>
      </c>
      <c r="E27" s="1211">
        <f>A3A!E221</f>
        <v>92516263</v>
      </c>
      <c r="F27" s="1212">
        <f>A3A!F221</f>
        <v>103924051.31800002</v>
      </c>
      <c r="G27" s="1210">
        <f>A3A!G221</f>
        <v>126537787</v>
      </c>
      <c r="H27" s="1213">
        <f>A3A!H221</f>
        <v>126537787</v>
      </c>
      <c r="I27" s="1214">
        <f>A3A!I221</f>
        <v>139827559</v>
      </c>
      <c r="J27" s="1210">
        <f>A3A!J221</f>
        <v>148107192</v>
      </c>
      <c r="K27" s="2129">
        <f>A3A!K221</f>
        <v>156179430</v>
      </c>
      <c r="L27" s="208"/>
      <c r="M27" s="209"/>
      <c r="N27" s="209"/>
      <c r="O27" s="209"/>
      <c r="P27" s="209"/>
      <c r="Q27" s="209"/>
      <c r="R27" s="209"/>
      <c r="S27" s="209"/>
      <c r="T27" s="209"/>
      <c r="U27" s="209"/>
      <c r="V27" s="209"/>
      <c r="W27" s="209"/>
      <c r="X27" s="370"/>
    </row>
    <row r="28" spans="1:24" ht="11.25" customHeight="1">
      <c r="A28" s="1209" t="str">
        <f>A3A!A232</f>
        <v>Vote 6 - PLANNING &amp; HUMAN SETTLEMENT</v>
      </c>
      <c r="B28" s="1188"/>
      <c r="C28" s="1210">
        <f>A3A!C232</f>
        <v>23827191.670000002</v>
      </c>
      <c r="D28" s="1210">
        <f>A3A!D232</f>
        <v>23723815</v>
      </c>
      <c r="E28" s="1211">
        <f>A3A!E232</f>
        <v>29095005</v>
      </c>
      <c r="F28" s="1212">
        <f>A3A!F232</f>
        <v>39459781.755999997</v>
      </c>
      <c r="G28" s="1210">
        <f>A3A!G232</f>
        <v>45204139</v>
      </c>
      <c r="H28" s="1213">
        <f>A3A!H232</f>
        <v>45204139</v>
      </c>
      <c r="I28" s="1214">
        <f>A3A!I232</f>
        <v>52010672</v>
      </c>
      <c r="J28" s="1210">
        <f>A3A!J232</f>
        <v>52242203</v>
      </c>
      <c r="K28" s="2129">
        <f>A3A!K232</f>
        <v>55183631</v>
      </c>
      <c r="L28" s="208"/>
      <c r="M28" s="209"/>
      <c r="N28" s="209"/>
      <c r="O28" s="209"/>
      <c r="P28" s="209"/>
      <c r="Q28" s="209"/>
      <c r="R28" s="209"/>
      <c r="S28" s="209"/>
      <c r="T28" s="209"/>
      <c r="U28" s="209"/>
      <c r="V28" s="209"/>
      <c r="W28" s="209"/>
      <c r="X28" s="370"/>
    </row>
    <row r="29" spans="1:24" ht="11.25" customHeight="1">
      <c r="A29" s="1209" t="str">
        <f>A3A!A243</f>
        <v xml:space="preserve">Vote 7 - LOCAL ECONOMIC DEVELOPMENT </v>
      </c>
      <c r="B29" s="1188"/>
      <c r="C29" s="1210">
        <f>A3A!C243</f>
        <v>5401728.6200000001</v>
      </c>
      <c r="D29" s="1210">
        <f>A3A!D243</f>
        <v>5788804</v>
      </c>
      <c r="E29" s="1211">
        <f>A3A!E243</f>
        <v>6326245</v>
      </c>
      <c r="F29" s="1212">
        <f>A3A!F243</f>
        <v>23555900.052000001</v>
      </c>
      <c r="G29" s="1210">
        <f>A3A!G243</f>
        <v>24125260</v>
      </c>
      <c r="H29" s="1213">
        <f>A3A!H243</f>
        <v>24125260</v>
      </c>
      <c r="I29" s="1214">
        <f>A3A!I243</f>
        <v>24327614</v>
      </c>
      <c r="J29" s="1210">
        <f>A3A!J243</f>
        <v>20446856</v>
      </c>
      <c r="K29" s="2129">
        <f>A3A!K243</f>
        <v>22673438</v>
      </c>
      <c r="L29" s="208"/>
      <c r="M29" s="209"/>
      <c r="N29" s="209"/>
      <c r="O29" s="209"/>
      <c r="P29" s="209"/>
      <c r="Q29" s="209"/>
      <c r="R29" s="209"/>
      <c r="S29" s="209"/>
      <c r="T29" s="209"/>
      <c r="U29" s="209"/>
      <c r="V29" s="209"/>
      <c r="W29" s="209"/>
      <c r="X29" s="370"/>
    </row>
    <row r="30" spans="1:24" ht="11.25" customHeight="1">
      <c r="A30" s="1209" t="str">
        <f>A3A!A254</f>
        <v>Vote 8 - COMMUNITY DEVELOPMENT</v>
      </c>
      <c r="B30" s="1188"/>
      <c r="C30" s="1210">
        <f>A3A!C254</f>
        <v>69923216.530000001</v>
      </c>
      <c r="D30" s="1210">
        <f>A3A!D254</f>
        <v>77615633</v>
      </c>
      <c r="E30" s="1211">
        <f>A3A!E254</f>
        <v>83382773</v>
      </c>
      <c r="F30" s="1212">
        <f>A3A!F254</f>
        <v>96347805.797999993</v>
      </c>
      <c r="G30" s="1210">
        <f>A3A!G254</f>
        <v>99673346</v>
      </c>
      <c r="H30" s="1213">
        <f>A3A!H254</f>
        <v>99673346</v>
      </c>
      <c r="I30" s="1214">
        <f>A3A!I254</f>
        <v>164497407</v>
      </c>
      <c r="J30" s="1210">
        <f>A3A!J254</f>
        <v>171829891</v>
      </c>
      <c r="K30" s="2129">
        <f>A3A!K254</f>
        <v>180692280</v>
      </c>
      <c r="L30" s="208"/>
      <c r="M30" s="209"/>
      <c r="N30" s="209"/>
      <c r="O30" s="209"/>
      <c r="P30" s="209"/>
      <c r="Q30" s="209"/>
      <c r="R30" s="209"/>
      <c r="S30" s="209"/>
      <c r="T30" s="209"/>
      <c r="U30" s="209"/>
      <c r="V30" s="209"/>
      <c r="W30" s="209"/>
      <c r="X30" s="370"/>
    </row>
    <row r="31" spans="1:24" ht="11.25" customHeight="1">
      <c r="A31" s="1209" t="str">
        <f>A3A!A265</f>
        <v>Vote 9 - TECHNICAL AND INFRASTRUCTURE</v>
      </c>
      <c r="B31" s="1188"/>
      <c r="C31" s="1210">
        <f>A3A!C265</f>
        <v>1432370430</v>
      </c>
      <c r="D31" s="1210">
        <f>A3A!D265</f>
        <v>1629733546</v>
      </c>
      <c r="E31" s="1211">
        <f>A3A!E265</f>
        <v>1521258319</v>
      </c>
      <c r="F31" s="1212">
        <f>A3A!F265</f>
        <v>1965084276.9319999</v>
      </c>
      <c r="G31" s="1210">
        <f>A3A!G265</f>
        <v>1875427070</v>
      </c>
      <c r="H31" s="1213">
        <f>A3A!H265</f>
        <v>1875427070</v>
      </c>
      <c r="I31" s="1214">
        <f>A3A!I265</f>
        <v>1754908774</v>
      </c>
      <c r="J31" s="1210">
        <f>A3A!J265</f>
        <v>1841138207</v>
      </c>
      <c r="K31" s="2129">
        <f>A3A!K265</f>
        <v>1949643433.5</v>
      </c>
      <c r="L31" s="208"/>
      <c r="M31" s="209"/>
      <c r="N31" s="209"/>
      <c r="O31" s="209"/>
      <c r="P31" s="209"/>
      <c r="Q31" s="209"/>
      <c r="R31" s="209"/>
      <c r="S31" s="209"/>
      <c r="T31" s="209"/>
      <c r="U31" s="209"/>
      <c r="V31" s="209"/>
      <c r="W31" s="209"/>
      <c r="X31" s="370"/>
    </row>
    <row r="32" spans="1:24" ht="11.25" customHeight="1">
      <c r="A32" s="1209" t="str">
        <f>A3A!A276</f>
        <v>Vote 10 - RUSTENBURG WATER SERVICE TRUST</v>
      </c>
      <c r="B32" s="1188"/>
      <c r="C32" s="1210">
        <f>A3A!C276</f>
        <v>0</v>
      </c>
      <c r="D32" s="1210">
        <f>A3A!D276</f>
        <v>0</v>
      </c>
      <c r="E32" s="1211">
        <f>A3A!E276</f>
        <v>0</v>
      </c>
      <c r="F32" s="1212">
        <f>A3A!F276</f>
        <v>120645161</v>
      </c>
      <c r="G32" s="1210">
        <f>A3A!G276</f>
        <v>120645161</v>
      </c>
      <c r="H32" s="1213">
        <f>A3A!H276</f>
        <v>120645161</v>
      </c>
      <c r="I32" s="1214">
        <f>A3A!I276</f>
        <v>144115854</v>
      </c>
      <c r="J32" s="1210">
        <f>A3A!J276</f>
        <v>148815408</v>
      </c>
      <c r="K32" s="2129">
        <f>A3A!K276</f>
        <v>193699723</v>
      </c>
      <c r="L32" s="208"/>
      <c r="M32" s="209"/>
      <c r="N32" s="209"/>
      <c r="O32" s="209"/>
      <c r="P32" s="209"/>
      <c r="Q32" s="209"/>
      <c r="R32" s="209"/>
      <c r="S32" s="209"/>
      <c r="T32" s="209"/>
      <c r="U32" s="209"/>
      <c r="V32" s="209"/>
      <c r="W32" s="209"/>
      <c r="X32" s="370"/>
    </row>
    <row r="33" spans="1:24" ht="11.25" customHeight="1">
      <c r="A33" s="1209" t="str">
        <f>A3A!A287</f>
        <v>Vote 11 - [NAME OF VOTE 11]</v>
      </c>
      <c r="B33" s="1188"/>
      <c r="C33" s="324">
        <f>A3A!C287</f>
        <v>0</v>
      </c>
      <c r="D33" s="324">
        <f>A3A!D287</f>
        <v>0</v>
      </c>
      <c r="E33" s="193">
        <f>A3A!E287</f>
        <v>0</v>
      </c>
      <c r="F33" s="194">
        <f>A3A!F287</f>
        <v>0</v>
      </c>
      <c r="G33" s="192">
        <f>A3A!G287</f>
        <v>0</v>
      </c>
      <c r="H33" s="193">
        <f>A3A!H287</f>
        <v>0</v>
      </c>
      <c r="I33" s="1273">
        <f>A3A!I287</f>
        <v>0</v>
      </c>
      <c r="J33" s="192">
        <f>A3A!J287</f>
        <v>0</v>
      </c>
      <c r="K33" s="1274">
        <f>A3A!K287</f>
        <v>0</v>
      </c>
      <c r="L33" s="193">
        <f>A3A!L288</f>
        <v>0</v>
      </c>
      <c r="M33" s="209"/>
      <c r="N33" s="209"/>
      <c r="O33" s="209"/>
      <c r="P33" s="209"/>
      <c r="Q33" s="209"/>
      <c r="R33" s="209"/>
      <c r="S33" s="209"/>
      <c r="T33" s="209"/>
      <c r="U33" s="209"/>
      <c r="V33" s="209"/>
      <c r="W33" s="209"/>
      <c r="X33" s="370"/>
    </row>
    <row r="34" spans="1:24" ht="11.25" customHeight="1">
      <c r="A34" s="1209" t="str">
        <f>A3A!A298</f>
        <v>Vote 12 - [NAME OF VOTE 12]</v>
      </c>
      <c r="B34" s="1188"/>
      <c r="C34" s="324">
        <f>A3A!C298</f>
        <v>0</v>
      </c>
      <c r="D34" s="324">
        <f>A3A!D298</f>
        <v>0</v>
      </c>
      <c r="E34" s="193">
        <f>A3A!E298</f>
        <v>0</v>
      </c>
      <c r="F34" s="194">
        <f>A3A!F298</f>
        <v>0</v>
      </c>
      <c r="G34" s="192">
        <f>A3A!G298</f>
        <v>0</v>
      </c>
      <c r="H34" s="193">
        <f>A3A!H298</f>
        <v>0</v>
      </c>
      <c r="I34" s="1273">
        <f>A3A!I298</f>
        <v>0</v>
      </c>
      <c r="J34" s="192">
        <f>A3A!J298</f>
        <v>0</v>
      </c>
      <c r="K34" s="1274">
        <f>A3A!K298</f>
        <v>0</v>
      </c>
      <c r="L34" s="193">
        <f>A3A!L299</f>
        <v>0</v>
      </c>
      <c r="M34" s="209"/>
      <c r="N34" s="209"/>
      <c r="O34" s="209"/>
      <c r="P34" s="209"/>
      <c r="Q34" s="209"/>
      <c r="R34" s="209"/>
      <c r="S34" s="209"/>
      <c r="T34" s="209"/>
      <c r="U34" s="209"/>
      <c r="V34" s="209"/>
      <c r="W34" s="209"/>
      <c r="X34" s="370"/>
    </row>
    <row r="35" spans="1:24" ht="11.25" customHeight="1">
      <c r="A35" s="1209" t="str">
        <f>A3A!A309</f>
        <v>Vote 13 - [NAME OF VOTE 13]</v>
      </c>
      <c r="B35" s="1188"/>
      <c r="C35" s="1513">
        <f>A3A!C309</f>
        <v>0</v>
      </c>
      <c r="D35" s="1513">
        <f>A3A!D309</f>
        <v>0</v>
      </c>
      <c r="E35" s="1514">
        <f>A3A!E309</f>
        <v>0</v>
      </c>
      <c r="F35" s="1515">
        <f>A3A!F309</f>
        <v>0</v>
      </c>
      <c r="G35" s="1473">
        <f>A3A!G309</f>
        <v>0</v>
      </c>
      <c r="H35" s="1514">
        <f>A3A!H309</f>
        <v>0</v>
      </c>
      <c r="I35" s="2130">
        <f>A3A!I309</f>
        <v>0</v>
      </c>
      <c r="J35" s="1473">
        <f>A3A!J309</f>
        <v>0</v>
      </c>
      <c r="K35" s="2137">
        <f>A3A!K309</f>
        <v>0</v>
      </c>
      <c r="L35" s="1514">
        <f>A3A!L310</f>
        <v>0</v>
      </c>
      <c r="M35" s="209"/>
      <c r="N35" s="209"/>
      <c r="O35" s="209"/>
      <c r="P35" s="209"/>
      <c r="Q35" s="209"/>
      <c r="R35" s="209"/>
      <c r="S35" s="209"/>
      <c r="T35" s="209"/>
      <c r="U35" s="209"/>
      <c r="V35" s="209"/>
      <c r="W35" s="209"/>
      <c r="X35" s="370"/>
    </row>
    <row r="36" spans="1:24" ht="11.25" customHeight="1">
      <c r="A36" s="1209" t="str">
        <f>A3A!A320</f>
        <v>Vote 14 - [NAME OF VOTE 14]</v>
      </c>
      <c r="B36" s="1188"/>
      <c r="C36" s="1513">
        <f>A3A!C320</f>
        <v>0</v>
      </c>
      <c r="D36" s="1513">
        <f>A3A!D320</f>
        <v>0</v>
      </c>
      <c r="E36" s="1514">
        <f>A3A!E320</f>
        <v>0</v>
      </c>
      <c r="F36" s="1515">
        <f>A3A!F320</f>
        <v>0</v>
      </c>
      <c r="G36" s="1473">
        <f>A3A!G320</f>
        <v>0</v>
      </c>
      <c r="H36" s="1514">
        <f>A3A!H320</f>
        <v>0</v>
      </c>
      <c r="I36" s="2130">
        <f>A3A!I320</f>
        <v>0</v>
      </c>
      <c r="J36" s="1473">
        <f>A3A!J320</f>
        <v>0</v>
      </c>
      <c r="K36" s="2137">
        <f>A3A!K320</f>
        <v>0</v>
      </c>
      <c r="L36" s="1514">
        <f>A3A!L321</f>
        <v>0</v>
      </c>
      <c r="M36" s="209"/>
      <c r="N36" s="209"/>
      <c r="O36" s="209"/>
      <c r="P36" s="209"/>
      <c r="Q36" s="209"/>
      <c r="R36" s="209"/>
      <c r="S36" s="209"/>
      <c r="T36" s="209"/>
      <c r="U36" s="209"/>
      <c r="V36" s="209"/>
      <c r="W36" s="209"/>
      <c r="X36" s="370"/>
    </row>
    <row r="37" spans="1:24" ht="11.25" customHeight="1">
      <c r="A37" s="1209" t="str">
        <f>A3A!A331</f>
        <v>Vote 15 - [NAME OF VOTE 15]</v>
      </c>
      <c r="B37" s="1188"/>
      <c r="C37" s="1513">
        <f>A3A!C331</f>
        <v>0</v>
      </c>
      <c r="D37" s="1513">
        <f>A3A!D331</f>
        <v>0</v>
      </c>
      <c r="E37" s="1514">
        <f>A3A!E331</f>
        <v>0</v>
      </c>
      <c r="F37" s="1515">
        <f>A3A!F331</f>
        <v>0</v>
      </c>
      <c r="G37" s="1473">
        <f>A3A!G331</f>
        <v>0</v>
      </c>
      <c r="H37" s="1514">
        <f>A3A!H331</f>
        <v>0</v>
      </c>
      <c r="I37" s="2130">
        <f>A3A!I331</f>
        <v>0</v>
      </c>
      <c r="J37" s="1473">
        <f>A3A!J331</f>
        <v>0</v>
      </c>
      <c r="K37" s="2137">
        <f>A3A!K331</f>
        <v>0</v>
      </c>
      <c r="L37" s="1514">
        <f>A3A!L332</f>
        <v>0</v>
      </c>
      <c r="M37" s="209"/>
      <c r="N37" s="209"/>
      <c r="O37" s="209"/>
      <c r="P37" s="209"/>
      <c r="Q37" s="209"/>
      <c r="R37" s="209"/>
      <c r="S37" s="209"/>
      <c r="T37" s="209"/>
      <c r="U37" s="209"/>
      <c r="V37" s="209"/>
      <c r="W37" s="209"/>
      <c r="X37" s="370"/>
    </row>
    <row r="38" spans="1:24" ht="11.25" customHeight="1">
      <c r="A38" s="1368" t="s">
        <v>179</v>
      </c>
      <c r="B38" s="1367">
        <v>2</v>
      </c>
      <c r="C38" s="1374">
        <f>SUM(C23:C37)</f>
        <v>1785750297.52</v>
      </c>
      <c r="D38" s="1374">
        <f t="shared" ref="D38:K38" si="1">SUM(D23:D37)</f>
        <v>2231276751</v>
      </c>
      <c r="E38" s="1375">
        <f t="shared" si="1"/>
        <v>2199657576</v>
      </c>
      <c r="F38" s="1376">
        <f t="shared" si="1"/>
        <v>2707791029.9559999</v>
      </c>
      <c r="G38" s="1374">
        <f t="shared" si="1"/>
        <v>2717214127</v>
      </c>
      <c r="H38" s="1377">
        <f t="shared" si="1"/>
        <v>2717214127</v>
      </c>
      <c r="I38" s="1378">
        <f t="shared" si="1"/>
        <v>2710794199</v>
      </c>
      <c r="J38" s="1374">
        <f t="shared" si="1"/>
        <v>2798548647</v>
      </c>
      <c r="K38" s="2131">
        <f t="shared" si="1"/>
        <v>2980640678.5</v>
      </c>
      <c r="L38" s="199">
        <f t="shared" ref="L38:W38" si="2">SUM(L23:L29)</f>
        <v>0</v>
      </c>
      <c r="M38" s="200">
        <f t="shared" si="2"/>
        <v>0</v>
      </c>
      <c r="N38" s="200">
        <f t="shared" si="2"/>
        <v>0</v>
      </c>
      <c r="O38" s="200">
        <f t="shared" si="2"/>
        <v>0</v>
      </c>
      <c r="P38" s="200">
        <f t="shared" si="2"/>
        <v>0</v>
      </c>
      <c r="Q38" s="200">
        <f t="shared" si="2"/>
        <v>0</v>
      </c>
      <c r="R38" s="200">
        <f t="shared" si="2"/>
        <v>0</v>
      </c>
      <c r="S38" s="200">
        <f t="shared" si="2"/>
        <v>0</v>
      </c>
      <c r="T38" s="200">
        <f t="shared" si="2"/>
        <v>0</v>
      </c>
      <c r="U38" s="200">
        <f t="shared" si="2"/>
        <v>0</v>
      </c>
      <c r="V38" s="200">
        <f t="shared" si="2"/>
        <v>0</v>
      </c>
      <c r="W38" s="200">
        <f t="shared" si="2"/>
        <v>0</v>
      </c>
      <c r="X38" s="370"/>
    </row>
    <row r="39" spans="1:24" ht="11" thickBot="1">
      <c r="A39" s="1227" t="str">
        <f>result</f>
        <v>Surplus/(Deficit) for the year</v>
      </c>
      <c r="B39" s="1192">
        <v>2</v>
      </c>
      <c r="C39" s="1153">
        <f t="shared" ref="C39:W39" si="3">C20-C38</f>
        <v>183256906.32999992</v>
      </c>
      <c r="D39" s="1153">
        <f t="shared" si="3"/>
        <v>-12918320</v>
      </c>
      <c r="E39" s="1228">
        <f t="shared" si="3"/>
        <v>-24546647</v>
      </c>
      <c r="F39" s="1229">
        <f t="shared" si="3"/>
        <v>101275787.04400015</v>
      </c>
      <c r="G39" s="1230">
        <f t="shared" si="3"/>
        <v>38188328</v>
      </c>
      <c r="H39" s="1231">
        <f t="shared" si="3"/>
        <v>38188328</v>
      </c>
      <c r="I39" s="1232">
        <f t="shared" si="3"/>
        <v>18481336</v>
      </c>
      <c r="J39" s="1230">
        <f t="shared" si="3"/>
        <v>35673304</v>
      </c>
      <c r="K39" s="2138">
        <f t="shared" si="3"/>
        <v>91466155.5</v>
      </c>
      <c r="L39" s="233">
        <f t="shared" si="3"/>
        <v>0</v>
      </c>
      <c r="M39" s="234">
        <f t="shared" si="3"/>
        <v>0</v>
      </c>
      <c r="N39" s="234">
        <f t="shared" si="3"/>
        <v>0</v>
      </c>
      <c r="O39" s="234">
        <f t="shared" si="3"/>
        <v>0</v>
      </c>
      <c r="P39" s="234">
        <f t="shared" si="3"/>
        <v>0</v>
      </c>
      <c r="Q39" s="234">
        <f t="shared" si="3"/>
        <v>0</v>
      </c>
      <c r="R39" s="234">
        <f t="shared" si="3"/>
        <v>0</v>
      </c>
      <c r="S39" s="234">
        <f t="shared" si="3"/>
        <v>0</v>
      </c>
      <c r="T39" s="234">
        <f t="shared" si="3"/>
        <v>0</v>
      </c>
      <c r="U39" s="234">
        <f t="shared" si="3"/>
        <v>0</v>
      </c>
      <c r="V39" s="234">
        <f t="shared" si="3"/>
        <v>0</v>
      </c>
      <c r="W39" s="234">
        <f t="shared" si="3"/>
        <v>0</v>
      </c>
      <c r="X39" s="370"/>
    </row>
    <row r="40" spans="1:24" s="709" customFormat="1" ht="11.25" customHeight="1" thickTop="1">
      <c r="A40" s="1233" t="str">
        <f>head27a</f>
        <v>References</v>
      </c>
      <c r="B40" s="1234"/>
      <c r="C40" s="1159"/>
      <c r="D40" s="1235"/>
      <c r="E40" s="1236"/>
      <c r="F40" s="1236"/>
      <c r="G40" s="1236"/>
      <c r="H40" s="1236"/>
      <c r="I40" s="1236"/>
      <c r="J40" s="1236"/>
      <c r="K40" s="1236"/>
    </row>
    <row r="41" spans="1:24" s="709" customFormat="1" ht="11.25" customHeight="1">
      <c r="A41" s="1198" t="s">
        <v>190</v>
      </c>
      <c r="B41" s="1234"/>
      <c r="C41" s="1237"/>
      <c r="D41" s="1237"/>
      <c r="E41" s="1238"/>
      <c r="F41" s="1238"/>
      <c r="G41" s="1238"/>
      <c r="H41" s="1238"/>
      <c r="I41" s="1238"/>
      <c r="J41" s="1238"/>
      <c r="K41" s="1238"/>
    </row>
    <row r="42" spans="1:24" s="709" customFormat="1" ht="11.25" customHeight="1">
      <c r="A42" s="1239" t="s">
        <v>189</v>
      </c>
      <c r="B42" s="1234"/>
      <c r="C42" s="1237"/>
      <c r="D42" s="1237"/>
      <c r="E42" s="1238"/>
      <c r="F42" s="1238"/>
      <c r="G42" s="1238"/>
      <c r="H42" s="1238"/>
      <c r="I42" s="1238"/>
      <c r="J42" s="1238"/>
      <c r="K42" s="1238"/>
    </row>
    <row r="43" spans="1:24" s="709" customFormat="1" ht="11.25" customHeight="1">
      <c r="A43" s="1239" t="s">
        <v>438</v>
      </c>
      <c r="B43" s="1194"/>
      <c r="C43" s="1240"/>
      <c r="D43" s="1240"/>
      <c r="E43" s="1241"/>
      <c r="F43" s="1241"/>
      <c r="G43" s="1241"/>
      <c r="H43" s="1241"/>
      <c r="I43" s="1241"/>
      <c r="J43" s="1241"/>
      <c r="K43" s="1241"/>
    </row>
    <row r="44" spans="1:24" ht="11.25" customHeight="1">
      <c r="A44" s="1195"/>
      <c r="B44" s="704"/>
      <c r="C44" s="707"/>
      <c r="D44" s="707"/>
      <c r="E44" s="707"/>
      <c r="F44" s="707"/>
      <c r="G44" s="707"/>
      <c r="H44" s="707"/>
      <c r="I44" s="707"/>
      <c r="J44" s="707"/>
      <c r="K44" s="707"/>
    </row>
    <row r="45" spans="1:24" ht="11.25" customHeight="1">
      <c r="A45" s="1240" t="str">
        <f>"check "&amp;A39</f>
        <v>check Surplus/(Deficit) for the year</v>
      </c>
      <c r="B45" s="704"/>
      <c r="C45" s="1241">
        <f>C39-A3A!C344</f>
        <v>0</v>
      </c>
      <c r="D45" s="1241">
        <f>D39-A3A!D344</f>
        <v>0</v>
      </c>
      <c r="E45" s="1241">
        <f>E39-A3A!E344</f>
        <v>0</v>
      </c>
      <c r="F45" s="1241">
        <f>F39-A3A!F344</f>
        <v>0</v>
      </c>
      <c r="G45" s="1241">
        <f>G39-A3A!G344</f>
        <v>0</v>
      </c>
      <c r="H45" s="1241">
        <f>H39-A3A!H344</f>
        <v>0</v>
      </c>
      <c r="I45" s="1241">
        <f>I39-A3A!I344</f>
        <v>0</v>
      </c>
      <c r="J45" s="1241">
        <f>J39-A3A!J344</f>
        <v>0</v>
      </c>
      <c r="K45" s="1241">
        <f>K39-A3A!K344</f>
        <v>0</v>
      </c>
    </row>
    <row r="46" spans="1:24" ht="11.25" customHeight="1">
      <c r="A46" s="244"/>
      <c r="C46" s="245"/>
      <c r="D46" s="245"/>
      <c r="E46" s="245"/>
      <c r="F46" s="245"/>
      <c r="G46" s="245"/>
      <c r="H46" s="245"/>
      <c r="I46" s="245"/>
      <c r="J46" s="245"/>
      <c r="K46" s="245"/>
    </row>
    <row r="47" spans="1:24" ht="11.25" customHeight="1">
      <c r="A47" s="246"/>
    </row>
    <row r="48" spans="1:24" ht="11.25" customHeight="1">
      <c r="A48" s="246"/>
    </row>
    <row r="49" spans="3:11" ht="11.25" customHeight="1">
      <c r="C49" s="362"/>
      <c r="D49" s="362"/>
      <c r="E49" s="362"/>
      <c r="F49" s="362"/>
      <c r="G49" s="362"/>
      <c r="H49" s="362"/>
      <c r="I49" s="362"/>
      <c r="J49" s="362"/>
      <c r="K49" s="362"/>
    </row>
    <row r="50" spans="3:11" ht="11.25" customHeight="1"/>
    <row r="51" spans="3:11" ht="11.25" customHeight="1"/>
    <row r="52" spans="3:11" ht="11.25" customHeight="1"/>
    <row r="53" spans="3:11" ht="11.25" customHeight="1"/>
    <row r="54" spans="3:11" ht="11.25" customHeight="1"/>
    <row r="55" spans="3:11" ht="11.25" customHeight="1"/>
    <row r="56" spans="3:11" ht="11.25" customHeight="1"/>
    <row r="57" spans="3:11" ht="11.25" customHeight="1"/>
    <row r="58" spans="3:11" ht="11.25" customHeight="1"/>
    <row r="59" spans="3:11" ht="11.25" customHeight="1"/>
    <row r="60" spans="3:11" ht="11.25" customHeight="1"/>
    <row r="61" spans="3:11" ht="11.25" customHeight="1"/>
    <row r="62" spans="3:11" ht="11.25" customHeight="1"/>
    <row r="63" spans="3:11" ht="11.25" customHeight="1"/>
    <row r="64" spans="3: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3">
    <mergeCell ref="F2:H2"/>
    <mergeCell ref="I2:K2"/>
    <mergeCell ref="L2:W2"/>
  </mergeCells>
  <phoneticPr fontId="5" type="noConversion"/>
  <printOptions horizontalCentered="1"/>
  <pageMargins left="0.34"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4"/>
  </sheetPr>
  <dimension ref="A1:W383"/>
  <sheetViews>
    <sheetView showGridLines="0" showZeros="0" workbookViewId="0">
      <pane xSplit="2" ySplit="3" topLeftCell="C340" activePane="bottomRight" state="frozen"/>
      <selection pane="topRight"/>
      <selection pane="bottomLeft"/>
      <selection pane="bottomRight" activeCell="C351" sqref="C351"/>
    </sheetView>
  </sheetViews>
  <sheetFormatPr baseColWidth="10" defaultColWidth="8.83203125" defaultRowHeight="10" x14ac:dyDescent="0"/>
  <cols>
    <col min="1" max="1" width="30.6640625" style="149" customWidth="1"/>
    <col min="2" max="2" width="5.5" style="1048" customWidth="1"/>
    <col min="3" max="11" width="9.33203125" style="149" customWidth="1"/>
    <col min="12" max="23" width="9.1640625" style="149" hidden="1" customWidth="1"/>
    <col min="24" max="16384" width="8.83203125" style="149"/>
  </cols>
  <sheetData>
    <row r="1" spans="1:23" s="179" customFormat="1" ht="12">
      <c r="A1" s="1122" t="str">
        <f>muni&amp;" - "&amp;Approve2&amp;"A"</f>
        <v>NW373 Rustenburg - Table A3 Consolidated Budgeted Financial Performance (revenue and expenditure by municipal vote)A</v>
      </c>
      <c r="B1" s="1122"/>
      <c r="C1" s="1122"/>
      <c r="D1" s="1122"/>
      <c r="E1" s="1122"/>
      <c r="F1" s="1122"/>
      <c r="G1" s="1122"/>
      <c r="H1" s="1122"/>
      <c r="I1" s="1122"/>
      <c r="J1" s="1122"/>
      <c r="K1" s="1122"/>
    </row>
    <row r="2" spans="1:23" ht="28.5" customHeight="1">
      <c r="A2" s="1199" t="str">
        <f>Vdesc</f>
        <v>Vote Description</v>
      </c>
      <c r="B2" s="1200" t="str">
        <f>head27</f>
        <v>Ref</v>
      </c>
      <c r="C2" s="1124" t="str">
        <f>head1b</f>
        <v>2009/10</v>
      </c>
      <c r="D2" s="1124" t="str">
        <f>head1A</f>
        <v>2010/11</v>
      </c>
      <c r="E2" s="1125" t="str">
        <f>Head1</f>
        <v>2011/12</v>
      </c>
      <c r="F2" s="2771" t="str">
        <f>Head2</f>
        <v>Current Year 2012/13</v>
      </c>
      <c r="G2" s="2772"/>
      <c r="H2" s="2772"/>
      <c r="I2" s="2773" t="str">
        <f>Head3</f>
        <v>2013/14 Medium Term Revenue &amp; Expenditure Framework</v>
      </c>
      <c r="J2" s="2774"/>
      <c r="K2" s="2775"/>
      <c r="L2" s="2776" t="str">
        <f>Head4</f>
        <v>LTFS</v>
      </c>
      <c r="M2" s="2777"/>
      <c r="N2" s="2777"/>
      <c r="O2" s="2777"/>
      <c r="P2" s="2777"/>
      <c r="Q2" s="2777"/>
      <c r="R2" s="2777"/>
      <c r="S2" s="2777"/>
      <c r="T2" s="2777"/>
      <c r="U2" s="2777"/>
      <c r="V2" s="2777"/>
      <c r="W2" s="2778"/>
    </row>
    <row r="3" spans="1:23" ht="20">
      <c r="A3" s="1201" t="s">
        <v>667</v>
      </c>
      <c r="B3" s="1202"/>
      <c r="C3" s="1126" t="str">
        <f>Head5</f>
        <v>Audited Outcome</v>
      </c>
      <c r="D3" s="1126" t="str">
        <f>Head5</f>
        <v>Audited Outcome</v>
      </c>
      <c r="E3" s="1127" t="str">
        <f>Head5</f>
        <v>Audited 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c r="L3" s="1549" t="str">
        <f>Head12</f>
        <v>Forecast 2016/17</v>
      </c>
      <c r="M3" s="1550" t="str">
        <f>Head13</f>
        <v>Forecast 2017/18</v>
      </c>
      <c r="N3" s="1550" t="str">
        <f>Head14</f>
        <v>Forecast 2018/19</v>
      </c>
      <c r="O3" s="1550" t="str">
        <f>Head15</f>
        <v>Forecast 2019/20</v>
      </c>
      <c r="P3" s="1550" t="str">
        <f>Head16</f>
        <v>Forecast 2020/21</v>
      </c>
      <c r="Q3" s="1550" t="str">
        <f>Head17</f>
        <v>Forecast 2021/22</v>
      </c>
      <c r="R3" s="1550" t="str">
        <f>Head18</f>
        <v>Forecast 2022/23</v>
      </c>
      <c r="S3" s="1550" t="str">
        <f>Head19</f>
        <v>Forecast 2023/24</v>
      </c>
      <c r="T3" s="1550" t="str">
        <f>Head20</f>
        <v>Forecast 2024/25</v>
      </c>
      <c r="U3" s="1550" t="str">
        <f>Head21</f>
        <v>Forecast 2025/26</v>
      </c>
      <c r="V3" s="1550" t="str">
        <f>Head22</f>
        <v>Forecast 2026/27</v>
      </c>
      <c r="W3" s="1550" t="str">
        <f>Head23</f>
        <v>Forecast 2027/28</v>
      </c>
    </row>
    <row r="4" spans="1:23" ht="11.25" customHeight="1">
      <c r="A4" s="1203" t="s">
        <v>1371</v>
      </c>
      <c r="B4" s="1188">
        <v>1</v>
      </c>
      <c r="C4" s="1204"/>
      <c r="D4" s="1204"/>
      <c r="E4" s="1205"/>
      <c r="F4" s="1206"/>
      <c r="G4" s="1204"/>
      <c r="H4" s="1207"/>
      <c r="I4" s="1208"/>
      <c r="J4" s="1204"/>
      <c r="K4" s="1205"/>
      <c r="L4" s="188"/>
      <c r="M4" s="189"/>
      <c r="N4" s="189"/>
      <c r="O4" s="189"/>
      <c r="P4" s="189"/>
      <c r="Q4" s="189"/>
      <c r="R4" s="189"/>
      <c r="S4" s="189"/>
      <c r="T4" s="189"/>
      <c r="U4" s="189"/>
      <c r="V4" s="189"/>
      <c r="W4" s="189"/>
    </row>
    <row r="5" spans="1:23" ht="15" customHeight="1">
      <c r="A5" s="1169" t="str">
        <f>'Org structure'!A2</f>
        <v>Vote 1 - EXECUTIVE MAYOR</v>
      </c>
      <c r="B5" s="1058"/>
      <c r="C5" s="976">
        <f>SUM(C6:C15)</f>
        <v>444028819</v>
      </c>
      <c r="D5" s="976">
        <f t="shared" ref="D5:K5" si="0">SUM(D6:D15)</f>
        <v>468447502</v>
      </c>
      <c r="E5" s="977">
        <f t="shared" si="0"/>
        <v>357707350</v>
      </c>
      <c r="F5" s="978">
        <f t="shared" si="0"/>
        <v>177173848</v>
      </c>
      <c r="G5" s="976">
        <f t="shared" si="0"/>
        <v>157390311</v>
      </c>
      <c r="H5" s="979">
        <f t="shared" si="0"/>
        <v>157390311</v>
      </c>
      <c r="I5" s="980">
        <f t="shared" si="0"/>
        <v>204196087</v>
      </c>
      <c r="J5" s="976">
        <f t="shared" si="0"/>
        <v>183345140</v>
      </c>
      <c r="K5" s="977">
        <f t="shared" si="0"/>
        <v>171297488</v>
      </c>
      <c r="L5" s="188"/>
      <c r="M5" s="189"/>
      <c r="N5" s="189"/>
      <c r="O5" s="189"/>
      <c r="P5" s="189"/>
      <c r="Q5" s="189"/>
      <c r="R5" s="189"/>
      <c r="S5" s="189"/>
      <c r="T5" s="189"/>
      <c r="U5" s="189"/>
      <c r="V5" s="189"/>
      <c r="W5" s="189"/>
    </row>
    <row r="6" spans="1:23" ht="11.25" customHeight="1">
      <c r="A6" s="1170" t="str">
        <f>'Org structure'!E3</f>
        <v>1.1 - 001 - OFFICE OF THE EXECUTIVE MAYOR</v>
      </c>
      <c r="B6" s="1046"/>
      <c r="C6" s="2523">
        <v>0</v>
      </c>
      <c r="D6" s="2524">
        <v>235180</v>
      </c>
      <c r="E6" s="1629">
        <v>0</v>
      </c>
      <c r="F6" s="2538">
        <v>0</v>
      </c>
      <c r="G6" s="1628">
        <v>170000</v>
      </c>
      <c r="H6" s="1628">
        <v>170000</v>
      </c>
      <c r="I6" s="2538">
        <v>0</v>
      </c>
      <c r="J6" s="1628">
        <v>0</v>
      </c>
      <c r="K6" s="1629">
        <v>0</v>
      </c>
      <c r="L6" s="188"/>
      <c r="M6" s="189"/>
      <c r="N6" s="189"/>
      <c r="O6" s="189"/>
      <c r="P6" s="189"/>
      <c r="Q6" s="189"/>
      <c r="R6" s="189"/>
      <c r="S6" s="189"/>
      <c r="T6" s="189"/>
      <c r="U6" s="189"/>
      <c r="V6" s="189"/>
      <c r="W6" s="189"/>
    </row>
    <row r="7" spans="1:23" ht="11.25" customHeight="1">
      <c r="A7" s="1170" t="str">
        <f>'Org structure'!E4</f>
        <v>1.2 - 002 - OFFICE OF THE SPEAKER</v>
      </c>
      <c r="B7" s="1046"/>
      <c r="C7" s="1628">
        <v>611825</v>
      </c>
      <c r="D7" s="1629">
        <v>1514280</v>
      </c>
      <c r="E7" s="1629">
        <v>504413</v>
      </c>
      <c r="F7" s="2538">
        <v>400000</v>
      </c>
      <c r="G7" s="1628">
        <v>400000</v>
      </c>
      <c r="H7" s="1628">
        <v>400000</v>
      </c>
      <c r="I7" s="2538">
        <v>445000</v>
      </c>
      <c r="J7" s="1628">
        <v>467000</v>
      </c>
      <c r="K7" s="1629">
        <v>483500</v>
      </c>
      <c r="L7" s="188"/>
      <c r="M7" s="189"/>
      <c r="N7" s="189"/>
      <c r="O7" s="189"/>
      <c r="P7" s="189"/>
      <c r="Q7" s="189"/>
      <c r="R7" s="189"/>
      <c r="S7" s="189"/>
      <c r="T7" s="189"/>
      <c r="U7" s="189"/>
      <c r="V7" s="189"/>
      <c r="W7" s="189"/>
    </row>
    <row r="8" spans="1:23" ht="11.25" customHeight="1">
      <c r="A8" s="1170" t="str">
        <f>'Org structure'!E5</f>
        <v>1.3 - 003 - MAYORAL COMMITTEE</v>
      </c>
      <c r="B8" s="1046"/>
      <c r="C8" s="1628">
        <v>0</v>
      </c>
      <c r="D8" s="1629">
        <v>0</v>
      </c>
      <c r="E8" s="1629">
        <v>0</v>
      </c>
      <c r="F8" s="2538"/>
      <c r="G8" s="1628">
        <v>0</v>
      </c>
      <c r="H8" s="1628">
        <v>0</v>
      </c>
      <c r="I8" s="2538">
        <v>0</v>
      </c>
      <c r="J8" s="1628">
        <v>0</v>
      </c>
      <c r="K8" s="1629">
        <v>0</v>
      </c>
      <c r="L8" s="188"/>
      <c r="M8" s="189"/>
      <c r="N8" s="189"/>
      <c r="O8" s="189"/>
      <c r="P8" s="189"/>
      <c r="Q8" s="189"/>
      <c r="R8" s="189"/>
      <c r="S8" s="189"/>
      <c r="T8" s="189"/>
      <c r="U8" s="189"/>
      <c r="V8" s="189"/>
      <c r="W8" s="189"/>
    </row>
    <row r="9" spans="1:23" ht="11.25" customHeight="1">
      <c r="A9" s="1170" t="str">
        <f>'Org structure'!E6</f>
        <v>1.4 - 004 - COUNCIL GENERAL</v>
      </c>
      <c r="B9" s="1046"/>
      <c r="C9" s="1628">
        <v>443416994</v>
      </c>
      <c r="D9" s="1629">
        <v>466698042</v>
      </c>
      <c r="E9" s="1629">
        <v>357202937</v>
      </c>
      <c r="F9" s="2538">
        <v>176773848</v>
      </c>
      <c r="G9" s="1628">
        <v>156820311</v>
      </c>
      <c r="H9" s="1628">
        <v>156820311</v>
      </c>
      <c r="I9" s="2538">
        <v>203751087</v>
      </c>
      <c r="J9" s="1628">
        <v>182878140</v>
      </c>
      <c r="K9" s="1629">
        <v>170813988</v>
      </c>
      <c r="L9" s="188"/>
      <c r="M9" s="189"/>
      <c r="N9" s="189"/>
      <c r="O9" s="189"/>
      <c r="P9" s="189"/>
      <c r="Q9" s="189"/>
      <c r="R9" s="189"/>
      <c r="S9" s="189"/>
      <c r="T9" s="189"/>
      <c r="U9" s="189"/>
      <c r="V9" s="189"/>
      <c r="W9" s="189"/>
    </row>
    <row r="10" spans="1:23" ht="11.25" customHeight="1">
      <c r="A10" s="1170" t="str">
        <f>'Org structure'!E7</f>
        <v>1.5 - 005 - OFFICE OF THE CHIEF WHIP</v>
      </c>
      <c r="B10" s="1046"/>
      <c r="C10" s="1628">
        <v>0</v>
      </c>
      <c r="D10" s="1629">
        <v>0</v>
      </c>
      <c r="E10" s="1629">
        <v>0</v>
      </c>
      <c r="F10" s="2538">
        <v>0</v>
      </c>
      <c r="G10" s="1628">
        <v>0</v>
      </c>
      <c r="H10" s="1628"/>
      <c r="I10" s="2538">
        <v>0</v>
      </c>
      <c r="J10" s="1628">
        <v>0</v>
      </c>
      <c r="K10" s="1629">
        <v>0</v>
      </c>
      <c r="L10" s="188"/>
      <c r="M10" s="189"/>
      <c r="N10" s="189"/>
      <c r="O10" s="189"/>
      <c r="P10" s="189"/>
      <c r="Q10" s="189"/>
      <c r="R10" s="189"/>
      <c r="S10" s="189"/>
      <c r="T10" s="189"/>
      <c r="U10" s="189"/>
      <c r="V10" s="189"/>
      <c r="W10" s="189"/>
    </row>
    <row r="11" spans="1:23" ht="11.25" customHeight="1">
      <c r="A11" s="1170" t="str">
        <f>'Org structure'!E8</f>
        <v>1.6 - 006 - INTERGOVERNMENTAL RELATIONS</v>
      </c>
      <c r="B11" s="1046"/>
      <c r="C11" s="1628">
        <v>0</v>
      </c>
      <c r="D11" s="1629">
        <v>0</v>
      </c>
      <c r="E11" s="1629">
        <v>0</v>
      </c>
      <c r="F11" s="2538">
        <v>0</v>
      </c>
      <c r="G11" s="1628">
        <v>0</v>
      </c>
      <c r="H11" s="1628">
        <v>0</v>
      </c>
      <c r="I11" s="2538">
        <v>0</v>
      </c>
      <c r="J11" s="1628">
        <v>0</v>
      </c>
      <c r="K11" s="1629">
        <v>0</v>
      </c>
      <c r="L11" s="188"/>
      <c r="M11" s="189"/>
      <c r="N11" s="189"/>
      <c r="O11" s="189"/>
      <c r="P11" s="189"/>
      <c r="Q11" s="189"/>
      <c r="R11" s="189"/>
      <c r="S11" s="189"/>
      <c r="T11" s="189"/>
      <c r="U11" s="189"/>
      <c r="V11" s="189"/>
      <c r="W11" s="189"/>
    </row>
    <row r="12" spans="1:23" ht="11.25" customHeight="1">
      <c r="A12" s="1170" t="str">
        <f>'Org structure'!E9</f>
        <v>1.7 - 007 - OFFICE OF THE MUNICIPAL PUBLIC ACCOUNTS</v>
      </c>
      <c r="B12" s="1046"/>
      <c r="C12" s="1628"/>
      <c r="D12" s="1628"/>
      <c r="E12" s="1629"/>
      <c r="F12" s="1630"/>
      <c r="G12" s="1628"/>
      <c r="H12" s="1631"/>
      <c r="I12" s="2538"/>
      <c r="J12" s="1628"/>
      <c r="K12" s="1629"/>
      <c r="L12" s="188"/>
      <c r="M12" s="189"/>
      <c r="N12" s="189"/>
      <c r="O12" s="189"/>
      <c r="P12" s="189"/>
      <c r="Q12" s="189"/>
      <c r="R12" s="189"/>
      <c r="S12" s="189"/>
      <c r="T12" s="189"/>
      <c r="U12" s="189"/>
      <c r="V12" s="189"/>
      <c r="W12" s="189"/>
    </row>
    <row r="13" spans="1:23" ht="11.25" customHeight="1">
      <c r="A13" s="1170">
        <f>'Org structure'!E10</f>
        <v>0</v>
      </c>
      <c r="B13" s="1046"/>
      <c r="C13" s="1628"/>
      <c r="D13" s="1628"/>
      <c r="E13" s="1629"/>
      <c r="F13" s="1630"/>
      <c r="G13" s="1628"/>
      <c r="H13" s="1631"/>
      <c r="I13" s="2538"/>
      <c r="J13" s="1628"/>
      <c r="K13" s="1629"/>
      <c r="L13" s="188"/>
      <c r="M13" s="189"/>
      <c r="N13" s="189"/>
      <c r="O13" s="189"/>
      <c r="P13" s="189"/>
      <c r="Q13" s="189"/>
      <c r="R13" s="189"/>
      <c r="S13" s="189"/>
      <c r="T13" s="189"/>
      <c r="U13" s="189"/>
      <c r="V13" s="189"/>
      <c r="W13" s="189"/>
    </row>
    <row r="14" spans="1:23" ht="11.25" customHeight="1">
      <c r="A14" s="1170">
        <f>'Org structure'!E11</f>
        <v>0</v>
      </c>
      <c r="B14" s="1046"/>
      <c r="C14" s="1628"/>
      <c r="D14" s="1628"/>
      <c r="E14" s="1629"/>
      <c r="F14" s="1630"/>
      <c r="G14" s="1628"/>
      <c r="H14" s="1631"/>
      <c r="I14" s="2538"/>
      <c r="J14" s="1628"/>
      <c r="K14" s="1629"/>
      <c r="L14" s="188"/>
      <c r="M14" s="189"/>
      <c r="N14" s="189"/>
      <c r="O14" s="189"/>
      <c r="P14" s="189"/>
      <c r="Q14" s="189"/>
      <c r="R14" s="189"/>
      <c r="S14" s="189"/>
      <c r="T14" s="189"/>
      <c r="U14" s="189"/>
      <c r="V14" s="189"/>
      <c r="W14" s="189"/>
    </row>
    <row r="15" spans="1:23" ht="11.25" customHeight="1">
      <c r="A15" s="1170">
        <f>'Org structure'!E12</f>
        <v>0</v>
      </c>
      <c r="B15" s="1046"/>
      <c r="C15" s="1628"/>
      <c r="D15" s="1628"/>
      <c r="E15" s="1629"/>
      <c r="F15" s="1630"/>
      <c r="G15" s="1628"/>
      <c r="H15" s="1631"/>
      <c r="I15" s="2538"/>
      <c r="J15" s="1628"/>
      <c r="K15" s="1629"/>
      <c r="L15" s="188"/>
      <c r="M15" s="189"/>
      <c r="N15" s="189"/>
      <c r="O15" s="189"/>
      <c r="P15" s="189"/>
      <c r="Q15" s="189"/>
      <c r="R15" s="189"/>
      <c r="S15" s="189"/>
      <c r="T15" s="189"/>
      <c r="U15" s="189"/>
      <c r="V15" s="189"/>
      <c r="W15" s="189"/>
    </row>
    <row r="16" spans="1:23" ht="15" customHeight="1">
      <c r="A16" s="1169" t="str">
        <f>'Org structure'!A3</f>
        <v>Vote 2 - MUNICIPAL MANAGER</v>
      </c>
      <c r="B16" s="1058"/>
      <c r="C16" s="976">
        <f>SUM(C17:C28)</f>
        <v>16291501.549999999</v>
      </c>
      <c r="D16" s="976">
        <f t="shared" ref="D16:K16" si="1">SUM(D17:D28)</f>
        <v>29650013</v>
      </c>
      <c r="E16" s="977">
        <f t="shared" si="1"/>
        <v>20711337</v>
      </c>
      <c r="F16" s="978">
        <f t="shared" si="1"/>
        <v>16388026</v>
      </c>
      <c r="G16" s="976">
        <f t="shared" si="1"/>
        <v>51199830</v>
      </c>
      <c r="H16" s="979">
        <f t="shared" si="1"/>
        <v>51199830</v>
      </c>
      <c r="I16" s="980">
        <f t="shared" si="1"/>
        <v>40343341</v>
      </c>
      <c r="J16" s="976">
        <f t="shared" si="1"/>
        <v>23627783</v>
      </c>
      <c r="K16" s="977">
        <f t="shared" si="1"/>
        <v>24704749</v>
      </c>
      <c r="L16" s="188"/>
      <c r="M16" s="189"/>
      <c r="N16" s="189"/>
      <c r="O16" s="189"/>
      <c r="P16" s="189"/>
      <c r="Q16" s="189"/>
      <c r="R16" s="189"/>
      <c r="S16" s="189"/>
      <c r="T16" s="189"/>
      <c r="U16" s="189"/>
      <c r="V16" s="189"/>
      <c r="W16" s="189"/>
    </row>
    <row r="17" spans="1:23" ht="11.25" customHeight="1">
      <c r="A17" s="1170" t="str">
        <f>'Org structure'!E14</f>
        <v>2.1 - 010 - OFFICE OF THE MUNICIPAL MANAGER</v>
      </c>
      <c r="B17" s="1046"/>
      <c r="C17" s="1628">
        <v>282916.73</v>
      </c>
      <c r="D17" s="1629">
        <v>7962182</v>
      </c>
      <c r="E17" s="1629">
        <v>32895</v>
      </c>
      <c r="F17" s="2537">
        <v>0</v>
      </c>
      <c r="G17" s="1628">
        <v>21274474</v>
      </c>
      <c r="H17" s="1628">
        <v>21274474</v>
      </c>
      <c r="I17" s="2538">
        <v>9948</v>
      </c>
      <c r="J17" s="1628">
        <v>10445</v>
      </c>
      <c r="K17" s="1629">
        <v>10967</v>
      </c>
      <c r="L17" s="188"/>
      <c r="M17" s="189"/>
      <c r="N17" s="189"/>
      <c r="O17" s="189"/>
      <c r="P17" s="189"/>
      <c r="Q17" s="189"/>
      <c r="R17" s="189"/>
      <c r="S17" s="189"/>
      <c r="T17" s="189"/>
      <c r="U17" s="189"/>
      <c r="V17" s="189"/>
      <c r="W17" s="189"/>
    </row>
    <row r="18" spans="1:23" ht="11.25" customHeight="1">
      <c r="A18" s="1170" t="str">
        <f>'Org structure'!E15</f>
        <v>2.2 - 011 - INTERNAL AUDITING</v>
      </c>
      <c r="B18" s="1046"/>
      <c r="C18" s="1628">
        <v>0</v>
      </c>
      <c r="D18" s="1629">
        <v>0</v>
      </c>
      <c r="E18" s="1629">
        <v>0</v>
      </c>
      <c r="F18" s="2538">
        <v>0</v>
      </c>
      <c r="G18" s="1628">
        <v>0</v>
      </c>
      <c r="H18" s="1628">
        <v>0</v>
      </c>
      <c r="I18" s="2538">
        <v>0</v>
      </c>
      <c r="J18" s="1628">
        <v>0</v>
      </c>
      <c r="K18" s="1629">
        <v>0</v>
      </c>
      <c r="L18" s="188"/>
      <c r="M18" s="189"/>
      <c r="N18" s="189"/>
      <c r="O18" s="189"/>
      <c r="P18" s="189"/>
      <c r="Q18" s="189"/>
      <c r="R18" s="189"/>
      <c r="S18" s="189"/>
      <c r="T18" s="189"/>
      <c r="U18" s="189"/>
      <c r="V18" s="189"/>
      <c r="W18" s="189"/>
    </row>
    <row r="19" spans="1:23" ht="11.25" customHeight="1">
      <c r="A19" s="1170" t="str">
        <f>'Org structure'!E16</f>
        <v>2.3 - 012 - INTEGRATED DEVELOPMENT PLAN (IDP)</v>
      </c>
      <c r="B19" s="1046"/>
      <c r="C19" s="1628">
        <v>0</v>
      </c>
      <c r="D19" s="1629">
        <v>0</v>
      </c>
      <c r="E19" s="1629">
        <v>0</v>
      </c>
      <c r="F19" s="2538">
        <v>0</v>
      </c>
      <c r="G19" s="1628">
        <v>0</v>
      </c>
      <c r="H19" s="1628">
        <v>0</v>
      </c>
      <c r="I19" s="2538">
        <v>0</v>
      </c>
      <c r="J19" s="1628">
        <v>0</v>
      </c>
      <c r="K19" s="1629">
        <v>0</v>
      </c>
      <c r="L19" s="188"/>
      <c r="M19" s="189"/>
      <c r="N19" s="189"/>
      <c r="O19" s="189"/>
      <c r="P19" s="189"/>
      <c r="Q19" s="189"/>
      <c r="R19" s="189"/>
      <c r="S19" s="189"/>
      <c r="T19" s="189"/>
      <c r="U19" s="189"/>
      <c r="V19" s="189"/>
      <c r="W19" s="189"/>
    </row>
    <row r="20" spans="1:23" ht="11.25" customHeight="1">
      <c r="A20" s="1170" t="str">
        <f>'Org structure'!E17</f>
        <v>2.4 - 013 - CORPORATE ADVISORY</v>
      </c>
      <c r="B20" s="1046"/>
      <c r="C20" s="1628">
        <v>0</v>
      </c>
      <c r="D20" s="1629">
        <v>0</v>
      </c>
      <c r="E20" s="1629">
        <v>0</v>
      </c>
      <c r="F20" s="2538">
        <v>0</v>
      </c>
      <c r="G20" s="1628">
        <v>0</v>
      </c>
      <c r="H20" s="1628">
        <v>0</v>
      </c>
      <c r="I20" s="2538">
        <v>0</v>
      </c>
      <c r="J20" s="1628">
        <v>0</v>
      </c>
      <c r="K20" s="1629">
        <v>0</v>
      </c>
      <c r="L20" s="188"/>
      <c r="M20" s="189"/>
      <c r="N20" s="189"/>
      <c r="O20" s="189"/>
      <c r="P20" s="189"/>
      <c r="Q20" s="189"/>
      <c r="R20" s="189"/>
      <c r="S20" s="189"/>
      <c r="T20" s="189"/>
      <c r="U20" s="189"/>
      <c r="V20" s="189"/>
      <c r="W20" s="189"/>
    </row>
    <row r="21" spans="1:23" ht="11.25" customHeight="1">
      <c r="A21" s="1170" t="str">
        <f>'Org structure'!E18</f>
        <v>2.5 - 014 - PERFORMANCE MANAGEMENT SYSTEM</v>
      </c>
      <c r="B21" s="1046"/>
      <c r="C21" s="1628">
        <v>0</v>
      </c>
      <c r="D21" s="1629">
        <v>15000</v>
      </c>
      <c r="E21" s="1629">
        <v>0</v>
      </c>
      <c r="F21" s="2538">
        <v>0</v>
      </c>
      <c r="G21" s="1628">
        <v>0</v>
      </c>
      <c r="H21" s="1628">
        <v>0</v>
      </c>
      <c r="I21" s="2538">
        <v>0</v>
      </c>
      <c r="J21" s="1628">
        <v>0</v>
      </c>
      <c r="K21" s="1629">
        <v>0</v>
      </c>
      <c r="L21" s="188"/>
      <c r="M21" s="189"/>
      <c r="N21" s="189"/>
      <c r="O21" s="189"/>
      <c r="P21" s="189"/>
      <c r="Q21" s="189"/>
      <c r="R21" s="189"/>
      <c r="S21" s="189"/>
      <c r="T21" s="189"/>
      <c r="U21" s="189"/>
      <c r="V21" s="189"/>
      <c r="W21" s="189"/>
    </row>
    <row r="22" spans="1:23" ht="11.25" customHeight="1">
      <c r="A22" s="1170" t="str">
        <f>'Org structure'!E19</f>
        <v>2.6 - 015 - INFORMATION TECHNOLOGY</v>
      </c>
      <c r="B22" s="1046"/>
      <c r="C22" s="1628">
        <v>0</v>
      </c>
      <c r="D22" s="1629">
        <v>0</v>
      </c>
      <c r="E22" s="1629">
        <v>0</v>
      </c>
      <c r="F22" s="2538">
        <v>0</v>
      </c>
      <c r="G22" s="1628">
        <v>0</v>
      </c>
      <c r="H22" s="1628">
        <v>0</v>
      </c>
      <c r="I22" s="2538">
        <v>0</v>
      </c>
      <c r="J22" s="1628">
        <v>0</v>
      </c>
      <c r="K22" s="1629">
        <v>0</v>
      </c>
      <c r="L22" s="188"/>
      <c r="M22" s="189"/>
      <c r="N22" s="189"/>
      <c r="O22" s="189"/>
      <c r="P22" s="189"/>
      <c r="Q22" s="189"/>
      <c r="R22" s="189"/>
      <c r="S22" s="189"/>
      <c r="T22" s="189"/>
      <c r="U22" s="189"/>
      <c r="V22" s="189"/>
      <c r="W22" s="189"/>
    </row>
    <row r="23" spans="1:23" ht="11.25" customHeight="1">
      <c r="A23" s="1170" t="str">
        <f>'Org structure'!E20</f>
        <v>2.7 - 016 - COORDINATOR 2010</v>
      </c>
      <c r="B23" s="1046"/>
      <c r="C23" s="1628">
        <v>10910053.379999999</v>
      </c>
      <c r="D23" s="1629">
        <v>17855038</v>
      </c>
      <c r="E23" s="1629">
        <v>4748600</v>
      </c>
      <c r="F23" s="2538">
        <v>0</v>
      </c>
      <c r="G23" s="1628">
        <v>0</v>
      </c>
      <c r="H23" s="1628">
        <v>0</v>
      </c>
      <c r="I23" s="2538">
        <v>0</v>
      </c>
      <c r="J23" s="1628">
        <v>0</v>
      </c>
      <c r="K23" s="1629">
        <v>0</v>
      </c>
      <c r="L23" s="188"/>
      <c r="M23" s="189"/>
      <c r="N23" s="189"/>
      <c r="O23" s="189"/>
      <c r="P23" s="189"/>
      <c r="Q23" s="189"/>
      <c r="R23" s="189"/>
      <c r="S23" s="189"/>
      <c r="T23" s="189"/>
      <c r="U23" s="189"/>
      <c r="V23" s="189"/>
      <c r="W23" s="189"/>
    </row>
    <row r="24" spans="1:23" ht="11.25" customHeight="1">
      <c r="A24" s="1170" t="str">
        <f>'Org structure'!E21</f>
        <v>2.8 - 017 - REGIONAL COMMUNITY CENTRES</v>
      </c>
      <c r="B24" s="1046"/>
      <c r="C24" s="1628">
        <v>10880</v>
      </c>
      <c r="D24" s="1629">
        <v>19250</v>
      </c>
      <c r="E24" s="1629">
        <v>10800</v>
      </c>
      <c r="F24" s="2538">
        <v>11887</v>
      </c>
      <c r="G24" s="1628">
        <v>18360</v>
      </c>
      <c r="H24" s="1628">
        <v>18360</v>
      </c>
      <c r="I24" s="2538">
        <v>12493</v>
      </c>
      <c r="J24" s="1628">
        <v>13118</v>
      </c>
      <c r="K24" s="1629">
        <v>13853</v>
      </c>
      <c r="L24" s="188"/>
      <c r="M24" s="189"/>
      <c r="N24" s="189"/>
      <c r="O24" s="189"/>
      <c r="P24" s="189"/>
      <c r="Q24" s="189"/>
      <c r="R24" s="189"/>
      <c r="S24" s="189"/>
      <c r="T24" s="189"/>
      <c r="U24" s="189"/>
      <c r="V24" s="189"/>
      <c r="W24" s="189"/>
    </row>
    <row r="25" spans="1:23" ht="11.25" customHeight="1">
      <c r="A25" s="1170" t="str">
        <f>'Org structure'!E22</f>
        <v>2.9 - 018 - PROJECT MANAGEMENT UNIT</v>
      </c>
      <c r="B25" s="1046"/>
      <c r="C25" s="1628">
        <v>5087651.4399999995</v>
      </c>
      <c r="D25" s="1629">
        <v>3798543</v>
      </c>
      <c r="E25" s="1629">
        <v>15323068</v>
      </c>
      <c r="F25" s="2538">
        <v>12557086</v>
      </c>
      <c r="G25" s="1628">
        <v>15685817</v>
      </c>
      <c r="H25" s="1628">
        <v>15685817</v>
      </c>
      <c r="I25" s="2538">
        <v>13855074</v>
      </c>
      <c r="J25" s="1628">
        <v>6241555</v>
      </c>
      <c r="K25" s="1629">
        <v>6633477</v>
      </c>
      <c r="L25" s="188"/>
      <c r="M25" s="189"/>
      <c r="N25" s="189"/>
      <c r="O25" s="189"/>
      <c r="P25" s="189"/>
      <c r="Q25" s="189"/>
      <c r="R25" s="189"/>
      <c r="S25" s="189"/>
      <c r="T25" s="189"/>
      <c r="U25" s="189"/>
      <c r="V25" s="189"/>
      <c r="W25" s="189"/>
    </row>
    <row r="26" spans="1:23" ht="11.25" customHeight="1">
      <c r="A26" s="1170" t="s">
        <v>2463</v>
      </c>
      <c r="B26" s="1046"/>
      <c r="C26" s="1628">
        <v>0</v>
      </c>
      <c r="D26" s="1629">
        <v>0</v>
      </c>
      <c r="E26" s="1629">
        <v>0</v>
      </c>
      <c r="F26" s="2538">
        <v>520000</v>
      </c>
      <c r="G26" s="1628">
        <v>508000</v>
      </c>
      <c r="H26" s="1628">
        <v>508000</v>
      </c>
      <c r="I26" s="2538">
        <v>25000</v>
      </c>
      <c r="J26" s="1628">
        <v>30000</v>
      </c>
      <c r="K26" s="1629">
        <v>31680</v>
      </c>
      <c r="L26" s="188"/>
      <c r="M26" s="189"/>
      <c r="N26" s="189"/>
      <c r="O26" s="189"/>
      <c r="P26" s="189"/>
      <c r="Q26" s="189"/>
      <c r="R26" s="189"/>
      <c r="S26" s="189"/>
      <c r="T26" s="189"/>
      <c r="U26" s="189"/>
      <c r="V26" s="189"/>
      <c r="W26" s="189"/>
    </row>
    <row r="27" spans="1:23" ht="11.25" customHeight="1">
      <c r="A27" s="1170" t="s">
        <v>2465</v>
      </c>
      <c r="B27" s="1046"/>
      <c r="C27" s="1628">
        <v>0</v>
      </c>
      <c r="D27" s="1629">
        <v>0</v>
      </c>
      <c r="E27" s="1629">
        <v>595974</v>
      </c>
      <c r="F27" s="2538">
        <v>3299053</v>
      </c>
      <c r="G27" s="1628">
        <v>13713179</v>
      </c>
      <c r="H27" s="1628">
        <v>13713179</v>
      </c>
      <c r="I27" s="2538">
        <v>26440826</v>
      </c>
      <c r="J27" s="1628">
        <v>17332665</v>
      </c>
      <c r="K27" s="1629">
        <v>18014772</v>
      </c>
      <c r="L27" s="188"/>
      <c r="M27" s="189"/>
      <c r="N27" s="189"/>
      <c r="O27" s="189"/>
      <c r="P27" s="189"/>
      <c r="Q27" s="189"/>
      <c r="R27" s="189"/>
      <c r="S27" s="189"/>
      <c r="T27" s="189"/>
      <c r="U27" s="189"/>
      <c r="V27" s="189"/>
      <c r="W27" s="189"/>
    </row>
    <row r="28" spans="1:23" ht="11.25" customHeight="1">
      <c r="A28" s="1170" t="str">
        <f>'Org structure'!E23</f>
        <v>2.10 - 019 - OFFICE OF THE CHIEF OPERATIONS OFFICER</v>
      </c>
      <c r="B28" s="1046"/>
      <c r="C28" s="1628"/>
      <c r="D28" s="1629"/>
      <c r="E28" s="1629"/>
      <c r="F28" s="2538"/>
      <c r="G28" s="1628"/>
      <c r="H28" s="1631"/>
      <c r="I28" s="2538"/>
      <c r="J28" s="1628"/>
      <c r="K28" s="1629"/>
      <c r="L28" s="188"/>
      <c r="M28" s="189"/>
      <c r="N28" s="189"/>
      <c r="O28" s="189"/>
      <c r="P28" s="189"/>
      <c r="Q28" s="189"/>
      <c r="R28" s="189"/>
      <c r="S28" s="189"/>
      <c r="T28" s="189"/>
      <c r="U28" s="189"/>
      <c r="V28" s="189"/>
      <c r="W28" s="189"/>
    </row>
    <row r="29" spans="1:23" ht="15" customHeight="1">
      <c r="A29" s="1169" t="str">
        <f>'Org structure'!A4</f>
        <v>Vote 3 - CORPORATE SUPPORT SERVICES</v>
      </c>
      <c r="B29" s="1058"/>
      <c r="C29" s="976">
        <f t="shared" ref="C29:K29" si="2">SUM(C30:C39)</f>
        <v>1809983.25</v>
      </c>
      <c r="D29" s="976">
        <f t="shared" si="2"/>
        <v>1457412</v>
      </c>
      <c r="E29" s="977">
        <f t="shared" si="2"/>
        <v>799451</v>
      </c>
      <c r="F29" s="978">
        <f t="shared" si="2"/>
        <v>1997390</v>
      </c>
      <c r="G29" s="976">
        <f t="shared" si="2"/>
        <v>2206460</v>
      </c>
      <c r="H29" s="979">
        <f t="shared" si="2"/>
        <v>2206460</v>
      </c>
      <c r="I29" s="980">
        <f t="shared" si="2"/>
        <v>2300187</v>
      </c>
      <c r="J29" s="976">
        <f t="shared" si="2"/>
        <v>2413210</v>
      </c>
      <c r="K29" s="977">
        <f t="shared" si="2"/>
        <v>2478558</v>
      </c>
      <c r="L29" s="188"/>
      <c r="M29" s="189"/>
      <c r="N29" s="189"/>
      <c r="O29" s="189"/>
      <c r="P29" s="189"/>
      <c r="Q29" s="189"/>
      <c r="R29" s="189"/>
      <c r="S29" s="189"/>
      <c r="T29" s="189"/>
      <c r="U29" s="189"/>
      <c r="V29" s="189"/>
      <c r="W29" s="189"/>
    </row>
    <row r="30" spans="1:23" ht="11.25" customHeight="1">
      <c r="A30" s="1170" t="str">
        <f>'Org structure'!E25</f>
        <v>3.1 - 020 - OFFICE OF THE DIRECTOR CORPORATE SUPPORT SERVICES</v>
      </c>
      <c r="B30" s="1046"/>
      <c r="C30" s="1628">
        <v>0</v>
      </c>
      <c r="D30" s="1629">
        <v>0</v>
      </c>
      <c r="E30" s="1629">
        <v>0</v>
      </c>
      <c r="F30" s="2538">
        <v>0</v>
      </c>
      <c r="G30" s="1628">
        <v>0</v>
      </c>
      <c r="H30" s="1628">
        <v>0</v>
      </c>
      <c r="I30" s="2538">
        <v>0</v>
      </c>
      <c r="J30" s="1628">
        <v>0</v>
      </c>
      <c r="K30" s="1629">
        <v>0</v>
      </c>
      <c r="L30" s="188"/>
      <c r="M30" s="189"/>
      <c r="N30" s="189"/>
      <c r="O30" s="189"/>
      <c r="P30" s="189"/>
      <c r="Q30" s="189"/>
      <c r="R30" s="189"/>
      <c r="S30" s="189"/>
      <c r="T30" s="189"/>
      <c r="U30" s="189"/>
      <c r="V30" s="189"/>
      <c r="W30" s="189"/>
    </row>
    <row r="31" spans="1:23" ht="11.25" customHeight="1">
      <c r="A31" s="1170" t="str">
        <f>'Org structure'!E26</f>
        <v>3.2 - 025 - ADMINISTRATIVE SUPPORT</v>
      </c>
      <c r="B31" s="1046"/>
      <c r="C31" s="1628">
        <v>444047.43</v>
      </c>
      <c r="D31" s="1629">
        <v>393007</v>
      </c>
      <c r="E31" s="1629">
        <v>46648</v>
      </c>
      <c r="F31" s="2538">
        <v>655390</v>
      </c>
      <c r="G31" s="1628">
        <v>655436</v>
      </c>
      <c r="H31" s="1628">
        <v>655436</v>
      </c>
      <c r="I31" s="2538">
        <v>688160</v>
      </c>
      <c r="J31" s="1628">
        <v>722567</v>
      </c>
      <c r="K31" s="1629">
        <v>763031</v>
      </c>
      <c r="L31" s="188"/>
      <c r="M31" s="189"/>
      <c r="N31" s="189"/>
      <c r="O31" s="189"/>
      <c r="P31" s="189"/>
      <c r="Q31" s="189"/>
      <c r="R31" s="189"/>
      <c r="S31" s="189"/>
      <c r="T31" s="189"/>
      <c r="U31" s="189"/>
      <c r="V31" s="189"/>
      <c r="W31" s="189"/>
    </row>
    <row r="32" spans="1:23" ht="11.25" customHeight="1">
      <c r="A32" s="1170" t="str">
        <f>'Org structure'!E27</f>
        <v>3.3 - 030 - HUMAN RESOURCE MANAGEMENT</v>
      </c>
      <c r="B32" s="1046"/>
      <c r="C32" s="1628">
        <v>1365497.22</v>
      </c>
      <c r="D32" s="1629">
        <v>1050554</v>
      </c>
      <c r="E32" s="1629">
        <v>697172</v>
      </c>
      <c r="F32" s="2538">
        <v>1332000</v>
      </c>
      <c r="G32" s="1628">
        <v>1447655</v>
      </c>
      <c r="H32" s="1628">
        <v>1447655</v>
      </c>
      <c r="I32" s="2538">
        <v>1503490</v>
      </c>
      <c r="J32" s="1628">
        <v>1576679</v>
      </c>
      <c r="K32" s="1629">
        <v>1595865</v>
      </c>
      <c r="L32" s="188"/>
      <c r="M32" s="189"/>
      <c r="N32" s="189"/>
      <c r="O32" s="189"/>
      <c r="P32" s="189"/>
      <c r="Q32" s="189"/>
      <c r="R32" s="189"/>
      <c r="S32" s="189"/>
      <c r="T32" s="189"/>
      <c r="U32" s="189"/>
      <c r="V32" s="189"/>
      <c r="W32" s="189"/>
    </row>
    <row r="33" spans="1:23" ht="11.25" customHeight="1">
      <c r="A33" s="1170" t="str">
        <f>'Org structure'!E28</f>
        <v>3.4 - 050 - LEGAL AND VALUATION SERVICES</v>
      </c>
      <c r="B33" s="1046"/>
      <c r="C33" s="1628">
        <v>0</v>
      </c>
      <c r="D33" s="1629">
        <v>7053</v>
      </c>
      <c r="E33" s="1629">
        <v>148</v>
      </c>
      <c r="F33" s="2538">
        <v>10000</v>
      </c>
      <c r="G33" s="1628">
        <v>66000</v>
      </c>
      <c r="H33" s="1628">
        <v>66000</v>
      </c>
      <c r="I33" s="2538">
        <v>69300</v>
      </c>
      <c r="J33" s="1628">
        <v>72765</v>
      </c>
      <c r="K33" s="1629">
        <v>76403</v>
      </c>
      <c r="L33" s="188"/>
      <c r="M33" s="189"/>
      <c r="N33" s="189"/>
      <c r="O33" s="189"/>
      <c r="P33" s="189"/>
      <c r="Q33" s="189"/>
      <c r="R33" s="189"/>
      <c r="S33" s="189"/>
      <c r="T33" s="189"/>
      <c r="U33" s="189"/>
      <c r="V33" s="189"/>
      <c r="W33" s="189"/>
    </row>
    <row r="34" spans="1:23" ht="11.25" customHeight="1">
      <c r="A34" s="1170" t="str">
        <f>'Org structure'!E29</f>
        <v>3.5 - 015 - INFORMATION TECHNOLOGY</v>
      </c>
      <c r="B34" s="1046"/>
      <c r="C34" s="1628">
        <v>438.6</v>
      </c>
      <c r="D34" s="1629">
        <v>6798</v>
      </c>
      <c r="E34" s="1629">
        <v>55483</v>
      </c>
      <c r="F34" s="1630">
        <v>0</v>
      </c>
      <c r="G34" s="1628">
        <v>37369</v>
      </c>
      <c r="H34" s="1631">
        <v>37369</v>
      </c>
      <c r="I34" s="2538">
        <v>39237</v>
      </c>
      <c r="J34" s="1628">
        <v>41199</v>
      </c>
      <c r="K34" s="1629">
        <v>43259</v>
      </c>
      <c r="L34" s="188"/>
      <c r="M34" s="189"/>
      <c r="N34" s="189"/>
      <c r="O34" s="189"/>
      <c r="P34" s="189"/>
      <c r="Q34" s="189"/>
      <c r="R34" s="189"/>
      <c r="S34" s="189"/>
      <c r="T34" s="189"/>
      <c r="U34" s="189"/>
      <c r="V34" s="189"/>
      <c r="W34" s="189"/>
    </row>
    <row r="35" spans="1:23" ht="11.25" customHeight="1">
      <c r="A35" s="1170">
        <f>'Org structure'!E30</f>
        <v>0</v>
      </c>
      <c r="B35" s="1046"/>
      <c r="C35" s="1628"/>
      <c r="D35" s="1628"/>
      <c r="E35" s="1629"/>
      <c r="F35" s="1630"/>
      <c r="G35" s="1628"/>
      <c r="H35" s="1631"/>
      <c r="I35" s="2538"/>
      <c r="J35" s="1628"/>
      <c r="K35" s="1629"/>
      <c r="L35" s="188"/>
      <c r="M35" s="189"/>
      <c r="N35" s="189"/>
      <c r="O35" s="189"/>
      <c r="P35" s="189"/>
      <c r="Q35" s="189"/>
      <c r="R35" s="189"/>
      <c r="S35" s="189"/>
      <c r="T35" s="189"/>
      <c r="U35" s="189"/>
      <c r="V35" s="189"/>
      <c r="W35" s="189"/>
    </row>
    <row r="36" spans="1:23" ht="11.25" customHeight="1">
      <c r="A36" s="1170">
        <f>'Org structure'!E31</f>
        <v>0</v>
      </c>
      <c r="B36" s="1046"/>
      <c r="C36" s="1628"/>
      <c r="D36" s="1628"/>
      <c r="E36" s="1629"/>
      <c r="F36" s="1630"/>
      <c r="G36" s="1628"/>
      <c r="H36" s="1631"/>
      <c r="I36" s="2538"/>
      <c r="J36" s="1628"/>
      <c r="K36" s="1629"/>
      <c r="L36" s="188"/>
      <c r="M36" s="189"/>
      <c r="N36" s="189"/>
      <c r="O36" s="189"/>
      <c r="P36" s="189"/>
      <c r="Q36" s="189"/>
      <c r="R36" s="189"/>
      <c r="S36" s="189"/>
      <c r="T36" s="189"/>
      <c r="U36" s="189"/>
      <c r="V36" s="189"/>
      <c r="W36" s="189"/>
    </row>
    <row r="37" spans="1:23" ht="11.25" customHeight="1">
      <c r="A37" s="1170">
        <f>'Org structure'!E32</f>
        <v>0</v>
      </c>
      <c r="B37" s="1046"/>
      <c r="C37" s="1628"/>
      <c r="D37" s="1628"/>
      <c r="E37" s="1629"/>
      <c r="F37" s="1630"/>
      <c r="G37" s="1628"/>
      <c r="H37" s="1631"/>
      <c r="I37" s="2538"/>
      <c r="J37" s="1628"/>
      <c r="K37" s="1629"/>
      <c r="L37" s="188"/>
      <c r="M37" s="189"/>
      <c r="N37" s="189"/>
      <c r="O37" s="189"/>
      <c r="P37" s="189"/>
      <c r="Q37" s="189"/>
      <c r="R37" s="189"/>
      <c r="S37" s="189"/>
      <c r="T37" s="189"/>
      <c r="U37" s="189"/>
      <c r="V37" s="189"/>
      <c r="W37" s="189"/>
    </row>
    <row r="38" spans="1:23" ht="11.25" customHeight="1">
      <c r="A38" s="1170">
        <f>'Org structure'!E33</f>
        <v>0</v>
      </c>
      <c r="B38" s="1046"/>
      <c r="C38" s="1628"/>
      <c r="D38" s="1628"/>
      <c r="E38" s="1629"/>
      <c r="F38" s="1630"/>
      <c r="G38" s="1628"/>
      <c r="H38" s="1631"/>
      <c r="I38" s="2538"/>
      <c r="J38" s="1628"/>
      <c r="K38" s="1629"/>
      <c r="L38" s="188"/>
      <c r="M38" s="189"/>
      <c r="N38" s="189"/>
      <c r="O38" s="189"/>
      <c r="P38" s="189"/>
      <c r="Q38" s="189"/>
      <c r="R38" s="189"/>
      <c r="S38" s="189"/>
      <c r="T38" s="189"/>
      <c r="U38" s="189"/>
      <c r="V38" s="189"/>
      <c r="W38" s="189"/>
    </row>
    <row r="39" spans="1:23" ht="11.25" customHeight="1">
      <c r="A39" s="1170">
        <f>'Org structure'!E34</f>
        <v>0</v>
      </c>
      <c r="B39" s="1046"/>
      <c r="C39" s="1628"/>
      <c r="D39" s="1628"/>
      <c r="E39" s="1629"/>
      <c r="F39" s="1630"/>
      <c r="G39" s="1628"/>
      <c r="H39" s="1631"/>
      <c r="I39" s="2538"/>
      <c r="J39" s="1628"/>
      <c r="K39" s="1629"/>
      <c r="L39" s="188"/>
      <c r="M39" s="189"/>
      <c r="N39" s="189"/>
      <c r="O39" s="189"/>
      <c r="P39" s="189"/>
      <c r="Q39" s="189"/>
      <c r="R39" s="189"/>
      <c r="S39" s="189"/>
      <c r="T39" s="189"/>
      <c r="U39" s="189"/>
      <c r="V39" s="189"/>
      <c r="W39" s="189"/>
    </row>
    <row r="40" spans="1:23" ht="15" customHeight="1">
      <c r="A40" s="1169" t="str">
        <f>'Org structure'!A5</f>
        <v>Vote 4 - BUDGET AND TREASURY OFFICE</v>
      </c>
      <c r="B40" s="1058"/>
      <c r="C40" s="976">
        <f t="shared" ref="C40:K40" si="3">SUM(C41:C50)</f>
        <v>5584223.7799999993</v>
      </c>
      <c r="D40" s="976">
        <f t="shared" si="3"/>
        <v>8309971</v>
      </c>
      <c r="E40" s="977">
        <f t="shared" si="3"/>
        <v>8572012</v>
      </c>
      <c r="F40" s="978">
        <f t="shared" si="3"/>
        <v>192533735</v>
      </c>
      <c r="G40" s="976">
        <f t="shared" si="3"/>
        <v>193755784</v>
      </c>
      <c r="H40" s="979">
        <f t="shared" si="3"/>
        <v>193755784</v>
      </c>
      <c r="I40" s="980">
        <f t="shared" si="3"/>
        <v>214142399</v>
      </c>
      <c r="J40" s="976">
        <f t="shared" si="3"/>
        <v>220404193</v>
      </c>
      <c r="K40" s="977">
        <f t="shared" si="3"/>
        <v>233836437</v>
      </c>
      <c r="L40" s="188"/>
      <c r="M40" s="189"/>
      <c r="N40" s="189"/>
      <c r="O40" s="189"/>
      <c r="P40" s="189"/>
      <c r="Q40" s="189"/>
      <c r="R40" s="189"/>
      <c r="S40" s="189"/>
      <c r="T40" s="189"/>
      <c r="U40" s="189"/>
      <c r="V40" s="189"/>
      <c r="W40" s="189"/>
    </row>
    <row r="41" spans="1:23" ht="11.25" customHeight="1">
      <c r="A41" s="1170" t="str">
        <f>'Org structure'!E36</f>
        <v>4.1 - 070 - OFFICE OF THE DIRECTOR BUDGET AND TREASURY</v>
      </c>
      <c r="B41" s="1046"/>
      <c r="C41" s="1628">
        <v>0</v>
      </c>
      <c r="D41" s="1629">
        <v>0</v>
      </c>
      <c r="E41" s="1629">
        <v>23465</v>
      </c>
      <c r="F41" s="2538">
        <v>0</v>
      </c>
      <c r="G41" s="1628">
        <v>5263</v>
      </c>
      <c r="H41" s="1628">
        <v>5263</v>
      </c>
      <c r="I41" s="2538">
        <v>0</v>
      </c>
      <c r="J41" s="1628">
        <v>0</v>
      </c>
      <c r="K41" s="1629">
        <v>0</v>
      </c>
      <c r="L41" s="188"/>
      <c r="M41" s="189"/>
      <c r="N41" s="189"/>
      <c r="O41" s="189"/>
      <c r="P41" s="189"/>
      <c r="Q41" s="189"/>
      <c r="R41" s="189"/>
      <c r="S41" s="189"/>
      <c r="T41" s="189"/>
      <c r="U41" s="189"/>
      <c r="V41" s="189"/>
      <c r="W41" s="189"/>
    </row>
    <row r="42" spans="1:23" ht="11.25" customHeight="1">
      <c r="A42" s="1170" t="str">
        <f>'Org structure'!E37</f>
        <v>4.2 - 075 - ACCOUNTING SERVICES</v>
      </c>
      <c r="B42" s="1046"/>
      <c r="C42" s="1628">
        <v>4106203.32</v>
      </c>
      <c r="D42" s="1629">
        <v>5299252</v>
      </c>
      <c r="E42" s="1629">
        <v>6627872</v>
      </c>
      <c r="F42" s="2538">
        <v>190013135</v>
      </c>
      <c r="G42" s="1628">
        <v>189346176</v>
      </c>
      <c r="H42" s="1628">
        <v>189346176</v>
      </c>
      <c r="I42" s="2538">
        <v>209548630</v>
      </c>
      <c r="J42" s="1628">
        <v>215620985</v>
      </c>
      <c r="K42" s="1629">
        <v>228863419</v>
      </c>
      <c r="L42" s="188"/>
      <c r="M42" s="189"/>
      <c r="N42" s="189"/>
      <c r="O42" s="189"/>
      <c r="P42" s="189"/>
      <c r="Q42" s="189"/>
      <c r="R42" s="189"/>
      <c r="S42" s="189"/>
      <c r="T42" s="189"/>
      <c r="U42" s="189"/>
      <c r="V42" s="189"/>
      <c r="W42" s="189"/>
    </row>
    <row r="43" spans="1:23" ht="11.25" customHeight="1">
      <c r="A43" s="1170" t="str">
        <f>'Org structure'!E38</f>
        <v>4.3 - 080 - FINANCIAL CONTROL</v>
      </c>
      <c r="B43" s="1046"/>
      <c r="C43" s="1628">
        <v>0</v>
      </c>
      <c r="D43" s="1629">
        <v>0</v>
      </c>
      <c r="E43" s="1629">
        <v>0</v>
      </c>
      <c r="F43" s="2538">
        <v>750000</v>
      </c>
      <c r="G43" s="1628">
        <v>751632</v>
      </c>
      <c r="H43" s="1628">
        <v>751632</v>
      </c>
      <c r="I43" s="2538">
        <v>1000000</v>
      </c>
      <c r="J43" s="1628">
        <v>1000000</v>
      </c>
      <c r="K43" s="1629">
        <v>1000000</v>
      </c>
      <c r="L43" s="188"/>
      <c r="M43" s="189"/>
      <c r="N43" s="189"/>
      <c r="O43" s="189"/>
      <c r="P43" s="189"/>
      <c r="Q43" s="189"/>
      <c r="R43" s="189"/>
      <c r="S43" s="189"/>
      <c r="T43" s="189"/>
      <c r="U43" s="189"/>
      <c r="V43" s="189"/>
      <c r="W43" s="189"/>
    </row>
    <row r="44" spans="1:23" ht="11.25" customHeight="1">
      <c r="A44" s="1170" t="str">
        <f>'Org structure'!E39</f>
        <v>4.4 - 090 - FINANCIAL MANAGEMENT SERVICES</v>
      </c>
      <c r="B44" s="1046"/>
      <c r="C44" s="1628">
        <v>1478020.46</v>
      </c>
      <c r="D44" s="1629">
        <v>3010719</v>
      </c>
      <c r="E44" s="1629">
        <v>1920675</v>
      </c>
      <c r="F44" s="2538">
        <v>1770600</v>
      </c>
      <c r="G44" s="1628">
        <v>3652713</v>
      </c>
      <c r="H44" s="1628">
        <v>3652713</v>
      </c>
      <c r="I44" s="2538">
        <v>3593769</v>
      </c>
      <c r="J44" s="1628">
        <v>3783208</v>
      </c>
      <c r="K44" s="1629">
        <v>3973018</v>
      </c>
      <c r="L44" s="188"/>
      <c r="M44" s="189"/>
      <c r="N44" s="189"/>
      <c r="O44" s="189"/>
      <c r="P44" s="189"/>
      <c r="Q44" s="189"/>
      <c r="R44" s="189"/>
      <c r="S44" s="189"/>
      <c r="T44" s="189"/>
      <c r="U44" s="189"/>
      <c r="V44" s="189"/>
      <c r="W44" s="189"/>
    </row>
    <row r="45" spans="1:23" ht="11.25" customHeight="1">
      <c r="A45" s="1170">
        <f>'Org structure'!E40</f>
        <v>0</v>
      </c>
      <c r="B45" s="1046"/>
      <c r="C45" s="1628"/>
      <c r="D45" s="1628"/>
      <c r="E45" s="1629"/>
      <c r="F45" s="1630"/>
      <c r="G45" s="1628"/>
      <c r="H45" s="1631"/>
      <c r="I45" s="2538"/>
      <c r="J45" s="1628"/>
      <c r="K45" s="1629"/>
      <c r="L45" s="188"/>
      <c r="M45" s="189"/>
      <c r="N45" s="189"/>
      <c r="O45" s="189"/>
      <c r="P45" s="189"/>
      <c r="Q45" s="189"/>
      <c r="R45" s="189"/>
      <c r="S45" s="189"/>
      <c r="T45" s="189"/>
      <c r="U45" s="189"/>
      <c r="V45" s="189"/>
      <c r="W45" s="189"/>
    </row>
    <row r="46" spans="1:23" ht="11.25" customHeight="1">
      <c r="A46" s="1170">
        <f>'Org structure'!E41</f>
        <v>0</v>
      </c>
      <c r="B46" s="1046"/>
      <c r="C46" s="1628"/>
      <c r="D46" s="1628"/>
      <c r="E46" s="1629"/>
      <c r="F46" s="1630"/>
      <c r="G46" s="1628"/>
      <c r="H46" s="1631"/>
      <c r="I46" s="2538"/>
      <c r="J46" s="1628"/>
      <c r="K46" s="1629"/>
      <c r="L46" s="188"/>
      <c r="M46" s="189"/>
      <c r="N46" s="189"/>
      <c r="O46" s="189"/>
      <c r="P46" s="189"/>
      <c r="Q46" s="189"/>
      <c r="R46" s="189"/>
      <c r="S46" s="189"/>
      <c r="T46" s="189"/>
      <c r="U46" s="189"/>
      <c r="V46" s="189"/>
      <c r="W46" s="189"/>
    </row>
    <row r="47" spans="1:23" ht="11.25" customHeight="1">
      <c r="A47" s="1170">
        <f>'Org structure'!E42</f>
        <v>0</v>
      </c>
      <c r="B47" s="1046"/>
      <c r="C47" s="1628"/>
      <c r="D47" s="1628"/>
      <c r="E47" s="1629"/>
      <c r="F47" s="1630"/>
      <c r="G47" s="1628"/>
      <c r="H47" s="1631"/>
      <c r="I47" s="2538"/>
      <c r="J47" s="1628"/>
      <c r="K47" s="1629"/>
      <c r="L47" s="188"/>
      <c r="M47" s="189"/>
      <c r="N47" s="189"/>
      <c r="O47" s="189"/>
      <c r="P47" s="189"/>
      <c r="Q47" s="189"/>
      <c r="R47" s="189"/>
      <c r="S47" s="189"/>
      <c r="T47" s="189"/>
      <c r="U47" s="189"/>
      <c r="V47" s="189"/>
      <c r="W47" s="189"/>
    </row>
    <row r="48" spans="1:23" ht="11.25" customHeight="1">
      <c r="A48" s="1170">
        <f>'Org structure'!E43</f>
        <v>0</v>
      </c>
      <c r="B48" s="1046"/>
      <c r="C48" s="1628"/>
      <c r="D48" s="1628"/>
      <c r="E48" s="1629"/>
      <c r="F48" s="1630"/>
      <c r="G48" s="1628"/>
      <c r="H48" s="1631"/>
      <c r="I48" s="2538"/>
      <c r="J48" s="1628"/>
      <c r="K48" s="1629"/>
      <c r="L48" s="188"/>
      <c r="M48" s="189"/>
      <c r="N48" s="189"/>
      <c r="O48" s="189"/>
      <c r="P48" s="189"/>
      <c r="Q48" s="189"/>
      <c r="R48" s="189"/>
      <c r="S48" s="189"/>
      <c r="T48" s="189"/>
      <c r="U48" s="189"/>
      <c r="V48" s="189"/>
      <c r="W48" s="189"/>
    </row>
    <row r="49" spans="1:23" ht="11.25" customHeight="1">
      <c r="A49" s="1170">
        <f>'Org structure'!E44</f>
        <v>0</v>
      </c>
      <c r="B49" s="1046"/>
      <c r="C49" s="1628"/>
      <c r="D49" s="1628"/>
      <c r="E49" s="1629"/>
      <c r="F49" s="1630"/>
      <c r="G49" s="1628"/>
      <c r="H49" s="1631"/>
      <c r="I49" s="2538"/>
      <c r="J49" s="1628"/>
      <c r="K49" s="1629"/>
      <c r="L49" s="188"/>
      <c r="M49" s="189"/>
      <c r="N49" s="189"/>
      <c r="O49" s="189"/>
      <c r="P49" s="189"/>
      <c r="Q49" s="189"/>
      <c r="R49" s="189"/>
      <c r="S49" s="189"/>
      <c r="T49" s="189"/>
      <c r="U49" s="189"/>
      <c r="V49" s="189"/>
      <c r="W49" s="189"/>
    </row>
    <row r="50" spans="1:23" ht="11.25" customHeight="1">
      <c r="A50" s="1170">
        <f>'Org structure'!E45</f>
        <v>0</v>
      </c>
      <c r="B50" s="1046"/>
      <c r="C50" s="1628"/>
      <c r="D50" s="1628"/>
      <c r="E50" s="1629"/>
      <c r="F50" s="1630"/>
      <c r="G50" s="1628"/>
      <c r="H50" s="1631"/>
      <c r="I50" s="2538"/>
      <c r="J50" s="1628"/>
      <c r="K50" s="1629"/>
      <c r="L50" s="188"/>
      <c r="M50" s="189"/>
      <c r="N50" s="189"/>
      <c r="O50" s="189"/>
      <c r="P50" s="189"/>
      <c r="Q50" s="189"/>
      <c r="R50" s="189"/>
      <c r="S50" s="189"/>
      <c r="T50" s="189"/>
      <c r="U50" s="189"/>
      <c r="V50" s="189"/>
      <c r="W50" s="189"/>
    </row>
    <row r="51" spans="1:23" ht="15" customHeight="1">
      <c r="A51" s="1169" t="str">
        <f>'Org structure'!A6</f>
        <v>Vote 5 - PUBLIC SAFETY</v>
      </c>
      <c r="B51" s="1058"/>
      <c r="C51" s="976">
        <f>SUM(C52:C61)</f>
        <v>24857330</v>
      </c>
      <c r="D51" s="976">
        <f t="shared" ref="D51:K51" si="4">SUM(D52:D61)</f>
        <v>26330131</v>
      </c>
      <c r="E51" s="977">
        <f t="shared" si="4"/>
        <v>23617450</v>
      </c>
      <c r="F51" s="978">
        <f t="shared" si="4"/>
        <v>25637096</v>
      </c>
      <c r="G51" s="976">
        <f t="shared" si="4"/>
        <v>39824748</v>
      </c>
      <c r="H51" s="979">
        <f t="shared" si="4"/>
        <v>39824748</v>
      </c>
      <c r="I51" s="980">
        <f t="shared" si="4"/>
        <v>40979742</v>
      </c>
      <c r="J51" s="976">
        <f t="shared" si="4"/>
        <v>41845176</v>
      </c>
      <c r="K51" s="977">
        <f t="shared" si="4"/>
        <v>43758709</v>
      </c>
      <c r="L51" s="188"/>
      <c r="M51" s="189"/>
      <c r="N51" s="189"/>
      <c r="O51" s="189"/>
      <c r="P51" s="189"/>
      <c r="Q51" s="189"/>
      <c r="R51" s="189"/>
      <c r="S51" s="189"/>
      <c r="T51" s="189"/>
      <c r="U51" s="189"/>
      <c r="V51" s="189"/>
      <c r="W51" s="189"/>
    </row>
    <row r="52" spans="1:23" ht="11.25" customHeight="1">
      <c r="A52" s="1170" t="str">
        <f>'Org structure'!E47</f>
        <v>5.1 - 100 - OFFICE OF THE DIRECTOR PUBLIC SAFETY</v>
      </c>
      <c r="B52" s="1046"/>
      <c r="C52" s="1628">
        <v>0</v>
      </c>
      <c r="D52" s="1629">
        <v>0</v>
      </c>
      <c r="E52" s="1629">
        <v>0</v>
      </c>
      <c r="F52" s="2538">
        <v>0</v>
      </c>
      <c r="G52" s="1628">
        <v>0</v>
      </c>
      <c r="H52" s="1628">
        <v>0</v>
      </c>
      <c r="I52" s="2538">
        <v>0</v>
      </c>
      <c r="J52" s="1628">
        <v>0</v>
      </c>
      <c r="K52" s="1629">
        <v>0</v>
      </c>
      <c r="L52" s="188"/>
      <c r="M52" s="189"/>
      <c r="N52" s="189"/>
      <c r="O52" s="189"/>
      <c r="P52" s="189"/>
      <c r="Q52" s="189"/>
      <c r="R52" s="189"/>
      <c r="S52" s="189"/>
      <c r="T52" s="189"/>
      <c r="U52" s="189"/>
      <c r="V52" s="189"/>
      <c r="W52" s="189"/>
    </row>
    <row r="53" spans="1:23" ht="11.25" customHeight="1">
      <c r="A53" s="1170" t="str">
        <f>'Org structure'!E48</f>
        <v>5.2 - 105 - MUNICIPAL POLICE AND SECURITY SERVICES</v>
      </c>
      <c r="B53" s="1046"/>
      <c r="C53" s="1628">
        <v>3510</v>
      </c>
      <c r="D53" s="1629">
        <v>29688</v>
      </c>
      <c r="E53" s="1629">
        <v>21839</v>
      </c>
      <c r="F53" s="2538">
        <v>0</v>
      </c>
      <c r="G53" s="1628">
        <v>0</v>
      </c>
      <c r="H53" s="1628">
        <v>0</v>
      </c>
      <c r="I53" s="2538">
        <v>0</v>
      </c>
      <c r="J53" s="1628">
        <v>0</v>
      </c>
      <c r="K53" s="1629">
        <v>0</v>
      </c>
      <c r="L53" s="188"/>
      <c r="M53" s="189"/>
      <c r="N53" s="189"/>
      <c r="O53" s="189"/>
      <c r="P53" s="189"/>
      <c r="Q53" s="189"/>
      <c r="R53" s="189"/>
      <c r="S53" s="189"/>
      <c r="T53" s="189"/>
      <c r="U53" s="189"/>
      <c r="V53" s="189"/>
      <c r="W53" s="189"/>
    </row>
    <row r="54" spans="1:23" ht="11.25" customHeight="1">
      <c r="A54" s="1170" t="str">
        <f>'Org structure'!E49</f>
        <v>5.3 - 115 - EMERGENCY AND DISASTER MANAGEMENT</v>
      </c>
      <c r="B54" s="1046"/>
      <c r="C54" s="1628">
        <v>1932996</v>
      </c>
      <c r="D54" s="1629">
        <v>2448010</v>
      </c>
      <c r="E54" s="1629">
        <v>288875</v>
      </c>
      <c r="F54" s="2538">
        <v>2632860</v>
      </c>
      <c r="G54" s="1628">
        <v>2841340</v>
      </c>
      <c r="H54" s="1628">
        <v>2841340</v>
      </c>
      <c r="I54" s="2538">
        <v>179500</v>
      </c>
      <c r="J54" s="1628">
        <v>273540</v>
      </c>
      <c r="K54" s="1629">
        <v>328480</v>
      </c>
      <c r="L54" s="188"/>
      <c r="M54" s="189"/>
      <c r="N54" s="189"/>
      <c r="O54" s="189"/>
      <c r="P54" s="189"/>
      <c r="Q54" s="189"/>
      <c r="R54" s="189"/>
      <c r="S54" s="189"/>
      <c r="T54" s="189"/>
      <c r="U54" s="189"/>
      <c r="V54" s="189"/>
      <c r="W54" s="189"/>
    </row>
    <row r="55" spans="1:23" ht="11.25" customHeight="1">
      <c r="A55" s="1170" t="str">
        <f>'Org structure'!E50</f>
        <v>5.4 - 130 - TRAFFIC SERVICES</v>
      </c>
      <c r="B55" s="1046"/>
      <c r="C55" s="1628">
        <v>1605917</v>
      </c>
      <c r="D55" s="1629">
        <v>2831066</v>
      </c>
      <c r="E55" s="1629">
        <v>6902519</v>
      </c>
      <c r="F55" s="2538">
        <v>7828069</v>
      </c>
      <c r="G55" s="1628">
        <v>8178237</v>
      </c>
      <c r="H55" s="1628">
        <v>8178237</v>
      </c>
      <c r="I55" s="2538">
        <v>9284754</v>
      </c>
      <c r="J55" s="1628">
        <v>9769370</v>
      </c>
      <c r="K55" s="1629">
        <v>10279963</v>
      </c>
      <c r="L55" s="188"/>
      <c r="M55" s="189"/>
      <c r="N55" s="189"/>
      <c r="O55" s="189"/>
      <c r="P55" s="189"/>
      <c r="Q55" s="189"/>
      <c r="R55" s="189"/>
      <c r="S55" s="189"/>
      <c r="T55" s="189"/>
      <c r="U55" s="189"/>
      <c r="V55" s="189"/>
      <c r="W55" s="189"/>
    </row>
    <row r="56" spans="1:23" ht="11.25" customHeight="1">
      <c r="A56" s="1170" t="str">
        <f>'Org structure'!E51</f>
        <v>5.5 - 140 - TESTING AND LICENSES</v>
      </c>
      <c r="B56" s="1046"/>
      <c r="C56" s="1628">
        <v>21314907</v>
      </c>
      <c r="D56" s="1629">
        <v>21021367</v>
      </c>
      <c r="E56" s="1629">
        <v>16404217</v>
      </c>
      <c r="F56" s="2538">
        <v>15176167</v>
      </c>
      <c r="G56" s="1628">
        <v>28805171</v>
      </c>
      <c r="H56" s="1628">
        <v>28805171</v>
      </c>
      <c r="I56" s="2538">
        <v>31515488</v>
      </c>
      <c r="J56" s="1628">
        <v>31802266</v>
      </c>
      <c r="K56" s="1629">
        <v>33150266</v>
      </c>
      <c r="L56" s="188"/>
      <c r="M56" s="189"/>
      <c r="N56" s="189"/>
      <c r="O56" s="189"/>
      <c r="P56" s="189"/>
      <c r="Q56" s="189"/>
      <c r="R56" s="189"/>
      <c r="S56" s="189"/>
      <c r="T56" s="189"/>
      <c r="U56" s="189"/>
      <c r="V56" s="189"/>
      <c r="W56" s="189"/>
    </row>
    <row r="57" spans="1:23" ht="11.25" customHeight="1">
      <c r="A57" s="1170" t="str">
        <f>'Org structure'!E52</f>
        <v>5.6 - 141 - LAW ENFORCEMENT</v>
      </c>
      <c r="B57" s="1046"/>
      <c r="C57" s="1628">
        <v>0</v>
      </c>
      <c r="D57" s="1628">
        <v>0</v>
      </c>
      <c r="E57" s="1629">
        <v>0</v>
      </c>
      <c r="F57" s="1630">
        <v>0</v>
      </c>
      <c r="G57" s="1628"/>
      <c r="H57" s="1631"/>
      <c r="I57" s="2538">
        <v>0</v>
      </c>
      <c r="J57" s="1628">
        <v>0</v>
      </c>
      <c r="K57" s="1629">
        <v>0</v>
      </c>
      <c r="L57" s="188"/>
      <c r="M57" s="189"/>
      <c r="N57" s="189"/>
      <c r="O57" s="189"/>
      <c r="P57" s="189"/>
      <c r="Q57" s="189"/>
      <c r="R57" s="189"/>
      <c r="S57" s="189"/>
      <c r="T57" s="189"/>
      <c r="U57" s="189"/>
      <c r="V57" s="189"/>
      <c r="W57" s="189"/>
    </row>
    <row r="58" spans="1:23" ht="11.25" customHeight="1">
      <c r="A58" s="1170">
        <f>'Org structure'!E53</f>
        <v>0</v>
      </c>
      <c r="B58" s="1046"/>
      <c r="C58" s="1628"/>
      <c r="D58" s="1628"/>
      <c r="E58" s="1629"/>
      <c r="F58" s="1630"/>
      <c r="G58" s="1628"/>
      <c r="H58" s="1631"/>
      <c r="I58" s="2538"/>
      <c r="J58" s="1628"/>
      <c r="K58" s="1629"/>
      <c r="L58" s="188"/>
      <c r="M58" s="189"/>
      <c r="N58" s="189"/>
      <c r="O58" s="189"/>
      <c r="P58" s="189"/>
      <c r="Q58" s="189"/>
      <c r="R58" s="189"/>
      <c r="S58" s="189"/>
      <c r="T58" s="189"/>
      <c r="U58" s="189"/>
      <c r="V58" s="189"/>
      <c r="W58" s="189"/>
    </row>
    <row r="59" spans="1:23" ht="11.25" customHeight="1">
      <c r="A59" s="1170">
        <f>'Org structure'!E54</f>
        <v>0</v>
      </c>
      <c r="B59" s="1046"/>
      <c r="C59" s="1628"/>
      <c r="D59" s="1628"/>
      <c r="E59" s="1629"/>
      <c r="F59" s="1630"/>
      <c r="G59" s="1628"/>
      <c r="H59" s="1631"/>
      <c r="I59" s="2538"/>
      <c r="J59" s="1628"/>
      <c r="K59" s="1629"/>
      <c r="L59" s="188"/>
      <c r="M59" s="189"/>
      <c r="N59" s="189"/>
      <c r="O59" s="189"/>
      <c r="P59" s="189"/>
      <c r="Q59" s="189"/>
      <c r="R59" s="189"/>
      <c r="S59" s="189"/>
      <c r="T59" s="189"/>
      <c r="U59" s="189"/>
      <c r="V59" s="189"/>
      <c r="W59" s="189"/>
    </row>
    <row r="60" spans="1:23" ht="11.25" customHeight="1">
      <c r="A60" s="1170">
        <f>'Org structure'!E55</f>
        <v>0</v>
      </c>
      <c r="B60" s="1046"/>
      <c r="C60" s="1628"/>
      <c r="D60" s="1628"/>
      <c r="E60" s="1629"/>
      <c r="F60" s="1630"/>
      <c r="G60" s="1628"/>
      <c r="H60" s="1631"/>
      <c r="I60" s="2538"/>
      <c r="J60" s="1628"/>
      <c r="K60" s="1629"/>
      <c r="L60" s="188"/>
      <c r="M60" s="189"/>
      <c r="N60" s="189"/>
      <c r="O60" s="189"/>
      <c r="P60" s="189"/>
      <c r="Q60" s="189"/>
      <c r="R60" s="189"/>
      <c r="S60" s="189"/>
      <c r="T60" s="189"/>
      <c r="U60" s="189"/>
      <c r="V60" s="189"/>
      <c r="W60" s="189"/>
    </row>
    <row r="61" spans="1:23" ht="11.25" customHeight="1">
      <c r="A61" s="1170">
        <f>'Org structure'!E56</f>
        <v>0</v>
      </c>
      <c r="B61" s="1046"/>
      <c r="C61" s="1628"/>
      <c r="D61" s="1628"/>
      <c r="E61" s="1629"/>
      <c r="F61" s="1630"/>
      <c r="G61" s="1628"/>
      <c r="H61" s="1631"/>
      <c r="I61" s="2538"/>
      <c r="J61" s="1628"/>
      <c r="K61" s="1629"/>
      <c r="L61" s="188"/>
      <c r="M61" s="189"/>
      <c r="N61" s="189"/>
      <c r="O61" s="189"/>
      <c r="P61" s="189"/>
      <c r="Q61" s="189"/>
      <c r="R61" s="189"/>
      <c r="S61" s="189"/>
      <c r="T61" s="189"/>
      <c r="U61" s="189"/>
      <c r="V61" s="189"/>
      <c r="W61" s="189"/>
    </row>
    <row r="62" spans="1:23" ht="15" customHeight="1">
      <c r="A62" s="1169" t="str">
        <f>'Org structure'!A7</f>
        <v>Vote 6 - PLANNING &amp; HUMAN SETTLEMENT</v>
      </c>
      <c r="B62" s="1058"/>
      <c r="C62" s="976">
        <f>SUM(C63:C72)</f>
        <v>32131272</v>
      </c>
      <c r="D62" s="976">
        <f t="shared" ref="D62:K62" si="5">SUM(D63:D72)</f>
        <v>26670842</v>
      </c>
      <c r="E62" s="977">
        <f t="shared" si="5"/>
        <v>28288420</v>
      </c>
      <c r="F62" s="978">
        <f t="shared" si="5"/>
        <v>131106022</v>
      </c>
      <c r="G62" s="976">
        <f t="shared" si="5"/>
        <v>72840992</v>
      </c>
      <c r="H62" s="979">
        <f t="shared" si="5"/>
        <v>72840992</v>
      </c>
      <c r="I62" s="980">
        <f t="shared" si="5"/>
        <v>108764595</v>
      </c>
      <c r="J62" s="976">
        <f t="shared" si="5"/>
        <v>60295329</v>
      </c>
      <c r="K62" s="977">
        <f t="shared" si="5"/>
        <v>10713627</v>
      </c>
      <c r="L62" s="188"/>
      <c r="M62" s="189"/>
      <c r="N62" s="189"/>
      <c r="O62" s="189"/>
      <c r="P62" s="189"/>
      <c r="Q62" s="189"/>
      <c r="R62" s="189"/>
      <c r="S62" s="189"/>
      <c r="T62" s="189"/>
      <c r="U62" s="189"/>
      <c r="V62" s="189"/>
      <c r="W62" s="189"/>
    </row>
    <row r="63" spans="1:23" ht="11.25" customHeight="1">
      <c r="A63" s="1170" t="str">
        <f>'Org structure'!E58</f>
        <v>6.1 - 150 - OFFICE OF THE DIRECTOR PLANNING AND HUMAN SETLEMENT</v>
      </c>
      <c r="B63" s="1046"/>
      <c r="C63" s="1628">
        <v>0</v>
      </c>
      <c r="D63" s="1629">
        <v>0</v>
      </c>
      <c r="E63" s="1629">
        <v>0</v>
      </c>
      <c r="F63" s="2538">
        <v>0</v>
      </c>
      <c r="G63" s="1628">
        <v>0</v>
      </c>
      <c r="H63" s="1628">
        <v>0</v>
      </c>
      <c r="I63" s="2538">
        <v>0</v>
      </c>
      <c r="J63" s="1628">
        <v>0</v>
      </c>
      <c r="K63" s="1629">
        <v>0</v>
      </c>
      <c r="L63" s="188"/>
      <c r="M63" s="189"/>
      <c r="N63" s="189"/>
      <c r="O63" s="189"/>
      <c r="P63" s="189"/>
      <c r="Q63" s="189"/>
      <c r="R63" s="189"/>
      <c r="S63" s="189"/>
      <c r="T63" s="189"/>
      <c r="U63" s="189"/>
      <c r="V63" s="189"/>
      <c r="W63" s="189"/>
    </row>
    <row r="64" spans="1:23" ht="11.25" customHeight="1">
      <c r="A64" s="1170" t="str">
        <f>'Org structure'!E59</f>
        <v>6.2 - 155 - DEVELOPMENT PLANNING</v>
      </c>
      <c r="B64" s="1046"/>
      <c r="C64" s="1628">
        <v>517822</v>
      </c>
      <c r="D64" s="1629">
        <v>22680326</v>
      </c>
      <c r="E64" s="1629">
        <v>458705</v>
      </c>
      <c r="F64" s="2538">
        <v>419009</v>
      </c>
      <c r="G64" s="1628">
        <v>681669</v>
      </c>
      <c r="H64" s="1628">
        <v>681669</v>
      </c>
      <c r="I64" s="2538">
        <v>680481</v>
      </c>
      <c r="J64" s="1628">
        <v>726580</v>
      </c>
      <c r="K64" s="1629">
        <v>763902</v>
      </c>
      <c r="L64" s="188"/>
      <c r="M64" s="189"/>
      <c r="N64" s="189"/>
      <c r="O64" s="189"/>
      <c r="P64" s="189"/>
      <c r="Q64" s="189"/>
      <c r="R64" s="189"/>
      <c r="S64" s="189"/>
      <c r="T64" s="189"/>
      <c r="U64" s="189"/>
      <c r="V64" s="189"/>
      <c r="W64" s="189"/>
    </row>
    <row r="65" spans="1:23" ht="11.25" customHeight="1">
      <c r="A65" s="1170" t="str">
        <f>'Org structure'!E60</f>
        <v>6.3 - 156 - ESTATES</v>
      </c>
      <c r="B65" s="1046"/>
      <c r="C65" s="1628">
        <v>23837465</v>
      </c>
      <c r="D65" s="1629">
        <v>1301495</v>
      </c>
      <c r="E65" s="1629">
        <v>24298946</v>
      </c>
      <c r="F65" s="2538">
        <v>127475204</v>
      </c>
      <c r="G65" s="1628">
        <v>68206993</v>
      </c>
      <c r="H65" s="1628">
        <v>68206993</v>
      </c>
      <c r="I65" s="2538">
        <v>104342687</v>
      </c>
      <c r="J65" s="1628">
        <v>55638861</v>
      </c>
      <c r="K65" s="1629">
        <v>5804361</v>
      </c>
      <c r="L65" s="188"/>
      <c r="M65" s="189"/>
      <c r="N65" s="189"/>
      <c r="O65" s="189"/>
      <c r="P65" s="189"/>
      <c r="Q65" s="189"/>
      <c r="R65" s="189"/>
      <c r="S65" s="189"/>
      <c r="T65" s="189"/>
      <c r="U65" s="189"/>
      <c r="V65" s="189"/>
      <c r="W65" s="189"/>
    </row>
    <row r="66" spans="1:23" ht="11.25" customHeight="1">
      <c r="A66" s="1170" t="str">
        <f>'Org structure'!E61</f>
        <v>6.4 - 160 - HOUSING PROVISION</v>
      </c>
      <c r="B66" s="1046"/>
      <c r="C66" s="1628">
        <v>6180015</v>
      </c>
      <c r="D66" s="1629">
        <v>2333406</v>
      </c>
      <c r="E66" s="1629">
        <v>2463482</v>
      </c>
      <c r="F66" s="2538">
        <v>2860811</v>
      </c>
      <c r="G66" s="1628">
        <v>2860811</v>
      </c>
      <c r="H66" s="1628">
        <v>2860811</v>
      </c>
      <c r="I66" s="2538">
        <v>2988574</v>
      </c>
      <c r="J66" s="1628">
        <v>3138392</v>
      </c>
      <c r="K66" s="1629">
        <v>3314142</v>
      </c>
      <c r="L66" s="188"/>
      <c r="M66" s="189"/>
      <c r="N66" s="189"/>
      <c r="O66" s="189"/>
      <c r="P66" s="189"/>
      <c r="Q66" s="189"/>
      <c r="R66" s="189"/>
      <c r="S66" s="189"/>
      <c r="T66" s="189"/>
      <c r="U66" s="189"/>
      <c r="V66" s="189"/>
      <c r="W66" s="189"/>
    </row>
    <row r="67" spans="1:23" ht="11.25" customHeight="1">
      <c r="A67" s="1170" t="str">
        <f>'Org structure'!E62</f>
        <v>6.5 - 165 - BUILDING CONTROL AND REGULATIONS</v>
      </c>
      <c r="B67" s="1046"/>
      <c r="C67" s="1628">
        <v>294045</v>
      </c>
      <c r="D67" s="1629">
        <v>352764</v>
      </c>
      <c r="E67" s="1629">
        <v>393398</v>
      </c>
      <c r="F67" s="2538">
        <v>347998</v>
      </c>
      <c r="G67" s="1628">
        <v>727883</v>
      </c>
      <c r="H67" s="1628">
        <v>727883</v>
      </c>
      <c r="I67" s="2538">
        <v>749703</v>
      </c>
      <c r="J67" s="1628">
        <v>788188</v>
      </c>
      <c r="K67" s="1629">
        <v>827729</v>
      </c>
      <c r="L67" s="188"/>
      <c r="M67" s="189"/>
      <c r="N67" s="189"/>
      <c r="O67" s="189"/>
      <c r="P67" s="189"/>
      <c r="Q67" s="189"/>
      <c r="R67" s="189"/>
      <c r="S67" s="189"/>
      <c r="T67" s="189"/>
      <c r="U67" s="189"/>
      <c r="V67" s="189"/>
      <c r="W67" s="189"/>
    </row>
    <row r="68" spans="1:23" ht="11.25" customHeight="1">
      <c r="A68" s="1170" t="str">
        <f>'Org structure'!E63</f>
        <v>6.6 - 175 - INTEGRATED ENVIRONMENTAL MANAGEMENT</v>
      </c>
      <c r="B68" s="1046"/>
      <c r="C68" s="1628">
        <v>1301925</v>
      </c>
      <c r="D68" s="1629">
        <v>2851</v>
      </c>
      <c r="E68" s="1629">
        <v>673889</v>
      </c>
      <c r="F68" s="2538">
        <v>3000</v>
      </c>
      <c r="G68" s="1628">
        <v>363636</v>
      </c>
      <c r="H68" s="1628">
        <v>363636</v>
      </c>
      <c r="I68" s="2538">
        <v>3150</v>
      </c>
      <c r="J68" s="1628">
        <v>3308</v>
      </c>
      <c r="K68" s="1629">
        <v>3493</v>
      </c>
      <c r="L68" s="188"/>
      <c r="M68" s="189"/>
      <c r="N68" s="189"/>
      <c r="O68" s="189"/>
      <c r="P68" s="189"/>
      <c r="Q68" s="189"/>
      <c r="R68" s="189"/>
      <c r="S68" s="189"/>
      <c r="T68" s="189"/>
      <c r="U68" s="189"/>
      <c r="V68" s="189"/>
      <c r="W68" s="189"/>
    </row>
    <row r="69" spans="1:23" ht="11.25" customHeight="1">
      <c r="A69" s="1170">
        <f>'Org structure'!E64</f>
        <v>0</v>
      </c>
      <c r="B69" s="1046"/>
      <c r="C69" s="1628"/>
      <c r="D69" s="1629"/>
      <c r="E69" s="1629"/>
      <c r="F69" s="2538"/>
      <c r="G69" s="1628"/>
      <c r="H69" s="1631"/>
      <c r="I69" s="2538"/>
      <c r="J69" s="1628"/>
      <c r="K69" s="1629"/>
      <c r="L69" s="188"/>
      <c r="M69" s="189"/>
      <c r="N69" s="189"/>
      <c r="O69" s="189"/>
      <c r="P69" s="189"/>
      <c r="Q69" s="189"/>
      <c r="R69" s="189"/>
      <c r="S69" s="189"/>
      <c r="T69" s="189"/>
      <c r="U69" s="189"/>
      <c r="V69" s="189"/>
      <c r="W69" s="189"/>
    </row>
    <row r="70" spans="1:23" ht="11.25" customHeight="1">
      <c r="A70" s="1170">
        <f>'Org structure'!E65</f>
        <v>0</v>
      </c>
      <c r="B70" s="1046"/>
      <c r="C70" s="1628"/>
      <c r="D70" s="1628"/>
      <c r="E70" s="1629"/>
      <c r="F70" s="1630"/>
      <c r="G70" s="1628"/>
      <c r="H70" s="1631"/>
      <c r="I70" s="2538"/>
      <c r="J70" s="1628"/>
      <c r="K70" s="1629"/>
      <c r="L70" s="188"/>
      <c r="M70" s="189"/>
      <c r="N70" s="189"/>
      <c r="O70" s="189"/>
      <c r="P70" s="189"/>
      <c r="Q70" s="189"/>
      <c r="R70" s="189"/>
      <c r="S70" s="189"/>
      <c r="T70" s="189"/>
      <c r="U70" s="189"/>
      <c r="V70" s="189"/>
      <c r="W70" s="189"/>
    </row>
    <row r="71" spans="1:23" ht="11.25" customHeight="1">
      <c r="A71" s="1170">
        <f>'Org structure'!E66</f>
        <v>0</v>
      </c>
      <c r="B71" s="1046"/>
      <c r="C71" s="1628"/>
      <c r="D71" s="1628"/>
      <c r="E71" s="1629"/>
      <c r="F71" s="1630"/>
      <c r="G71" s="1628"/>
      <c r="H71" s="1631"/>
      <c r="I71" s="2538"/>
      <c r="J71" s="1628"/>
      <c r="K71" s="1629"/>
      <c r="L71" s="188"/>
      <c r="M71" s="189"/>
      <c r="N71" s="189"/>
      <c r="O71" s="189"/>
      <c r="P71" s="189"/>
      <c r="Q71" s="189"/>
      <c r="R71" s="189"/>
      <c r="S71" s="189"/>
      <c r="T71" s="189"/>
      <c r="U71" s="189"/>
      <c r="V71" s="189"/>
      <c r="W71" s="189"/>
    </row>
    <row r="72" spans="1:23" ht="11.25" customHeight="1">
      <c r="A72" s="1170">
        <f>'Org structure'!E67</f>
        <v>0</v>
      </c>
      <c r="B72" s="1046"/>
      <c r="C72" s="1628"/>
      <c r="D72" s="1628"/>
      <c r="E72" s="1629"/>
      <c r="F72" s="1630"/>
      <c r="G72" s="1628"/>
      <c r="H72" s="1631"/>
      <c r="I72" s="2538"/>
      <c r="J72" s="1628"/>
      <c r="K72" s="1629"/>
      <c r="L72" s="188"/>
      <c r="M72" s="189"/>
      <c r="N72" s="189"/>
      <c r="O72" s="189"/>
      <c r="P72" s="189"/>
      <c r="Q72" s="189"/>
      <c r="R72" s="189"/>
      <c r="S72" s="189"/>
      <c r="T72" s="189"/>
      <c r="U72" s="189"/>
      <c r="V72" s="189"/>
      <c r="W72" s="189"/>
    </row>
    <row r="73" spans="1:23" ht="15" customHeight="1">
      <c r="A73" s="1169" t="str">
        <f>'Org structure'!A8</f>
        <v xml:space="preserve">Vote 7 - LOCAL ECONOMIC DEVELOPMENT </v>
      </c>
      <c r="B73" s="1058"/>
      <c r="C73" s="976">
        <f t="shared" ref="C73:K73" si="6">SUM(C74:C83)</f>
        <v>17103</v>
      </c>
      <c r="D73" s="976">
        <f t="shared" si="6"/>
        <v>7895</v>
      </c>
      <c r="E73" s="977">
        <f t="shared" si="6"/>
        <v>19298</v>
      </c>
      <c r="F73" s="978">
        <f t="shared" si="6"/>
        <v>372275</v>
      </c>
      <c r="G73" s="976">
        <f t="shared" si="6"/>
        <v>372275</v>
      </c>
      <c r="H73" s="979">
        <f t="shared" si="6"/>
        <v>372275</v>
      </c>
      <c r="I73" s="980">
        <f t="shared" si="6"/>
        <v>3415470</v>
      </c>
      <c r="J73" s="976">
        <f t="shared" si="6"/>
        <v>3589848</v>
      </c>
      <c r="K73" s="977">
        <f t="shared" si="6"/>
        <v>3725995</v>
      </c>
      <c r="L73" s="188"/>
      <c r="M73" s="189"/>
      <c r="N73" s="189"/>
      <c r="O73" s="189"/>
      <c r="P73" s="189"/>
      <c r="Q73" s="189"/>
      <c r="R73" s="189"/>
      <c r="S73" s="189"/>
      <c r="T73" s="189"/>
      <c r="U73" s="189"/>
      <c r="V73" s="189"/>
      <c r="W73" s="189"/>
    </row>
    <row r="74" spans="1:23" ht="11.25" customHeight="1">
      <c r="A74" s="1170" t="str">
        <f>'Org structure'!E69</f>
        <v>7.1 - 180 - LOCAL ECONOMIC DEVELOPMENT</v>
      </c>
      <c r="B74" s="1046"/>
      <c r="C74" s="1628">
        <v>3069</v>
      </c>
      <c r="D74" s="1629">
        <v>4386</v>
      </c>
      <c r="E74" s="1629">
        <v>0</v>
      </c>
      <c r="F74" s="2538">
        <v>7200</v>
      </c>
      <c r="G74" s="1628">
        <v>7200</v>
      </c>
      <c r="H74" s="1628">
        <v>7200</v>
      </c>
      <c r="I74" s="2538">
        <v>3007560</v>
      </c>
      <c r="J74" s="1628">
        <v>3157938</v>
      </c>
      <c r="K74" s="1629">
        <v>3315358</v>
      </c>
      <c r="L74" s="188"/>
      <c r="M74" s="189"/>
      <c r="N74" s="189"/>
      <c r="O74" s="189"/>
      <c r="P74" s="189"/>
      <c r="Q74" s="189"/>
      <c r="R74" s="189"/>
      <c r="S74" s="189"/>
      <c r="T74" s="189"/>
      <c r="U74" s="189"/>
      <c r="V74" s="189"/>
      <c r="W74" s="189"/>
    </row>
    <row r="75" spans="1:23" ht="11.25" customHeight="1">
      <c r="A75" s="1170" t="str">
        <f>'Org structure'!E70</f>
        <v>7.2 - 181 - BUSINESS ADVICE CENTRE</v>
      </c>
      <c r="B75" s="1046"/>
      <c r="C75" s="1628">
        <v>0</v>
      </c>
      <c r="D75" s="1629">
        <v>0</v>
      </c>
      <c r="E75" s="1629">
        <v>0</v>
      </c>
      <c r="F75" s="2538">
        <v>0</v>
      </c>
      <c r="G75" s="1628">
        <v>0</v>
      </c>
      <c r="H75" s="1628">
        <v>0</v>
      </c>
      <c r="I75" s="2538">
        <v>0</v>
      </c>
      <c r="J75" s="1628">
        <v>0</v>
      </c>
      <c r="K75" s="1629">
        <v>0</v>
      </c>
      <c r="L75" s="188"/>
      <c r="M75" s="189"/>
      <c r="N75" s="189"/>
      <c r="O75" s="189"/>
      <c r="P75" s="189"/>
      <c r="Q75" s="189"/>
      <c r="R75" s="189"/>
      <c r="S75" s="189"/>
      <c r="T75" s="189"/>
      <c r="U75" s="189"/>
      <c r="V75" s="189"/>
      <c r="W75" s="189"/>
    </row>
    <row r="76" spans="1:23" ht="11.25" customHeight="1">
      <c r="A76" s="1170" t="str">
        <f>'Org structure'!E71</f>
        <v>7.3 - 185 - ENTERPRISE / SMME DEVELOPMENT</v>
      </c>
      <c r="B76" s="1046"/>
      <c r="C76" s="1628">
        <v>14034</v>
      </c>
      <c r="D76" s="1629">
        <v>3509</v>
      </c>
      <c r="E76" s="1629">
        <v>19298</v>
      </c>
      <c r="F76" s="2538">
        <v>364375</v>
      </c>
      <c r="G76" s="1628">
        <v>364375</v>
      </c>
      <c r="H76" s="1628">
        <v>364375</v>
      </c>
      <c r="I76" s="2538">
        <v>407175</v>
      </c>
      <c r="J76" s="1628">
        <v>431138</v>
      </c>
      <c r="K76" s="1629">
        <v>409824</v>
      </c>
      <c r="L76" s="188"/>
      <c r="M76" s="189"/>
      <c r="N76" s="189"/>
      <c r="O76" s="189"/>
      <c r="P76" s="189"/>
      <c r="Q76" s="189"/>
      <c r="R76" s="189"/>
      <c r="S76" s="189"/>
      <c r="T76" s="189"/>
      <c r="U76" s="189"/>
      <c r="V76" s="189"/>
      <c r="W76" s="189"/>
    </row>
    <row r="77" spans="1:23" ht="11.25" customHeight="1">
      <c r="A77" s="1170" t="str">
        <f>'Org structure'!E72</f>
        <v>7.4 - 190 - POLICY RESERCH AND MARKETING</v>
      </c>
      <c r="B77" s="1046"/>
      <c r="C77" s="1628">
        <v>0</v>
      </c>
      <c r="D77" s="1629">
        <v>0</v>
      </c>
      <c r="E77" s="1629">
        <v>0</v>
      </c>
      <c r="F77" s="2538">
        <v>700</v>
      </c>
      <c r="G77" s="1628">
        <v>700</v>
      </c>
      <c r="H77" s="1628">
        <v>700</v>
      </c>
      <c r="I77" s="2538">
        <v>735</v>
      </c>
      <c r="J77" s="1628">
        <v>772</v>
      </c>
      <c r="K77" s="1629">
        <v>813</v>
      </c>
      <c r="L77" s="188"/>
      <c r="M77" s="189"/>
      <c r="N77" s="189"/>
      <c r="O77" s="189"/>
      <c r="P77" s="189"/>
      <c r="Q77" s="189"/>
      <c r="R77" s="189"/>
      <c r="S77" s="189"/>
      <c r="T77" s="189"/>
      <c r="U77" s="189"/>
      <c r="V77" s="189"/>
      <c r="W77" s="189"/>
    </row>
    <row r="78" spans="1:23" ht="11.25" customHeight="1">
      <c r="A78" s="1170" t="str">
        <f>'Org structure'!E73</f>
        <v>7.5 - 195 - INTER GOVERNMENTAL RELATIONS</v>
      </c>
      <c r="B78" s="1046"/>
      <c r="C78" s="1628">
        <v>0</v>
      </c>
      <c r="D78" s="1629">
        <v>0</v>
      </c>
      <c r="E78" s="1629">
        <v>0</v>
      </c>
      <c r="F78" s="2538">
        <v>0</v>
      </c>
      <c r="G78" s="1628">
        <v>0</v>
      </c>
      <c r="H78" s="1628">
        <v>0</v>
      </c>
      <c r="I78" s="2538">
        <v>0</v>
      </c>
      <c r="J78" s="1628">
        <v>0</v>
      </c>
      <c r="K78" s="1629">
        <v>0</v>
      </c>
      <c r="L78" s="188"/>
      <c r="M78" s="189"/>
      <c r="N78" s="189"/>
      <c r="O78" s="189"/>
      <c r="P78" s="189"/>
      <c r="Q78" s="189"/>
      <c r="R78" s="189"/>
      <c r="S78" s="189"/>
      <c r="T78" s="189"/>
      <c r="U78" s="189"/>
      <c r="V78" s="189"/>
      <c r="W78" s="189"/>
    </row>
    <row r="79" spans="1:23" ht="11.25" customHeight="1">
      <c r="A79" s="1170">
        <f>'Org structure'!E74</f>
        <v>0</v>
      </c>
      <c r="B79" s="1046"/>
      <c r="C79" s="1628"/>
      <c r="D79" s="1628"/>
      <c r="E79" s="1629"/>
      <c r="F79" s="1630"/>
      <c r="G79" s="1628"/>
      <c r="H79" s="1631"/>
      <c r="I79" s="2538"/>
      <c r="J79" s="1628"/>
      <c r="K79" s="1629"/>
      <c r="L79" s="188"/>
      <c r="M79" s="189"/>
      <c r="N79" s="189"/>
      <c r="O79" s="189"/>
      <c r="P79" s="189"/>
      <c r="Q79" s="189"/>
      <c r="R79" s="189"/>
      <c r="S79" s="189"/>
      <c r="T79" s="189"/>
      <c r="U79" s="189"/>
      <c r="V79" s="189"/>
      <c r="W79" s="189"/>
    </row>
    <row r="80" spans="1:23" ht="11.25" customHeight="1">
      <c r="A80" s="1170">
        <f>'Org structure'!E75</f>
        <v>0</v>
      </c>
      <c r="B80" s="1046"/>
      <c r="C80" s="1628"/>
      <c r="D80" s="1628"/>
      <c r="E80" s="1629"/>
      <c r="F80" s="1630"/>
      <c r="G80" s="1628"/>
      <c r="H80" s="1631"/>
      <c r="I80" s="2538"/>
      <c r="J80" s="1628"/>
      <c r="K80" s="1629"/>
      <c r="L80" s="195"/>
      <c r="M80" s="196"/>
      <c r="N80" s="196"/>
      <c r="O80" s="196"/>
      <c r="P80" s="196"/>
      <c r="Q80" s="196"/>
      <c r="R80" s="196"/>
      <c r="S80" s="196"/>
      <c r="T80" s="196"/>
      <c r="U80" s="196"/>
      <c r="V80" s="196"/>
      <c r="W80" s="196"/>
    </row>
    <row r="81" spans="1:23" ht="11.25" customHeight="1">
      <c r="A81" s="1170">
        <f>'Org structure'!E76</f>
        <v>0</v>
      </c>
      <c r="B81" s="1046"/>
      <c r="C81" s="1628"/>
      <c r="D81" s="1628"/>
      <c r="E81" s="1629"/>
      <c r="F81" s="1630"/>
      <c r="G81" s="1628"/>
      <c r="H81" s="1631"/>
      <c r="I81" s="2538"/>
      <c r="J81" s="1628"/>
      <c r="K81" s="1629"/>
      <c r="L81" s="195"/>
      <c r="M81" s="196"/>
      <c r="N81" s="196"/>
      <c r="O81" s="196"/>
      <c r="P81" s="196"/>
      <c r="Q81" s="196"/>
      <c r="R81" s="196"/>
      <c r="S81" s="196"/>
      <c r="T81" s="196"/>
      <c r="U81" s="196"/>
      <c r="V81" s="196"/>
      <c r="W81" s="196"/>
    </row>
    <row r="82" spans="1:23" ht="11.25" customHeight="1">
      <c r="A82" s="1170">
        <f>'Org structure'!E77</f>
        <v>0</v>
      </c>
      <c r="B82" s="1046"/>
      <c r="C82" s="1628"/>
      <c r="D82" s="1628"/>
      <c r="E82" s="1629"/>
      <c r="F82" s="1630"/>
      <c r="G82" s="1628"/>
      <c r="H82" s="1631"/>
      <c r="I82" s="2538"/>
      <c r="J82" s="1628"/>
      <c r="K82" s="1629"/>
      <c r="L82" s="195"/>
      <c r="M82" s="196"/>
      <c r="N82" s="196"/>
      <c r="O82" s="196"/>
      <c r="P82" s="196"/>
      <c r="Q82" s="196"/>
      <c r="R82" s="196"/>
      <c r="S82" s="196"/>
      <c r="T82" s="196"/>
      <c r="U82" s="196"/>
      <c r="V82" s="196"/>
      <c r="W82" s="196"/>
    </row>
    <row r="83" spans="1:23" ht="11.25" customHeight="1">
      <c r="A83" s="1170">
        <f>'Org structure'!E78</f>
        <v>0</v>
      </c>
      <c r="B83" s="1046"/>
      <c r="C83" s="1628"/>
      <c r="D83" s="1628"/>
      <c r="E83" s="1629"/>
      <c r="F83" s="1630"/>
      <c r="G83" s="1628"/>
      <c r="H83" s="1631"/>
      <c r="I83" s="2538"/>
      <c r="J83" s="1628"/>
      <c r="K83" s="1629"/>
      <c r="L83" s="195"/>
      <c r="M83" s="196"/>
      <c r="N83" s="196"/>
      <c r="O83" s="196"/>
      <c r="P83" s="196"/>
      <c r="Q83" s="196"/>
      <c r="R83" s="196"/>
      <c r="S83" s="196"/>
      <c r="T83" s="196"/>
      <c r="U83" s="196"/>
      <c r="V83" s="196"/>
      <c r="W83" s="196"/>
    </row>
    <row r="84" spans="1:23" ht="15" customHeight="1">
      <c r="A84" s="1169" t="str">
        <f>'Org structure'!A9</f>
        <v>Vote 8 - COMMUNITY DEVELOPMENT</v>
      </c>
      <c r="B84" s="1046"/>
      <c r="C84" s="976">
        <f>SUM(C85:C94)</f>
        <v>2538279</v>
      </c>
      <c r="D84" s="976">
        <f t="shared" ref="D84:K84" si="7">SUM(D85:D94)</f>
        <v>3592185</v>
      </c>
      <c r="E84" s="977">
        <f t="shared" si="7"/>
        <v>4150485</v>
      </c>
      <c r="F84" s="978">
        <f t="shared" si="7"/>
        <v>4951055</v>
      </c>
      <c r="G84" s="976">
        <f t="shared" si="7"/>
        <v>4342720</v>
      </c>
      <c r="H84" s="979">
        <f t="shared" si="7"/>
        <v>4342720</v>
      </c>
      <c r="I84" s="980">
        <f t="shared" si="7"/>
        <v>5137137</v>
      </c>
      <c r="J84" s="976">
        <f t="shared" si="7"/>
        <v>5331053</v>
      </c>
      <c r="K84" s="977">
        <f t="shared" si="7"/>
        <v>5402910</v>
      </c>
      <c r="L84" s="195"/>
      <c r="M84" s="196"/>
      <c r="N84" s="196"/>
      <c r="O84" s="196"/>
      <c r="P84" s="196"/>
      <c r="Q84" s="196"/>
      <c r="R84" s="196"/>
      <c r="S84" s="196"/>
      <c r="T84" s="196"/>
      <c r="U84" s="196"/>
      <c r="V84" s="196"/>
      <c r="W84" s="196"/>
    </row>
    <row r="85" spans="1:23" ht="11.25" customHeight="1">
      <c r="A85" s="1170" t="str">
        <f>'Org structure'!E80</f>
        <v>8.1 - 200 - OFFICE OF THE DIRECTOR COMMUNITY DEVELOPMENT</v>
      </c>
      <c r="B85" s="1046"/>
      <c r="C85" s="1628">
        <v>46316</v>
      </c>
      <c r="D85" s="1629">
        <v>43871</v>
      </c>
      <c r="E85" s="1629">
        <v>26106</v>
      </c>
      <c r="F85" s="2538">
        <v>216554</v>
      </c>
      <c r="G85" s="1628">
        <v>59360</v>
      </c>
      <c r="H85" s="1628">
        <v>59360</v>
      </c>
      <c r="I85" s="2538">
        <v>227387</v>
      </c>
      <c r="J85" s="1628">
        <v>238756</v>
      </c>
      <c r="K85" s="1629">
        <v>251409</v>
      </c>
      <c r="L85" s="195"/>
      <c r="M85" s="196"/>
      <c r="N85" s="196"/>
      <c r="O85" s="196"/>
      <c r="P85" s="196"/>
      <c r="Q85" s="196"/>
      <c r="R85" s="196"/>
      <c r="S85" s="196"/>
      <c r="T85" s="196"/>
      <c r="U85" s="196"/>
      <c r="V85" s="196"/>
      <c r="W85" s="196"/>
    </row>
    <row r="86" spans="1:23" ht="11.25" customHeight="1">
      <c r="A86" s="1170" t="str">
        <f>'Org structure'!E81</f>
        <v>8.2 - 205 - ENVIRONMENTAL HEALTH SERVICES</v>
      </c>
      <c r="B86" s="1046"/>
      <c r="C86" s="1628">
        <v>0</v>
      </c>
      <c r="D86" s="1629">
        <v>0</v>
      </c>
      <c r="E86" s="1629">
        <v>0</v>
      </c>
      <c r="F86" s="2538">
        <v>0</v>
      </c>
      <c r="G86" s="1628">
        <v>0</v>
      </c>
      <c r="H86" s="1628">
        <v>0</v>
      </c>
      <c r="I86" s="2538">
        <v>0</v>
      </c>
      <c r="J86" s="1628">
        <v>0</v>
      </c>
      <c r="K86" s="1629">
        <v>0</v>
      </c>
      <c r="L86" s="195"/>
      <c r="M86" s="196"/>
      <c r="N86" s="196"/>
      <c r="O86" s="196"/>
      <c r="P86" s="196"/>
      <c r="Q86" s="196"/>
      <c r="R86" s="196"/>
      <c r="S86" s="196"/>
      <c r="T86" s="196"/>
      <c r="U86" s="196"/>
      <c r="V86" s="196"/>
      <c r="W86" s="196"/>
    </row>
    <row r="87" spans="1:23" ht="11.25" customHeight="1">
      <c r="A87" s="1170" t="str">
        <f>'Org structure'!E82</f>
        <v>8.3 - 210 - CLINIC SERVICES</v>
      </c>
      <c r="B87" s="1046"/>
      <c r="C87" s="1628">
        <v>1120</v>
      </c>
      <c r="D87" s="1629">
        <v>5897</v>
      </c>
      <c r="E87" s="1629">
        <v>2</v>
      </c>
      <c r="F87" s="2538">
        <v>1700</v>
      </c>
      <c r="G87" s="1628">
        <v>1700</v>
      </c>
      <c r="H87" s="1628">
        <v>1700</v>
      </c>
      <c r="I87" s="2538">
        <v>1787</v>
      </c>
      <c r="J87" s="1628">
        <v>1876</v>
      </c>
      <c r="K87" s="1629">
        <v>1975</v>
      </c>
      <c r="L87" s="195"/>
      <c r="M87" s="196"/>
      <c r="N87" s="196"/>
      <c r="O87" s="196"/>
      <c r="P87" s="196"/>
      <c r="Q87" s="196"/>
      <c r="R87" s="196"/>
      <c r="S87" s="196"/>
      <c r="T87" s="196"/>
      <c r="U87" s="196"/>
      <c r="V87" s="196"/>
      <c r="W87" s="196"/>
    </row>
    <row r="88" spans="1:23" ht="11.25" customHeight="1">
      <c r="A88" s="1170" t="str">
        <f>'Org structure'!E83</f>
        <v>8.4 - 215 - LIBRARY AND INFORMATION SERVICES</v>
      </c>
      <c r="B88" s="1046"/>
      <c r="C88" s="1628">
        <v>511319</v>
      </c>
      <c r="D88" s="1629">
        <v>300677</v>
      </c>
      <c r="E88" s="1629">
        <v>394529</v>
      </c>
      <c r="F88" s="2538">
        <v>815581</v>
      </c>
      <c r="G88" s="1628">
        <v>829069</v>
      </c>
      <c r="H88" s="1628">
        <v>829069</v>
      </c>
      <c r="I88" s="2538">
        <v>825158</v>
      </c>
      <c r="J88" s="1628">
        <v>832911</v>
      </c>
      <c r="K88" s="1629">
        <v>839732</v>
      </c>
      <c r="L88" s="195"/>
      <c r="M88" s="196"/>
      <c r="N88" s="196"/>
      <c r="O88" s="196"/>
      <c r="P88" s="196"/>
      <c r="Q88" s="196"/>
      <c r="R88" s="196"/>
      <c r="S88" s="196"/>
      <c r="T88" s="196"/>
      <c r="U88" s="196"/>
      <c r="V88" s="196"/>
      <c r="W88" s="196"/>
    </row>
    <row r="89" spans="1:23" ht="11.25" customHeight="1">
      <c r="A89" s="1170" t="str">
        <f>'Org structure'!E84</f>
        <v>8.5 - 220 - CEMETERIES</v>
      </c>
      <c r="B89" s="1046"/>
      <c r="C89" s="1628">
        <v>749595</v>
      </c>
      <c r="D89" s="1629">
        <v>817555</v>
      </c>
      <c r="E89" s="1629">
        <v>1343456</v>
      </c>
      <c r="F89" s="2538">
        <v>1421190</v>
      </c>
      <c r="G89" s="1628">
        <v>1090190</v>
      </c>
      <c r="H89" s="1628">
        <v>1090190</v>
      </c>
      <c r="I89" s="2538">
        <v>1499300</v>
      </c>
      <c r="J89" s="1628">
        <v>1581800</v>
      </c>
      <c r="K89" s="1629">
        <v>1539972</v>
      </c>
      <c r="L89" s="195"/>
      <c r="M89" s="196"/>
      <c r="N89" s="196"/>
      <c r="O89" s="196"/>
      <c r="P89" s="196"/>
      <c r="Q89" s="196"/>
      <c r="R89" s="196"/>
      <c r="S89" s="196"/>
      <c r="T89" s="196"/>
      <c r="U89" s="196"/>
      <c r="V89" s="196"/>
      <c r="W89" s="196"/>
    </row>
    <row r="90" spans="1:23" ht="11.25" customHeight="1">
      <c r="A90" s="1170" t="str">
        <f>'Org structure'!E85</f>
        <v>8.6 - 225 - COMMUNITY HALLS</v>
      </c>
      <c r="B90" s="1046"/>
      <c r="C90" s="1628">
        <v>897631</v>
      </c>
      <c r="D90" s="1629">
        <v>1237308</v>
      </c>
      <c r="E90" s="1629">
        <v>1120234</v>
      </c>
      <c r="F90" s="2538">
        <v>1195330</v>
      </c>
      <c r="G90" s="1628">
        <v>1145313</v>
      </c>
      <c r="H90" s="1628">
        <v>1145313</v>
      </c>
      <c r="I90" s="2538">
        <v>1261005</v>
      </c>
      <c r="J90" s="1628">
        <v>1329610</v>
      </c>
      <c r="K90" s="1629">
        <v>1400079</v>
      </c>
      <c r="L90" s="195"/>
      <c r="M90" s="196"/>
      <c r="N90" s="196"/>
      <c r="O90" s="196"/>
      <c r="P90" s="196"/>
      <c r="Q90" s="196"/>
      <c r="R90" s="196"/>
      <c r="S90" s="196"/>
      <c r="T90" s="196"/>
      <c r="U90" s="196"/>
      <c r="V90" s="196"/>
      <c r="W90" s="196"/>
    </row>
    <row r="91" spans="1:23" ht="11.25" customHeight="1">
      <c r="A91" s="1170" t="str">
        <f>'Org structure'!E86</f>
        <v>8.7 - 230 - KLOOF HOLIDAY RESORT</v>
      </c>
      <c r="B91" s="1046"/>
      <c r="C91" s="1628">
        <v>0</v>
      </c>
      <c r="D91" s="1629">
        <v>825000</v>
      </c>
      <c r="E91" s="1629">
        <v>900000</v>
      </c>
      <c r="F91" s="2538">
        <v>900000</v>
      </c>
      <c r="G91" s="1628">
        <v>900000</v>
      </c>
      <c r="H91" s="1628">
        <v>900000</v>
      </c>
      <c r="I91" s="2538">
        <v>900000</v>
      </c>
      <c r="J91" s="1628">
        <v>900000</v>
      </c>
      <c r="K91" s="1629">
        <v>900000</v>
      </c>
      <c r="L91" s="195"/>
      <c r="M91" s="196"/>
      <c r="N91" s="196"/>
      <c r="O91" s="196"/>
      <c r="P91" s="196"/>
      <c r="Q91" s="196"/>
      <c r="R91" s="196"/>
      <c r="S91" s="196"/>
      <c r="T91" s="196"/>
      <c r="U91" s="196"/>
      <c r="V91" s="196"/>
      <c r="W91" s="196"/>
    </row>
    <row r="92" spans="1:23" ht="11.25" customHeight="1">
      <c r="A92" s="1170" t="str">
        <f>'Org structure'!E87</f>
        <v>8.8 - 235 - PARKS AND OPEN AREAS</v>
      </c>
      <c r="B92" s="1046"/>
      <c r="C92" s="1628">
        <v>0</v>
      </c>
      <c r="D92" s="1629">
        <v>0</v>
      </c>
      <c r="E92" s="1629">
        <v>0</v>
      </c>
      <c r="F92" s="2538">
        <v>0</v>
      </c>
      <c r="G92" s="1628">
        <v>0</v>
      </c>
      <c r="H92" s="1628">
        <v>0</v>
      </c>
      <c r="I92" s="2538">
        <v>0</v>
      </c>
      <c r="J92" s="1628">
        <v>0</v>
      </c>
      <c r="K92" s="1629">
        <v>0</v>
      </c>
      <c r="L92" s="195"/>
      <c r="M92" s="196"/>
      <c r="N92" s="196"/>
      <c r="O92" s="196"/>
      <c r="P92" s="196"/>
      <c r="Q92" s="196"/>
      <c r="R92" s="196"/>
      <c r="S92" s="196"/>
      <c r="T92" s="196"/>
      <c r="U92" s="196"/>
      <c r="V92" s="196"/>
      <c r="W92" s="196"/>
    </row>
    <row r="93" spans="1:23" ht="11.25" customHeight="1">
      <c r="A93" s="1170" t="str">
        <f>'Org structure'!E88</f>
        <v>8.9 - 245 - SPORT FACILITIES</v>
      </c>
      <c r="B93" s="1046"/>
      <c r="C93" s="1628">
        <v>210697</v>
      </c>
      <c r="D93" s="1629">
        <v>215491</v>
      </c>
      <c r="E93" s="1629">
        <v>200706</v>
      </c>
      <c r="F93" s="2538">
        <v>233700</v>
      </c>
      <c r="G93" s="1628">
        <v>199911</v>
      </c>
      <c r="H93" s="1628">
        <v>199911</v>
      </c>
      <c r="I93" s="2538">
        <v>246500</v>
      </c>
      <c r="J93" s="1628">
        <v>260100</v>
      </c>
      <c r="K93" s="1629">
        <v>273885</v>
      </c>
      <c r="L93" s="195"/>
      <c r="M93" s="196"/>
      <c r="N93" s="196"/>
      <c r="O93" s="196"/>
      <c r="P93" s="196"/>
      <c r="Q93" s="196"/>
      <c r="R93" s="196"/>
      <c r="S93" s="196"/>
      <c r="T93" s="196"/>
      <c r="U93" s="196"/>
      <c r="V93" s="196"/>
      <c r="W93" s="196"/>
    </row>
    <row r="94" spans="1:23" ht="11.25" customHeight="1">
      <c r="A94" s="1170" t="str">
        <f>'Org structure'!E89</f>
        <v>8.10 - 250 - SWIMMING POOLS</v>
      </c>
      <c r="B94" s="1046"/>
      <c r="C94" s="1628">
        <v>121601</v>
      </c>
      <c r="D94" s="1629">
        <v>146386</v>
      </c>
      <c r="E94" s="1629">
        <v>165452</v>
      </c>
      <c r="F94" s="2538">
        <v>167000</v>
      </c>
      <c r="G94" s="1628">
        <v>117177</v>
      </c>
      <c r="H94" s="1628">
        <v>117177</v>
      </c>
      <c r="I94" s="2538">
        <v>176000</v>
      </c>
      <c r="J94" s="1628">
        <v>186000</v>
      </c>
      <c r="K94" s="1629">
        <v>195858</v>
      </c>
      <c r="L94" s="195"/>
      <c r="M94" s="196"/>
      <c r="N94" s="196"/>
      <c r="O94" s="196"/>
      <c r="P94" s="196"/>
      <c r="Q94" s="196"/>
      <c r="R94" s="196"/>
      <c r="S94" s="196"/>
      <c r="T94" s="196"/>
      <c r="U94" s="196"/>
      <c r="V94" s="196"/>
      <c r="W94" s="196"/>
    </row>
    <row r="95" spans="1:23" ht="15" customHeight="1">
      <c r="A95" s="1169" t="str">
        <f>'Org structure'!A10</f>
        <v>Vote 9 - TECHNICAL AND INFRASTRUCTURE</v>
      </c>
      <c r="B95" s="1046"/>
      <c r="C95" s="976">
        <f>SUM(C96:C105)</f>
        <v>1441748692.27</v>
      </c>
      <c r="D95" s="976">
        <f t="shared" ref="D95:K95" si="8">SUM(D96:D105)</f>
        <v>1653892480</v>
      </c>
      <c r="E95" s="977">
        <f t="shared" si="8"/>
        <v>1731245126</v>
      </c>
      <c r="F95" s="978">
        <f t="shared" si="8"/>
        <v>2135613412</v>
      </c>
      <c r="G95" s="976">
        <f t="shared" si="8"/>
        <v>2110175377</v>
      </c>
      <c r="H95" s="979">
        <f t="shared" si="8"/>
        <v>2110175377</v>
      </c>
      <c r="I95" s="980">
        <f t="shared" si="8"/>
        <v>1947317226</v>
      </c>
      <c r="J95" s="976">
        <f t="shared" si="8"/>
        <v>2120116711</v>
      </c>
      <c r="K95" s="977">
        <f t="shared" si="8"/>
        <v>2339306970</v>
      </c>
      <c r="L95" s="195"/>
      <c r="M95" s="196"/>
      <c r="N95" s="196"/>
      <c r="O95" s="196"/>
      <c r="P95" s="196"/>
      <c r="Q95" s="196"/>
      <c r="R95" s="196"/>
      <c r="S95" s="196"/>
      <c r="T95" s="196"/>
      <c r="U95" s="196"/>
      <c r="V95" s="196"/>
      <c r="W95" s="196"/>
    </row>
    <row r="96" spans="1:23" ht="11.25" customHeight="1">
      <c r="A96" s="1170" t="str">
        <f>'Org structure'!E91</f>
        <v>9.1 - 300 - OFFICE OF THE DIRECTOR TECHNICAL SERVICSE AND INFRASTRUCTURE DEVELOPMENT</v>
      </c>
      <c r="B96" s="1046"/>
      <c r="C96" s="1628">
        <v>609257.39</v>
      </c>
      <c r="D96" s="1629">
        <v>1607975</v>
      </c>
      <c r="E96" s="1629">
        <v>1206331</v>
      </c>
      <c r="F96" s="2538">
        <v>983300</v>
      </c>
      <c r="G96" s="1628">
        <v>1474656</v>
      </c>
      <c r="H96" s="1628">
        <v>1474656</v>
      </c>
      <c r="I96" s="2538">
        <v>1548824</v>
      </c>
      <c r="J96" s="1628">
        <v>1626751</v>
      </c>
      <c r="K96" s="1629">
        <v>1709637</v>
      </c>
      <c r="L96" s="195"/>
      <c r="M96" s="196"/>
      <c r="N96" s="196"/>
      <c r="O96" s="196"/>
      <c r="P96" s="196"/>
      <c r="Q96" s="196"/>
      <c r="R96" s="196"/>
      <c r="S96" s="196"/>
      <c r="T96" s="196"/>
      <c r="U96" s="196"/>
      <c r="V96" s="196"/>
      <c r="W96" s="196"/>
    </row>
    <row r="97" spans="1:23" ht="11.25" customHeight="1">
      <c r="A97" s="1170" t="str">
        <f>'Org structure'!E92</f>
        <v>9.2 - 305 - CIVIL FACILITIES DEVELOPMENT AND MANAGEMENT</v>
      </c>
      <c r="B97" s="1046"/>
      <c r="C97" s="1628">
        <v>119491</v>
      </c>
      <c r="D97" s="1629">
        <v>1812492</v>
      </c>
      <c r="E97" s="1629">
        <v>123167</v>
      </c>
      <c r="F97" s="2538">
        <v>276512</v>
      </c>
      <c r="G97" s="1628">
        <v>271545</v>
      </c>
      <c r="H97" s="1628">
        <v>271545</v>
      </c>
      <c r="I97" s="2538">
        <v>290545</v>
      </c>
      <c r="J97" s="1628">
        <v>305073</v>
      </c>
      <c r="K97" s="1629">
        <v>322157</v>
      </c>
      <c r="L97" s="195"/>
      <c r="M97" s="196"/>
      <c r="N97" s="196"/>
      <c r="O97" s="196"/>
      <c r="P97" s="196"/>
      <c r="Q97" s="196"/>
      <c r="R97" s="196"/>
      <c r="S97" s="196"/>
      <c r="T97" s="196"/>
      <c r="U97" s="196"/>
      <c r="V97" s="196"/>
      <c r="W97" s="196"/>
    </row>
    <row r="98" spans="1:23" ht="11.25" customHeight="1">
      <c r="A98" s="1170" t="str">
        <f>'Org structure'!E93</f>
        <v>9.3 - 310 - ELECTRICAL ENGINEERING SERVICES</v>
      </c>
      <c r="B98" s="1046"/>
      <c r="C98" s="1628">
        <v>955580224</v>
      </c>
      <c r="D98" s="1629">
        <v>1038086650</v>
      </c>
      <c r="E98" s="1629">
        <v>874167767</v>
      </c>
      <c r="F98" s="2538">
        <v>1473358436</v>
      </c>
      <c r="G98" s="1628">
        <v>1450565151</v>
      </c>
      <c r="H98" s="1628">
        <v>1450565151</v>
      </c>
      <c r="I98" s="2535">
        <v>1249232421</v>
      </c>
      <c r="J98" s="1615">
        <v>1351037713</v>
      </c>
      <c r="K98" s="1618">
        <v>1482144860</v>
      </c>
      <c r="L98" s="195"/>
      <c r="M98" s="196"/>
      <c r="N98" s="196"/>
      <c r="O98" s="196"/>
      <c r="P98" s="196"/>
      <c r="Q98" s="196"/>
      <c r="R98" s="196"/>
      <c r="S98" s="196"/>
      <c r="T98" s="196"/>
      <c r="U98" s="196"/>
      <c r="V98" s="196"/>
      <c r="W98" s="196"/>
    </row>
    <row r="99" spans="1:23" ht="11.25" customHeight="1">
      <c r="A99" s="1170" t="str">
        <f>'Org structure'!E94</f>
        <v>9.4 - 315 - STREET LIGHTING</v>
      </c>
      <c r="B99" s="1046"/>
      <c r="C99" s="1628">
        <v>2903652</v>
      </c>
      <c r="D99" s="1629">
        <v>0</v>
      </c>
      <c r="E99" s="1629">
        <v>0</v>
      </c>
      <c r="F99" s="2538">
        <v>0</v>
      </c>
      <c r="G99" s="1628">
        <v>0</v>
      </c>
      <c r="H99" s="1628">
        <v>0</v>
      </c>
      <c r="I99" s="2538">
        <v>0</v>
      </c>
      <c r="J99" s="1628">
        <v>0</v>
      </c>
      <c r="K99" s="1629">
        <v>0</v>
      </c>
      <c r="L99" s="195"/>
      <c r="M99" s="196"/>
      <c r="N99" s="196"/>
      <c r="O99" s="196"/>
      <c r="P99" s="196"/>
      <c r="Q99" s="196"/>
      <c r="R99" s="196"/>
      <c r="S99" s="196"/>
      <c r="T99" s="196"/>
      <c r="U99" s="196"/>
      <c r="V99" s="196"/>
      <c r="W99" s="196"/>
    </row>
    <row r="100" spans="1:23" ht="11.25" customHeight="1">
      <c r="A100" s="1170" t="str">
        <f>'Org structure'!E95</f>
        <v>9.5 - 335 - ROADS AND STORMWATER</v>
      </c>
      <c r="B100" s="1046"/>
      <c r="C100" s="1628">
        <v>102013165</v>
      </c>
      <c r="D100" s="1629">
        <v>52468598</v>
      </c>
      <c r="E100" s="1629">
        <v>502524</v>
      </c>
      <c r="F100" s="2538">
        <v>530000</v>
      </c>
      <c r="G100" s="1628">
        <v>800817</v>
      </c>
      <c r="H100" s="1628">
        <v>800817</v>
      </c>
      <c r="I100" s="2538">
        <v>962379</v>
      </c>
      <c r="J100" s="1628">
        <v>1014955</v>
      </c>
      <c r="K100" s="1629">
        <v>1073281</v>
      </c>
      <c r="L100" s="195"/>
      <c r="M100" s="196"/>
      <c r="N100" s="196"/>
      <c r="O100" s="196"/>
      <c r="P100" s="196"/>
      <c r="Q100" s="196"/>
      <c r="R100" s="196"/>
      <c r="S100" s="196"/>
      <c r="T100" s="196"/>
      <c r="U100" s="196"/>
      <c r="V100" s="196"/>
      <c r="W100" s="196"/>
    </row>
    <row r="101" spans="1:23" ht="11.25" customHeight="1">
      <c r="A101" s="1170" t="str">
        <f>'Org structure'!E96</f>
        <v>9.6 - 325 - MECHANICAL ENGINEERING SERVICES</v>
      </c>
      <c r="B101" s="1046"/>
      <c r="C101" s="1628">
        <v>0</v>
      </c>
      <c r="D101" s="1629">
        <v>0</v>
      </c>
      <c r="E101" s="1629">
        <v>0</v>
      </c>
      <c r="F101" s="2538">
        <v>0</v>
      </c>
      <c r="G101" s="1628">
        <v>0</v>
      </c>
      <c r="H101" s="1628">
        <v>0</v>
      </c>
      <c r="I101" s="2538">
        <v>0</v>
      </c>
      <c r="J101" s="1628">
        <v>0</v>
      </c>
      <c r="K101" s="1629">
        <v>0</v>
      </c>
      <c r="L101" s="195"/>
      <c r="M101" s="196"/>
      <c r="N101" s="196"/>
      <c r="O101" s="196"/>
      <c r="P101" s="196"/>
      <c r="Q101" s="196"/>
      <c r="R101" s="196"/>
      <c r="S101" s="196"/>
      <c r="T101" s="196"/>
      <c r="U101" s="196"/>
      <c r="V101" s="196"/>
      <c r="W101" s="196"/>
    </row>
    <row r="102" spans="1:23" ht="11.25" customHeight="1">
      <c r="A102" s="1170" t="str">
        <f>'Org structure'!E97</f>
        <v>9.7 - 340 - WATER SERVICE &amp; 341 - BOSPOORT WATERWORKS</v>
      </c>
      <c r="B102" s="1046"/>
      <c r="C102" s="1628">
        <v>234316423</v>
      </c>
      <c r="D102" s="1629">
        <v>340711610</v>
      </c>
      <c r="E102" s="1629">
        <v>396683811</v>
      </c>
      <c r="F102" s="2538">
        <v>434510481</v>
      </c>
      <c r="G102" s="1628">
        <v>446768290</v>
      </c>
      <c r="H102" s="1628">
        <v>446768290</v>
      </c>
      <c r="I102" s="2535">
        <v>462818610</v>
      </c>
      <c r="J102" s="1615">
        <v>504372480</v>
      </c>
      <c r="K102" s="1618">
        <v>556031959</v>
      </c>
      <c r="L102" s="195"/>
      <c r="M102" s="196"/>
      <c r="N102" s="196"/>
      <c r="O102" s="196"/>
      <c r="P102" s="196"/>
      <c r="Q102" s="196"/>
      <c r="R102" s="196"/>
      <c r="S102" s="196"/>
      <c r="T102" s="196"/>
      <c r="U102" s="196"/>
      <c r="V102" s="196"/>
      <c r="W102" s="196"/>
    </row>
    <row r="103" spans="1:23" ht="11.25" customHeight="1">
      <c r="A103" s="1170" t="str">
        <f>'Org structure'!E98</f>
        <v>9.8 - 345 - SANITATION SERVICE</v>
      </c>
      <c r="B103" s="1046"/>
      <c r="C103" s="1628">
        <v>69401309</v>
      </c>
      <c r="D103" s="1629">
        <v>124181244</v>
      </c>
      <c r="E103" s="1629">
        <v>351028715</v>
      </c>
      <c r="F103" s="2538">
        <v>106798330</v>
      </c>
      <c r="G103" s="1628">
        <v>97112189</v>
      </c>
      <c r="H103" s="1628">
        <v>97112189</v>
      </c>
      <c r="I103" s="2535">
        <v>105502824</v>
      </c>
      <c r="J103" s="1615">
        <v>118704889</v>
      </c>
      <c r="K103" s="1618">
        <v>135094157</v>
      </c>
      <c r="L103" s="195"/>
      <c r="M103" s="196"/>
      <c r="N103" s="196"/>
      <c r="O103" s="196"/>
      <c r="P103" s="196"/>
      <c r="Q103" s="196"/>
      <c r="R103" s="196"/>
      <c r="S103" s="196"/>
      <c r="T103" s="196"/>
      <c r="U103" s="196"/>
      <c r="V103" s="196"/>
      <c r="W103" s="196"/>
    </row>
    <row r="104" spans="1:23" ht="11.25" customHeight="1">
      <c r="A104" s="1170" t="str">
        <f>'Org structure'!E99</f>
        <v>9.9 - 350 - SEWERAGE PURIFICATION</v>
      </c>
      <c r="B104" s="1046"/>
      <c r="C104" s="1628">
        <v>115472.88</v>
      </c>
      <c r="D104" s="1629">
        <v>0</v>
      </c>
      <c r="E104" s="1629">
        <v>0</v>
      </c>
      <c r="F104" s="2538">
        <v>0</v>
      </c>
      <c r="G104" s="1628">
        <v>0</v>
      </c>
      <c r="H104" s="1628">
        <v>0</v>
      </c>
      <c r="I104" s="2538">
        <v>0</v>
      </c>
      <c r="J104" s="1628">
        <v>0</v>
      </c>
      <c r="K104" s="1629">
        <v>0</v>
      </c>
      <c r="L104" s="195"/>
      <c r="M104" s="196"/>
      <c r="N104" s="196"/>
      <c r="O104" s="196"/>
      <c r="P104" s="196"/>
      <c r="Q104" s="196"/>
      <c r="R104" s="196"/>
      <c r="S104" s="196"/>
      <c r="T104" s="196"/>
      <c r="U104" s="196"/>
      <c r="V104" s="196"/>
      <c r="W104" s="196"/>
    </row>
    <row r="105" spans="1:23" ht="11.25" customHeight="1">
      <c r="A105" s="1170" t="str">
        <f>'Org structure'!E100</f>
        <v>9.10 - 360 - WASTE MANAGEMENT</v>
      </c>
      <c r="B105" s="1046"/>
      <c r="C105" s="1628">
        <v>76689698</v>
      </c>
      <c r="D105" s="1629">
        <v>95023911</v>
      </c>
      <c r="E105" s="1629">
        <v>107532811</v>
      </c>
      <c r="F105" s="2538">
        <v>119156353</v>
      </c>
      <c r="G105" s="1628">
        <v>113182729</v>
      </c>
      <c r="H105" s="1628">
        <v>113182729</v>
      </c>
      <c r="I105" s="2535">
        <v>126961623</v>
      </c>
      <c r="J105" s="1615">
        <v>143054850</v>
      </c>
      <c r="K105" s="1618">
        <v>162930919</v>
      </c>
      <c r="L105" s="195"/>
      <c r="M105" s="196"/>
      <c r="N105" s="196"/>
      <c r="O105" s="196"/>
      <c r="P105" s="196"/>
      <c r="Q105" s="196"/>
      <c r="R105" s="196"/>
      <c r="S105" s="196"/>
      <c r="T105" s="196"/>
      <c r="U105" s="196"/>
      <c r="V105" s="196"/>
      <c r="W105" s="196"/>
    </row>
    <row r="106" spans="1:23" ht="15" customHeight="1">
      <c r="A106" s="1169" t="str">
        <f>'Org structure'!A11</f>
        <v>Vote 10 - RUSTENBURG WATER SERVICE TRUST</v>
      </c>
      <c r="B106" s="1046"/>
      <c r="C106" s="976">
        <f>SUM(C107:C116)</f>
        <v>0</v>
      </c>
      <c r="D106" s="976">
        <f t="shared" ref="D106:K106" si="9">SUM(D107:D116)</f>
        <v>0</v>
      </c>
      <c r="E106" s="977">
        <f t="shared" si="9"/>
        <v>0</v>
      </c>
      <c r="F106" s="978">
        <f t="shared" si="9"/>
        <v>123293958</v>
      </c>
      <c r="G106" s="976">
        <f t="shared" si="9"/>
        <v>123293958</v>
      </c>
      <c r="H106" s="979">
        <f t="shared" si="9"/>
        <v>123293958</v>
      </c>
      <c r="I106" s="980">
        <f t="shared" si="9"/>
        <v>162679351</v>
      </c>
      <c r="J106" s="976">
        <f t="shared" si="9"/>
        <v>173253508</v>
      </c>
      <c r="K106" s="977">
        <f t="shared" si="9"/>
        <v>236881391</v>
      </c>
      <c r="L106" s="195"/>
      <c r="M106" s="196"/>
      <c r="N106" s="196"/>
      <c r="O106" s="196"/>
      <c r="P106" s="196"/>
      <c r="Q106" s="196"/>
      <c r="R106" s="196"/>
      <c r="S106" s="196"/>
      <c r="T106" s="196"/>
      <c r="U106" s="196"/>
      <c r="V106" s="196"/>
      <c r="W106" s="196"/>
    </row>
    <row r="107" spans="1:23" ht="11.25" customHeight="1">
      <c r="A107" s="1170" t="str">
        <f>'Org structure'!E102</f>
        <v>10.1 - RUSTENBURG WATER SERVICE TRUST</v>
      </c>
      <c r="B107" s="1046"/>
      <c r="C107" s="1628"/>
      <c r="D107" s="1628"/>
      <c r="E107" s="1629"/>
      <c r="F107" s="1630">
        <v>123293958</v>
      </c>
      <c r="G107" s="1630">
        <v>123293958</v>
      </c>
      <c r="H107" s="1631">
        <v>123293958</v>
      </c>
      <c r="I107" s="1632">
        <v>162679351</v>
      </c>
      <c r="J107" s="1628">
        <v>173253508</v>
      </c>
      <c r="K107" s="1629">
        <v>236881391</v>
      </c>
      <c r="L107" s="195"/>
      <c r="M107" s="196"/>
      <c r="N107" s="196"/>
      <c r="O107" s="196"/>
      <c r="P107" s="196"/>
      <c r="Q107" s="196"/>
      <c r="R107" s="196"/>
      <c r="S107" s="196"/>
      <c r="T107" s="196"/>
      <c r="U107" s="196"/>
      <c r="V107" s="196"/>
      <c r="W107" s="196"/>
    </row>
    <row r="108" spans="1:23" ht="11.25" customHeight="1">
      <c r="A108" s="1170">
        <f>'Org structure'!E103</f>
        <v>0</v>
      </c>
      <c r="B108" s="1046"/>
      <c r="C108" s="1628"/>
      <c r="D108" s="1628"/>
      <c r="E108" s="1629"/>
      <c r="F108" s="1630"/>
      <c r="G108" s="1628"/>
      <c r="H108" s="1631"/>
      <c r="I108" s="1632"/>
      <c r="J108" s="1628"/>
      <c r="K108" s="1629"/>
      <c r="L108" s="195"/>
      <c r="M108" s="196"/>
      <c r="N108" s="196"/>
      <c r="O108" s="196"/>
      <c r="P108" s="196"/>
      <c r="Q108" s="196"/>
      <c r="R108" s="196"/>
      <c r="S108" s="196"/>
      <c r="T108" s="196"/>
      <c r="U108" s="196"/>
      <c r="V108" s="196"/>
      <c r="W108" s="196"/>
    </row>
    <row r="109" spans="1:23" ht="11.25" customHeight="1">
      <c r="A109" s="1170">
        <f>'Org structure'!E104</f>
        <v>0</v>
      </c>
      <c r="B109" s="1046"/>
      <c r="C109" s="1628"/>
      <c r="D109" s="1628"/>
      <c r="E109" s="1629"/>
      <c r="F109" s="1630"/>
      <c r="G109" s="1628"/>
      <c r="H109" s="1631"/>
      <c r="I109" s="1632"/>
      <c r="J109" s="1628"/>
      <c r="K109" s="1629"/>
      <c r="L109" s="195"/>
      <c r="M109" s="196"/>
      <c r="N109" s="196"/>
      <c r="O109" s="196"/>
      <c r="P109" s="196"/>
      <c r="Q109" s="196"/>
      <c r="R109" s="196"/>
      <c r="S109" s="196"/>
      <c r="T109" s="196"/>
      <c r="U109" s="196"/>
      <c r="V109" s="196"/>
      <c r="W109" s="196"/>
    </row>
    <row r="110" spans="1:23" ht="11.25" customHeight="1">
      <c r="A110" s="1170">
        <f>'Org structure'!E105</f>
        <v>0</v>
      </c>
      <c r="B110" s="1046"/>
      <c r="C110" s="1628"/>
      <c r="D110" s="1628"/>
      <c r="E110" s="1629"/>
      <c r="F110" s="1630"/>
      <c r="G110" s="1628"/>
      <c r="H110" s="1631"/>
      <c r="I110" s="1632"/>
      <c r="J110" s="1628"/>
      <c r="K110" s="1629"/>
      <c r="L110" s="195"/>
      <c r="M110" s="196"/>
      <c r="N110" s="196"/>
      <c r="O110" s="196"/>
      <c r="P110" s="196"/>
      <c r="Q110" s="196"/>
      <c r="R110" s="196"/>
      <c r="S110" s="196"/>
      <c r="T110" s="196"/>
      <c r="U110" s="196"/>
      <c r="V110" s="196"/>
      <c r="W110" s="196"/>
    </row>
    <row r="111" spans="1:23" ht="11.25" customHeight="1">
      <c r="A111" s="1170">
        <f>'Org structure'!E106</f>
        <v>0</v>
      </c>
      <c r="B111" s="1046"/>
      <c r="C111" s="1628"/>
      <c r="D111" s="1628"/>
      <c r="E111" s="1629"/>
      <c r="F111" s="1630"/>
      <c r="G111" s="1628"/>
      <c r="H111" s="1631"/>
      <c r="I111" s="1632"/>
      <c r="J111" s="1628"/>
      <c r="K111" s="1629"/>
      <c r="L111" s="195"/>
      <c r="M111" s="196"/>
      <c r="N111" s="196"/>
      <c r="O111" s="196"/>
      <c r="P111" s="196"/>
      <c r="Q111" s="196"/>
      <c r="R111" s="196"/>
      <c r="S111" s="196"/>
      <c r="T111" s="196"/>
      <c r="U111" s="196"/>
      <c r="V111" s="196"/>
      <c r="W111" s="196"/>
    </row>
    <row r="112" spans="1:23" ht="11.25" customHeight="1">
      <c r="A112" s="1170">
        <f>'Org structure'!E107</f>
        <v>0</v>
      </c>
      <c r="B112" s="1046"/>
      <c r="C112" s="1628"/>
      <c r="D112" s="1628"/>
      <c r="E112" s="1629"/>
      <c r="F112" s="1630"/>
      <c r="G112" s="1628"/>
      <c r="H112" s="1631"/>
      <c r="I112" s="1632"/>
      <c r="J112" s="1628"/>
      <c r="K112" s="1629"/>
      <c r="L112" s="195"/>
      <c r="M112" s="196"/>
      <c r="N112" s="196"/>
      <c r="O112" s="196"/>
      <c r="P112" s="196"/>
      <c r="Q112" s="196"/>
      <c r="R112" s="196"/>
      <c r="S112" s="196"/>
      <c r="T112" s="196"/>
      <c r="U112" s="196"/>
      <c r="V112" s="196"/>
      <c r="W112" s="196"/>
    </row>
    <row r="113" spans="1:23" ht="11.25" customHeight="1">
      <c r="A113" s="1170">
        <f>'Org structure'!E108</f>
        <v>0</v>
      </c>
      <c r="B113" s="1046"/>
      <c r="C113" s="1628"/>
      <c r="D113" s="1628"/>
      <c r="E113" s="1629"/>
      <c r="F113" s="1630"/>
      <c r="G113" s="1628"/>
      <c r="H113" s="1631"/>
      <c r="I113" s="1632"/>
      <c r="J113" s="1628"/>
      <c r="K113" s="1629"/>
      <c r="L113" s="195"/>
      <c r="M113" s="196"/>
      <c r="N113" s="196"/>
      <c r="O113" s="196"/>
      <c r="P113" s="196"/>
      <c r="Q113" s="196"/>
      <c r="R113" s="196"/>
      <c r="S113" s="196"/>
      <c r="T113" s="196"/>
      <c r="U113" s="196"/>
      <c r="V113" s="196"/>
      <c r="W113" s="196"/>
    </row>
    <row r="114" spans="1:23" ht="11.25" customHeight="1">
      <c r="A114" s="1170">
        <f>'Org structure'!E109</f>
        <v>0</v>
      </c>
      <c r="B114" s="1046"/>
      <c r="C114" s="1628"/>
      <c r="D114" s="1628"/>
      <c r="E114" s="1629"/>
      <c r="F114" s="1630"/>
      <c r="G114" s="1628"/>
      <c r="H114" s="1631"/>
      <c r="I114" s="1632"/>
      <c r="J114" s="1628"/>
      <c r="K114" s="1629"/>
      <c r="L114" s="195"/>
      <c r="M114" s="196"/>
      <c r="N114" s="196"/>
      <c r="O114" s="196"/>
      <c r="P114" s="196"/>
      <c r="Q114" s="196"/>
      <c r="R114" s="196"/>
      <c r="S114" s="196"/>
      <c r="T114" s="196"/>
      <c r="U114" s="196"/>
      <c r="V114" s="196"/>
      <c r="W114" s="196"/>
    </row>
    <row r="115" spans="1:23" ht="11.25" customHeight="1">
      <c r="A115" s="1170">
        <f>'Org structure'!E110</f>
        <v>0</v>
      </c>
      <c r="B115" s="1046"/>
      <c r="C115" s="1628"/>
      <c r="D115" s="1628"/>
      <c r="E115" s="1629"/>
      <c r="F115" s="1630"/>
      <c r="G115" s="1628"/>
      <c r="H115" s="1631"/>
      <c r="I115" s="1632"/>
      <c r="J115" s="1628"/>
      <c r="K115" s="1629"/>
      <c r="L115" s="195"/>
      <c r="M115" s="196"/>
      <c r="N115" s="196"/>
      <c r="O115" s="196"/>
      <c r="P115" s="196"/>
      <c r="Q115" s="196"/>
      <c r="R115" s="196"/>
      <c r="S115" s="196"/>
      <c r="T115" s="196"/>
      <c r="U115" s="196"/>
      <c r="V115" s="196"/>
      <c r="W115" s="196"/>
    </row>
    <row r="116" spans="1:23" ht="11.25" customHeight="1">
      <c r="A116" s="1170">
        <f>'Org structure'!E111</f>
        <v>0</v>
      </c>
      <c r="B116" s="1046"/>
      <c r="C116" s="1628"/>
      <c r="D116" s="1628"/>
      <c r="E116" s="1629"/>
      <c r="F116" s="1630"/>
      <c r="G116" s="1628"/>
      <c r="H116" s="1631"/>
      <c r="I116" s="1632"/>
      <c r="J116" s="1628"/>
      <c r="K116" s="1629"/>
      <c r="L116" s="195"/>
      <c r="M116" s="196"/>
      <c r="N116" s="196"/>
      <c r="O116" s="196"/>
      <c r="P116" s="196"/>
      <c r="Q116" s="196"/>
      <c r="R116" s="196"/>
      <c r="S116" s="196"/>
      <c r="T116" s="196"/>
      <c r="U116" s="196"/>
      <c r="V116" s="196"/>
      <c r="W116" s="196"/>
    </row>
    <row r="117" spans="1:23" ht="15" customHeight="1">
      <c r="A117" s="2183" t="str">
        <f>'Org structure'!A12</f>
        <v>Vote 11 - [NAME OF VOTE 11]</v>
      </c>
      <c r="B117" s="1046"/>
      <c r="C117" s="976">
        <f>SUM(C118:C127)</f>
        <v>0</v>
      </c>
      <c r="D117" s="976">
        <f t="shared" ref="D117:K117" si="10">SUM(D118:D127)</f>
        <v>0</v>
      </c>
      <c r="E117" s="977">
        <f t="shared" si="10"/>
        <v>0</v>
      </c>
      <c r="F117" s="978">
        <f t="shared" si="10"/>
        <v>0</v>
      </c>
      <c r="G117" s="976">
        <f t="shared" si="10"/>
        <v>0</v>
      </c>
      <c r="H117" s="979">
        <f t="shared" si="10"/>
        <v>0</v>
      </c>
      <c r="I117" s="980">
        <f t="shared" si="10"/>
        <v>0</v>
      </c>
      <c r="J117" s="976">
        <f t="shared" si="10"/>
        <v>0</v>
      </c>
      <c r="K117" s="977">
        <f t="shared" si="10"/>
        <v>0</v>
      </c>
      <c r="L117" s="195"/>
      <c r="M117" s="196"/>
      <c r="N117" s="196"/>
      <c r="O117" s="196"/>
      <c r="P117" s="196"/>
      <c r="Q117" s="196"/>
      <c r="R117" s="196"/>
      <c r="S117" s="196"/>
      <c r="T117" s="196"/>
      <c r="U117" s="196"/>
      <c r="V117" s="196"/>
      <c r="W117" s="196"/>
    </row>
    <row r="118" spans="1:23" ht="11.25" customHeight="1">
      <c r="A118" s="1170" t="str">
        <f>'Org structure'!E113</f>
        <v>11.1 - [Name of sub-vote]</v>
      </c>
      <c r="B118" s="1046"/>
      <c r="C118" s="1628"/>
      <c r="D118" s="1628"/>
      <c r="E118" s="1629"/>
      <c r="F118" s="1630"/>
      <c r="G118" s="1628"/>
      <c r="H118" s="1631"/>
      <c r="I118" s="1632"/>
      <c r="J118" s="1628"/>
      <c r="K118" s="1629"/>
      <c r="L118" s="195"/>
      <c r="M118" s="196"/>
      <c r="N118" s="196"/>
      <c r="O118" s="196"/>
      <c r="P118" s="196"/>
      <c r="Q118" s="196"/>
      <c r="R118" s="196"/>
      <c r="S118" s="196"/>
      <c r="T118" s="196"/>
      <c r="U118" s="196"/>
      <c r="V118" s="196"/>
      <c r="W118" s="196"/>
    </row>
    <row r="119" spans="1:23" ht="11.25" customHeight="1">
      <c r="A119" s="1170">
        <f>'Org structure'!E114</f>
        <v>0</v>
      </c>
      <c r="B119" s="1046"/>
      <c r="C119" s="1628"/>
      <c r="D119" s="1628"/>
      <c r="E119" s="1629"/>
      <c r="F119" s="1630"/>
      <c r="G119" s="1628"/>
      <c r="H119" s="1631"/>
      <c r="I119" s="1632"/>
      <c r="J119" s="1628"/>
      <c r="K119" s="1629"/>
      <c r="L119" s="195"/>
      <c r="M119" s="196"/>
      <c r="N119" s="196"/>
      <c r="O119" s="196"/>
      <c r="P119" s="196"/>
      <c r="Q119" s="196"/>
      <c r="R119" s="196"/>
      <c r="S119" s="196"/>
      <c r="T119" s="196"/>
      <c r="U119" s="196"/>
      <c r="V119" s="196"/>
      <c r="W119" s="196"/>
    </row>
    <row r="120" spans="1:23" ht="11.25" customHeight="1">
      <c r="A120" s="1170">
        <f>'Org structure'!E115</f>
        <v>0</v>
      </c>
      <c r="B120" s="1046"/>
      <c r="C120" s="1628"/>
      <c r="D120" s="1628"/>
      <c r="E120" s="1629"/>
      <c r="F120" s="1630"/>
      <c r="G120" s="1628"/>
      <c r="H120" s="1631"/>
      <c r="I120" s="1632"/>
      <c r="J120" s="1628"/>
      <c r="K120" s="1629"/>
      <c r="L120" s="195"/>
      <c r="M120" s="196"/>
      <c r="N120" s="196"/>
      <c r="O120" s="196"/>
      <c r="P120" s="196"/>
      <c r="Q120" s="196"/>
      <c r="R120" s="196"/>
      <c r="S120" s="196"/>
      <c r="T120" s="196"/>
      <c r="U120" s="196"/>
      <c r="V120" s="196"/>
      <c r="W120" s="196"/>
    </row>
    <row r="121" spans="1:23" ht="11.25" customHeight="1">
      <c r="A121" s="1170">
        <f>'Org structure'!E116</f>
        <v>0</v>
      </c>
      <c r="B121" s="1046"/>
      <c r="C121" s="1628"/>
      <c r="D121" s="1628"/>
      <c r="E121" s="1629"/>
      <c r="F121" s="1630"/>
      <c r="G121" s="1628"/>
      <c r="H121" s="1631"/>
      <c r="I121" s="1632"/>
      <c r="J121" s="1628"/>
      <c r="K121" s="1629"/>
      <c r="L121" s="195"/>
      <c r="M121" s="196"/>
      <c r="N121" s="196"/>
      <c r="O121" s="196"/>
      <c r="P121" s="196"/>
      <c r="Q121" s="196"/>
      <c r="R121" s="196"/>
      <c r="S121" s="196"/>
      <c r="T121" s="196"/>
      <c r="U121" s="196"/>
      <c r="V121" s="196"/>
      <c r="W121" s="196"/>
    </row>
    <row r="122" spans="1:23" ht="11.25" customHeight="1">
      <c r="A122" s="1170">
        <f>'Org structure'!E117</f>
        <v>0</v>
      </c>
      <c r="B122" s="1046"/>
      <c r="C122" s="1628"/>
      <c r="D122" s="1628"/>
      <c r="E122" s="1629"/>
      <c r="F122" s="1630"/>
      <c r="G122" s="1628"/>
      <c r="H122" s="1631"/>
      <c r="I122" s="1632"/>
      <c r="J122" s="1628"/>
      <c r="K122" s="1629"/>
      <c r="L122" s="195"/>
      <c r="M122" s="196"/>
      <c r="N122" s="196"/>
      <c r="O122" s="196"/>
      <c r="P122" s="196"/>
      <c r="Q122" s="196"/>
      <c r="R122" s="196"/>
      <c r="S122" s="196"/>
      <c r="T122" s="196"/>
      <c r="U122" s="196"/>
      <c r="V122" s="196"/>
      <c r="W122" s="196"/>
    </row>
    <row r="123" spans="1:23" ht="11.25" customHeight="1">
      <c r="A123" s="1170">
        <f>'Org structure'!E118</f>
        <v>0</v>
      </c>
      <c r="B123" s="1046"/>
      <c r="C123" s="1628"/>
      <c r="D123" s="1628"/>
      <c r="E123" s="1629"/>
      <c r="F123" s="1630"/>
      <c r="G123" s="1628"/>
      <c r="H123" s="1631"/>
      <c r="I123" s="1632"/>
      <c r="J123" s="1628"/>
      <c r="K123" s="1629"/>
      <c r="L123" s="195"/>
      <c r="M123" s="196"/>
      <c r="N123" s="196"/>
      <c r="O123" s="196"/>
      <c r="P123" s="196"/>
      <c r="Q123" s="196"/>
      <c r="R123" s="196"/>
      <c r="S123" s="196"/>
      <c r="T123" s="196"/>
      <c r="U123" s="196"/>
      <c r="V123" s="196"/>
      <c r="W123" s="196"/>
    </row>
    <row r="124" spans="1:23" ht="11.25" customHeight="1">
      <c r="A124" s="1170">
        <f>'Org structure'!E119</f>
        <v>0</v>
      </c>
      <c r="B124" s="1046"/>
      <c r="C124" s="1628"/>
      <c r="D124" s="1628"/>
      <c r="E124" s="1629"/>
      <c r="F124" s="1630"/>
      <c r="G124" s="1628"/>
      <c r="H124" s="1631"/>
      <c r="I124" s="1632"/>
      <c r="J124" s="1628"/>
      <c r="K124" s="1629"/>
      <c r="L124" s="195"/>
      <c r="M124" s="196"/>
      <c r="N124" s="196"/>
      <c r="O124" s="196"/>
      <c r="P124" s="196"/>
      <c r="Q124" s="196"/>
      <c r="R124" s="196"/>
      <c r="S124" s="196"/>
      <c r="T124" s="196"/>
      <c r="U124" s="196"/>
      <c r="V124" s="196"/>
      <c r="W124" s="196"/>
    </row>
    <row r="125" spans="1:23" ht="11.25" customHeight="1">
      <c r="A125" s="1170">
        <f>'Org structure'!E120</f>
        <v>0</v>
      </c>
      <c r="B125" s="1046"/>
      <c r="C125" s="1628"/>
      <c r="D125" s="1628"/>
      <c r="E125" s="1629"/>
      <c r="F125" s="1630"/>
      <c r="G125" s="1628"/>
      <c r="H125" s="1631"/>
      <c r="I125" s="1632"/>
      <c r="J125" s="1628"/>
      <c r="K125" s="1629"/>
      <c r="L125" s="195"/>
      <c r="M125" s="196"/>
      <c r="N125" s="196"/>
      <c r="O125" s="196"/>
      <c r="P125" s="196"/>
      <c r="Q125" s="196"/>
      <c r="R125" s="196"/>
      <c r="S125" s="196"/>
      <c r="T125" s="196"/>
      <c r="U125" s="196"/>
      <c r="V125" s="196"/>
      <c r="W125" s="196"/>
    </row>
    <row r="126" spans="1:23" ht="11.25" customHeight="1">
      <c r="A126" s="1170">
        <f>'Org structure'!E121</f>
        <v>0</v>
      </c>
      <c r="B126" s="1046"/>
      <c r="C126" s="1628"/>
      <c r="D126" s="1628"/>
      <c r="E126" s="1629"/>
      <c r="F126" s="1630"/>
      <c r="G126" s="1628"/>
      <c r="H126" s="1631"/>
      <c r="I126" s="1632"/>
      <c r="J126" s="1628"/>
      <c r="K126" s="1629"/>
      <c r="L126" s="195"/>
      <c r="M126" s="196"/>
      <c r="N126" s="196"/>
      <c r="O126" s="196"/>
      <c r="P126" s="196"/>
      <c r="Q126" s="196"/>
      <c r="R126" s="196"/>
      <c r="S126" s="196"/>
      <c r="T126" s="196"/>
      <c r="U126" s="196"/>
      <c r="V126" s="196"/>
      <c r="W126" s="196"/>
    </row>
    <row r="127" spans="1:23" ht="11.25" customHeight="1">
      <c r="A127" s="1170">
        <f>'Org structure'!E122</f>
        <v>0</v>
      </c>
      <c r="B127" s="1046"/>
      <c r="C127" s="1628"/>
      <c r="D127" s="1628"/>
      <c r="E127" s="1629"/>
      <c r="F127" s="1630"/>
      <c r="G127" s="1628"/>
      <c r="H127" s="1631"/>
      <c r="I127" s="1632"/>
      <c r="J127" s="1628"/>
      <c r="K127" s="1629"/>
      <c r="L127" s="195"/>
      <c r="M127" s="196"/>
      <c r="N127" s="196"/>
      <c r="O127" s="196"/>
      <c r="P127" s="196"/>
      <c r="Q127" s="196"/>
      <c r="R127" s="196"/>
      <c r="S127" s="196"/>
      <c r="T127" s="196"/>
      <c r="U127" s="196"/>
      <c r="V127" s="196"/>
      <c r="W127" s="196"/>
    </row>
    <row r="128" spans="1:23" ht="15" customHeight="1">
      <c r="A128" s="2183" t="str">
        <f>'Org structure'!A13</f>
        <v>Vote 12 - [NAME OF VOTE 12]</v>
      </c>
      <c r="B128" s="1046"/>
      <c r="C128" s="976">
        <f>SUM(C129:C138)</f>
        <v>0</v>
      </c>
      <c r="D128" s="976">
        <f t="shared" ref="D128:K128" si="11">SUM(D129:D138)</f>
        <v>0</v>
      </c>
      <c r="E128" s="977">
        <f t="shared" si="11"/>
        <v>0</v>
      </c>
      <c r="F128" s="978">
        <f t="shared" si="11"/>
        <v>0</v>
      </c>
      <c r="G128" s="976">
        <f t="shared" si="11"/>
        <v>0</v>
      </c>
      <c r="H128" s="979">
        <f t="shared" si="11"/>
        <v>0</v>
      </c>
      <c r="I128" s="980">
        <f t="shared" si="11"/>
        <v>0</v>
      </c>
      <c r="J128" s="976">
        <f t="shared" si="11"/>
        <v>0</v>
      </c>
      <c r="K128" s="977">
        <f t="shared" si="11"/>
        <v>0</v>
      </c>
      <c r="L128" s="195"/>
      <c r="M128" s="196"/>
      <c r="N128" s="196"/>
      <c r="O128" s="196"/>
      <c r="P128" s="196"/>
      <c r="Q128" s="196"/>
      <c r="R128" s="196"/>
      <c r="S128" s="196"/>
      <c r="T128" s="196"/>
      <c r="U128" s="196"/>
      <c r="V128" s="196"/>
      <c r="W128" s="196"/>
    </row>
    <row r="129" spans="1:23" ht="11.25" customHeight="1">
      <c r="A129" s="1170" t="str">
        <f>'Org structure'!E124</f>
        <v>12.1 - [Name of sub-vote]</v>
      </c>
      <c r="B129" s="1046"/>
      <c r="C129" s="1628"/>
      <c r="D129" s="1628"/>
      <c r="E129" s="1629"/>
      <c r="F129" s="1630"/>
      <c r="G129" s="1628"/>
      <c r="H129" s="1631"/>
      <c r="I129" s="1632"/>
      <c r="J129" s="1628"/>
      <c r="K129" s="1629"/>
      <c r="L129" s="195"/>
      <c r="M129" s="196"/>
      <c r="N129" s="196"/>
      <c r="O129" s="196"/>
      <c r="P129" s="196"/>
      <c r="Q129" s="196"/>
      <c r="R129" s="196"/>
      <c r="S129" s="196"/>
      <c r="T129" s="196"/>
      <c r="U129" s="196"/>
      <c r="V129" s="196"/>
      <c r="W129" s="196"/>
    </row>
    <row r="130" spans="1:23" ht="11.25" customHeight="1">
      <c r="A130" s="1170">
        <f>'Org structure'!E125</f>
        <v>0</v>
      </c>
      <c r="B130" s="1046"/>
      <c r="C130" s="1628"/>
      <c r="D130" s="1628"/>
      <c r="E130" s="1629"/>
      <c r="F130" s="1630"/>
      <c r="G130" s="1628"/>
      <c r="H130" s="1631"/>
      <c r="I130" s="1632"/>
      <c r="J130" s="1628"/>
      <c r="K130" s="1629"/>
      <c r="L130" s="195"/>
      <c r="M130" s="196"/>
      <c r="N130" s="196"/>
      <c r="O130" s="196"/>
      <c r="P130" s="196"/>
      <c r="Q130" s="196"/>
      <c r="R130" s="196"/>
      <c r="S130" s="196"/>
      <c r="T130" s="196"/>
      <c r="U130" s="196"/>
      <c r="V130" s="196"/>
      <c r="W130" s="196"/>
    </row>
    <row r="131" spans="1:23" ht="11.25" customHeight="1">
      <c r="A131" s="1170">
        <f>'Org structure'!E126</f>
        <v>0</v>
      </c>
      <c r="B131" s="1046"/>
      <c r="C131" s="1628"/>
      <c r="D131" s="1628"/>
      <c r="E131" s="1629"/>
      <c r="F131" s="1630"/>
      <c r="G131" s="1628"/>
      <c r="H131" s="1631"/>
      <c r="I131" s="1632"/>
      <c r="J131" s="1628"/>
      <c r="K131" s="1629"/>
      <c r="L131" s="195"/>
      <c r="M131" s="196"/>
      <c r="N131" s="196"/>
      <c r="O131" s="196"/>
      <c r="P131" s="196"/>
      <c r="Q131" s="196"/>
      <c r="R131" s="196"/>
      <c r="S131" s="196"/>
      <c r="T131" s="196"/>
      <c r="U131" s="196"/>
      <c r="V131" s="196"/>
      <c r="W131" s="196"/>
    </row>
    <row r="132" spans="1:23" ht="11.25" customHeight="1">
      <c r="A132" s="1170">
        <f>'Org structure'!E127</f>
        <v>0</v>
      </c>
      <c r="B132" s="1046"/>
      <c r="C132" s="1628"/>
      <c r="D132" s="1628"/>
      <c r="E132" s="1629"/>
      <c r="F132" s="1630"/>
      <c r="G132" s="1628"/>
      <c r="H132" s="1631"/>
      <c r="I132" s="1632"/>
      <c r="J132" s="1628"/>
      <c r="K132" s="1629"/>
      <c r="L132" s="195"/>
      <c r="M132" s="196"/>
      <c r="N132" s="196"/>
      <c r="O132" s="196"/>
      <c r="P132" s="196"/>
      <c r="Q132" s="196"/>
      <c r="R132" s="196"/>
      <c r="S132" s="196"/>
      <c r="T132" s="196"/>
      <c r="U132" s="196"/>
      <c r="V132" s="196"/>
      <c r="W132" s="196"/>
    </row>
    <row r="133" spans="1:23" ht="11.25" customHeight="1">
      <c r="A133" s="1170">
        <f>'Org structure'!E128</f>
        <v>0</v>
      </c>
      <c r="B133" s="1046"/>
      <c r="C133" s="1628"/>
      <c r="D133" s="1628"/>
      <c r="E133" s="1629"/>
      <c r="F133" s="1630"/>
      <c r="G133" s="1628"/>
      <c r="H133" s="1631"/>
      <c r="I133" s="1632"/>
      <c r="J133" s="1628"/>
      <c r="K133" s="1629"/>
      <c r="L133" s="195"/>
      <c r="M133" s="196"/>
      <c r="N133" s="196"/>
      <c r="O133" s="196"/>
      <c r="P133" s="196"/>
      <c r="Q133" s="196"/>
      <c r="R133" s="196"/>
      <c r="S133" s="196"/>
      <c r="T133" s="196"/>
      <c r="U133" s="196"/>
      <c r="V133" s="196"/>
      <c r="W133" s="196"/>
    </row>
    <row r="134" spans="1:23" ht="11.25" customHeight="1">
      <c r="A134" s="1170">
        <f>'Org structure'!E129</f>
        <v>0</v>
      </c>
      <c r="B134" s="1046"/>
      <c r="C134" s="1628"/>
      <c r="D134" s="1628"/>
      <c r="E134" s="1629"/>
      <c r="F134" s="1630"/>
      <c r="G134" s="1628"/>
      <c r="H134" s="1631"/>
      <c r="I134" s="1632"/>
      <c r="J134" s="1628"/>
      <c r="K134" s="1629"/>
      <c r="L134" s="195"/>
      <c r="M134" s="196"/>
      <c r="N134" s="196"/>
      <c r="O134" s="196"/>
      <c r="P134" s="196"/>
      <c r="Q134" s="196"/>
      <c r="R134" s="196"/>
      <c r="S134" s="196"/>
      <c r="T134" s="196"/>
      <c r="U134" s="196"/>
      <c r="V134" s="196"/>
      <c r="W134" s="196"/>
    </row>
    <row r="135" spans="1:23" ht="11.25" customHeight="1">
      <c r="A135" s="1170">
        <f>'Org structure'!E130</f>
        <v>0</v>
      </c>
      <c r="B135" s="1046"/>
      <c r="C135" s="1628"/>
      <c r="D135" s="1628"/>
      <c r="E135" s="1629"/>
      <c r="F135" s="1630"/>
      <c r="G135" s="1628"/>
      <c r="H135" s="1631"/>
      <c r="I135" s="1632"/>
      <c r="J135" s="1628"/>
      <c r="K135" s="1629"/>
      <c r="L135" s="195"/>
      <c r="M135" s="196"/>
      <c r="N135" s="196"/>
      <c r="O135" s="196"/>
      <c r="P135" s="196"/>
      <c r="Q135" s="196"/>
      <c r="R135" s="196"/>
      <c r="S135" s="196"/>
      <c r="T135" s="196"/>
      <c r="U135" s="196"/>
      <c r="V135" s="196"/>
      <c r="W135" s="196"/>
    </row>
    <row r="136" spans="1:23" ht="11.25" customHeight="1">
      <c r="A136" s="1170">
        <f>'Org structure'!E131</f>
        <v>0</v>
      </c>
      <c r="B136" s="1046"/>
      <c r="C136" s="1628"/>
      <c r="D136" s="1628"/>
      <c r="E136" s="1629"/>
      <c r="F136" s="1630"/>
      <c r="G136" s="1628"/>
      <c r="H136" s="1631"/>
      <c r="I136" s="1632"/>
      <c r="J136" s="1628"/>
      <c r="K136" s="1629"/>
      <c r="L136" s="195"/>
      <c r="M136" s="196"/>
      <c r="N136" s="196"/>
      <c r="O136" s="196"/>
      <c r="P136" s="196"/>
      <c r="Q136" s="196"/>
      <c r="R136" s="196"/>
      <c r="S136" s="196"/>
      <c r="T136" s="196"/>
      <c r="U136" s="196"/>
      <c r="V136" s="196"/>
      <c r="W136" s="196"/>
    </row>
    <row r="137" spans="1:23" ht="11.25" customHeight="1">
      <c r="A137" s="1170">
        <f>'Org structure'!E132</f>
        <v>0</v>
      </c>
      <c r="B137" s="1046"/>
      <c r="C137" s="1628"/>
      <c r="D137" s="1628"/>
      <c r="E137" s="1629"/>
      <c r="F137" s="1630"/>
      <c r="G137" s="1628"/>
      <c r="H137" s="1631"/>
      <c r="I137" s="1632"/>
      <c r="J137" s="1628"/>
      <c r="K137" s="1629"/>
      <c r="L137" s="195"/>
      <c r="M137" s="196"/>
      <c r="N137" s="196"/>
      <c r="O137" s="196"/>
      <c r="P137" s="196"/>
      <c r="Q137" s="196"/>
      <c r="R137" s="196"/>
      <c r="S137" s="196"/>
      <c r="T137" s="196"/>
      <c r="U137" s="196"/>
      <c r="V137" s="196"/>
      <c r="W137" s="196"/>
    </row>
    <row r="138" spans="1:23" ht="11.25" customHeight="1">
      <c r="A138" s="1170">
        <f>'Org structure'!E133</f>
        <v>0</v>
      </c>
      <c r="B138" s="1046"/>
      <c r="C138" s="1628"/>
      <c r="D138" s="1628"/>
      <c r="E138" s="1629"/>
      <c r="F138" s="1630"/>
      <c r="G138" s="1628"/>
      <c r="H138" s="1631"/>
      <c r="I138" s="1632"/>
      <c r="J138" s="1628"/>
      <c r="K138" s="1629"/>
      <c r="L138" s="195"/>
      <c r="M138" s="196"/>
      <c r="N138" s="196"/>
      <c r="O138" s="196"/>
      <c r="P138" s="196"/>
      <c r="Q138" s="196"/>
      <c r="R138" s="196"/>
      <c r="S138" s="196"/>
      <c r="T138" s="196"/>
      <c r="U138" s="196"/>
      <c r="V138" s="196"/>
      <c r="W138" s="196"/>
    </row>
    <row r="139" spans="1:23" ht="15" customHeight="1">
      <c r="A139" s="2183" t="str">
        <f>'Org structure'!A14</f>
        <v>Vote 13 - [NAME OF VOTE 13]</v>
      </c>
      <c r="B139" s="1046"/>
      <c r="C139" s="976">
        <f>SUM(C140:C149)</f>
        <v>0</v>
      </c>
      <c r="D139" s="976">
        <f t="shared" ref="D139:K139" si="12">SUM(D140:D149)</f>
        <v>0</v>
      </c>
      <c r="E139" s="977">
        <f t="shared" si="12"/>
        <v>0</v>
      </c>
      <c r="F139" s="978">
        <f t="shared" si="12"/>
        <v>0</v>
      </c>
      <c r="G139" s="976">
        <f t="shared" si="12"/>
        <v>0</v>
      </c>
      <c r="H139" s="979">
        <f t="shared" si="12"/>
        <v>0</v>
      </c>
      <c r="I139" s="980">
        <f t="shared" si="12"/>
        <v>0</v>
      </c>
      <c r="J139" s="976">
        <f t="shared" si="12"/>
        <v>0</v>
      </c>
      <c r="K139" s="977">
        <f t="shared" si="12"/>
        <v>0</v>
      </c>
      <c r="L139" s="195"/>
      <c r="M139" s="196"/>
      <c r="N139" s="196"/>
      <c r="O139" s="196"/>
      <c r="P139" s="196"/>
      <c r="Q139" s="196"/>
      <c r="R139" s="196"/>
      <c r="S139" s="196"/>
      <c r="T139" s="196"/>
      <c r="U139" s="196"/>
      <c r="V139" s="196"/>
      <c r="W139" s="196"/>
    </row>
    <row r="140" spans="1:23" ht="11.25" customHeight="1">
      <c r="A140" s="1170" t="str">
        <f>'Org structure'!E135</f>
        <v>13.1 - [Name of sub-vote]</v>
      </c>
      <c r="B140" s="1046"/>
      <c r="C140" s="1628"/>
      <c r="D140" s="1628"/>
      <c r="E140" s="1629"/>
      <c r="F140" s="1630"/>
      <c r="G140" s="1628"/>
      <c r="H140" s="1631"/>
      <c r="I140" s="1632"/>
      <c r="J140" s="1628"/>
      <c r="K140" s="1629"/>
      <c r="L140" s="195"/>
      <c r="M140" s="196"/>
      <c r="N140" s="196"/>
      <c r="O140" s="196"/>
      <c r="P140" s="196"/>
      <c r="Q140" s="196"/>
      <c r="R140" s="196"/>
      <c r="S140" s="196"/>
      <c r="T140" s="196"/>
      <c r="U140" s="196"/>
      <c r="V140" s="196"/>
      <c r="W140" s="196"/>
    </row>
    <row r="141" spans="1:23" ht="11.25" customHeight="1">
      <c r="A141" s="1170">
        <f>'Org structure'!E136</f>
        <v>0</v>
      </c>
      <c r="B141" s="1046"/>
      <c r="C141" s="1628"/>
      <c r="D141" s="1628"/>
      <c r="E141" s="1629"/>
      <c r="F141" s="1630"/>
      <c r="G141" s="1628"/>
      <c r="H141" s="1631"/>
      <c r="I141" s="1632"/>
      <c r="J141" s="1628"/>
      <c r="K141" s="1629"/>
      <c r="L141" s="195"/>
      <c r="M141" s="196"/>
      <c r="N141" s="196"/>
      <c r="O141" s="196"/>
      <c r="P141" s="196"/>
      <c r="Q141" s="196"/>
      <c r="R141" s="196"/>
      <c r="S141" s="196"/>
      <c r="T141" s="196"/>
      <c r="U141" s="196"/>
      <c r="V141" s="196"/>
      <c r="W141" s="196"/>
    </row>
    <row r="142" spans="1:23" ht="11.25" customHeight="1">
      <c r="A142" s="1170">
        <f>'Org structure'!E137</f>
        <v>0</v>
      </c>
      <c r="B142" s="1046"/>
      <c r="C142" s="1628"/>
      <c r="D142" s="1628"/>
      <c r="E142" s="1629"/>
      <c r="F142" s="1630"/>
      <c r="G142" s="1628"/>
      <c r="H142" s="1631"/>
      <c r="I142" s="1632"/>
      <c r="J142" s="1628"/>
      <c r="K142" s="1629"/>
      <c r="L142" s="195"/>
      <c r="M142" s="196"/>
      <c r="N142" s="196"/>
      <c r="O142" s="196"/>
      <c r="P142" s="196"/>
      <c r="Q142" s="196"/>
      <c r="R142" s="196"/>
      <c r="S142" s="196"/>
      <c r="T142" s="196"/>
      <c r="U142" s="196"/>
      <c r="V142" s="196"/>
      <c r="W142" s="196"/>
    </row>
    <row r="143" spans="1:23" ht="11.25" customHeight="1">
      <c r="A143" s="1170">
        <f>'Org structure'!E138</f>
        <v>0</v>
      </c>
      <c r="B143" s="1046"/>
      <c r="C143" s="1628"/>
      <c r="D143" s="1628"/>
      <c r="E143" s="1629"/>
      <c r="F143" s="1630"/>
      <c r="G143" s="1628"/>
      <c r="H143" s="1631"/>
      <c r="I143" s="1632"/>
      <c r="J143" s="1628"/>
      <c r="K143" s="1629"/>
      <c r="L143" s="195"/>
      <c r="M143" s="196"/>
      <c r="N143" s="196"/>
      <c r="O143" s="196"/>
      <c r="P143" s="196"/>
      <c r="Q143" s="196"/>
      <c r="R143" s="196"/>
      <c r="S143" s="196"/>
      <c r="T143" s="196"/>
      <c r="U143" s="196"/>
      <c r="V143" s="196"/>
      <c r="W143" s="196"/>
    </row>
    <row r="144" spans="1:23" ht="11.25" customHeight="1">
      <c r="A144" s="1170">
        <f>'Org structure'!E139</f>
        <v>0</v>
      </c>
      <c r="B144" s="1046"/>
      <c r="C144" s="1628"/>
      <c r="D144" s="1628"/>
      <c r="E144" s="1629"/>
      <c r="F144" s="1630"/>
      <c r="G144" s="1628"/>
      <c r="H144" s="1631"/>
      <c r="I144" s="1632"/>
      <c r="J144" s="1628"/>
      <c r="K144" s="1629"/>
      <c r="L144" s="195"/>
      <c r="M144" s="196"/>
      <c r="N144" s="196"/>
      <c r="O144" s="196"/>
      <c r="P144" s="196"/>
      <c r="Q144" s="196"/>
      <c r="R144" s="196"/>
      <c r="S144" s="196"/>
      <c r="T144" s="196"/>
      <c r="U144" s="196"/>
      <c r="V144" s="196"/>
      <c r="W144" s="196"/>
    </row>
    <row r="145" spans="1:23" ht="11.25" customHeight="1">
      <c r="A145" s="1170">
        <f>'Org structure'!E140</f>
        <v>0</v>
      </c>
      <c r="B145" s="1046"/>
      <c r="C145" s="1628"/>
      <c r="D145" s="1628"/>
      <c r="E145" s="1629"/>
      <c r="F145" s="1630"/>
      <c r="G145" s="1628"/>
      <c r="H145" s="1631"/>
      <c r="I145" s="1632"/>
      <c r="J145" s="1628"/>
      <c r="K145" s="1629"/>
      <c r="L145" s="195"/>
      <c r="M145" s="196"/>
      <c r="N145" s="196"/>
      <c r="O145" s="196"/>
      <c r="P145" s="196"/>
      <c r="Q145" s="196"/>
      <c r="R145" s="196"/>
      <c r="S145" s="196"/>
      <c r="T145" s="196"/>
      <c r="U145" s="196"/>
      <c r="V145" s="196"/>
      <c r="W145" s="196"/>
    </row>
    <row r="146" spans="1:23" ht="11.25" customHeight="1">
      <c r="A146" s="1170">
        <f>'Org structure'!E141</f>
        <v>0</v>
      </c>
      <c r="B146" s="1046"/>
      <c r="C146" s="1628"/>
      <c r="D146" s="1628"/>
      <c r="E146" s="1629"/>
      <c r="F146" s="1630"/>
      <c r="G146" s="1628"/>
      <c r="H146" s="1631"/>
      <c r="I146" s="1632"/>
      <c r="J146" s="1628"/>
      <c r="K146" s="1629"/>
      <c r="L146" s="195"/>
      <c r="M146" s="196"/>
      <c r="N146" s="196"/>
      <c r="O146" s="196"/>
      <c r="P146" s="196"/>
      <c r="Q146" s="196"/>
      <c r="R146" s="196"/>
      <c r="S146" s="196"/>
      <c r="T146" s="196"/>
      <c r="U146" s="196"/>
      <c r="V146" s="196"/>
      <c r="W146" s="196"/>
    </row>
    <row r="147" spans="1:23" ht="11.25" customHeight="1">
      <c r="A147" s="1170">
        <f>'Org structure'!E142</f>
        <v>0</v>
      </c>
      <c r="B147" s="1046"/>
      <c r="C147" s="1628"/>
      <c r="D147" s="1628"/>
      <c r="E147" s="1629"/>
      <c r="F147" s="1630"/>
      <c r="G147" s="1628"/>
      <c r="H147" s="1631"/>
      <c r="I147" s="1632"/>
      <c r="J147" s="1628"/>
      <c r="K147" s="1629"/>
      <c r="L147" s="195"/>
      <c r="M147" s="196"/>
      <c r="N147" s="196"/>
      <c r="O147" s="196"/>
      <c r="P147" s="196"/>
      <c r="Q147" s="196"/>
      <c r="R147" s="196"/>
      <c r="S147" s="196"/>
      <c r="T147" s="196"/>
      <c r="U147" s="196"/>
      <c r="V147" s="196"/>
      <c r="W147" s="196"/>
    </row>
    <row r="148" spans="1:23" ht="11.25" customHeight="1">
      <c r="A148" s="1170">
        <f>'Org structure'!E143</f>
        <v>0</v>
      </c>
      <c r="B148" s="1046"/>
      <c r="C148" s="1628"/>
      <c r="D148" s="1628"/>
      <c r="E148" s="1629"/>
      <c r="F148" s="1630"/>
      <c r="G148" s="1628"/>
      <c r="H148" s="1631"/>
      <c r="I148" s="1632"/>
      <c r="J148" s="1628"/>
      <c r="K148" s="1629"/>
      <c r="L148" s="195"/>
      <c r="M148" s="196"/>
      <c r="N148" s="196"/>
      <c r="O148" s="196"/>
      <c r="P148" s="196"/>
      <c r="Q148" s="196"/>
      <c r="R148" s="196"/>
      <c r="S148" s="196"/>
      <c r="T148" s="196"/>
      <c r="U148" s="196"/>
      <c r="V148" s="196"/>
      <c r="W148" s="196"/>
    </row>
    <row r="149" spans="1:23" ht="11.25" customHeight="1">
      <c r="A149" s="1170">
        <f>'Org structure'!E144</f>
        <v>0</v>
      </c>
      <c r="B149" s="1046"/>
      <c r="C149" s="1628"/>
      <c r="D149" s="1628"/>
      <c r="E149" s="1629"/>
      <c r="F149" s="1630"/>
      <c r="G149" s="1628"/>
      <c r="H149" s="1631"/>
      <c r="I149" s="1632"/>
      <c r="J149" s="1628"/>
      <c r="K149" s="1629"/>
      <c r="L149" s="195"/>
      <c r="M149" s="196"/>
      <c r="N149" s="196"/>
      <c r="O149" s="196"/>
      <c r="P149" s="196"/>
      <c r="Q149" s="196"/>
      <c r="R149" s="196"/>
      <c r="S149" s="196"/>
      <c r="T149" s="196"/>
      <c r="U149" s="196"/>
      <c r="V149" s="196"/>
      <c r="W149" s="196"/>
    </row>
    <row r="150" spans="1:23" ht="15" customHeight="1">
      <c r="A150" s="2183" t="str">
        <f>'Org structure'!A15</f>
        <v>Vote 14 - [NAME OF VOTE 14]</v>
      </c>
      <c r="B150" s="1046"/>
      <c r="C150" s="976">
        <f>SUM(C151:C160)</f>
        <v>0</v>
      </c>
      <c r="D150" s="976">
        <f t="shared" ref="D150:K150" si="13">SUM(D151:D160)</f>
        <v>0</v>
      </c>
      <c r="E150" s="977">
        <f t="shared" si="13"/>
        <v>0</v>
      </c>
      <c r="F150" s="978">
        <f t="shared" si="13"/>
        <v>0</v>
      </c>
      <c r="G150" s="976">
        <f t="shared" si="13"/>
        <v>0</v>
      </c>
      <c r="H150" s="979">
        <f t="shared" si="13"/>
        <v>0</v>
      </c>
      <c r="I150" s="980">
        <f t="shared" si="13"/>
        <v>0</v>
      </c>
      <c r="J150" s="976">
        <f t="shared" si="13"/>
        <v>0</v>
      </c>
      <c r="K150" s="977">
        <f t="shared" si="13"/>
        <v>0</v>
      </c>
      <c r="L150" s="195"/>
      <c r="M150" s="196"/>
      <c r="N150" s="196"/>
      <c r="O150" s="196"/>
      <c r="P150" s="196"/>
      <c r="Q150" s="196"/>
      <c r="R150" s="196"/>
      <c r="S150" s="196"/>
      <c r="T150" s="196"/>
      <c r="U150" s="196"/>
      <c r="V150" s="196"/>
      <c r="W150" s="196"/>
    </row>
    <row r="151" spans="1:23" ht="11.25" customHeight="1">
      <c r="A151" s="1170" t="str">
        <f>'Org structure'!E146</f>
        <v>14.1 - [Name of sub-vote]</v>
      </c>
      <c r="B151" s="1046"/>
      <c r="C151" s="1628"/>
      <c r="D151" s="1628"/>
      <c r="E151" s="1629"/>
      <c r="F151" s="1630"/>
      <c r="G151" s="1628"/>
      <c r="H151" s="1631"/>
      <c r="I151" s="1632"/>
      <c r="J151" s="1628"/>
      <c r="K151" s="1629"/>
      <c r="L151" s="195"/>
      <c r="M151" s="196"/>
      <c r="N151" s="196"/>
      <c r="O151" s="196"/>
      <c r="P151" s="196"/>
      <c r="Q151" s="196"/>
      <c r="R151" s="196"/>
      <c r="S151" s="196"/>
      <c r="T151" s="196"/>
      <c r="U151" s="196"/>
      <c r="V151" s="196"/>
      <c r="W151" s="196"/>
    </row>
    <row r="152" spans="1:23" ht="11.25" customHeight="1">
      <c r="A152" s="1170">
        <f>'Org structure'!E147</f>
        <v>0</v>
      </c>
      <c r="B152" s="1046"/>
      <c r="C152" s="1628"/>
      <c r="D152" s="1628"/>
      <c r="E152" s="1629"/>
      <c r="F152" s="1630"/>
      <c r="G152" s="1628"/>
      <c r="H152" s="1631"/>
      <c r="I152" s="1632"/>
      <c r="J152" s="1628"/>
      <c r="K152" s="1629"/>
      <c r="L152" s="195"/>
      <c r="M152" s="196"/>
      <c r="N152" s="196"/>
      <c r="O152" s="196"/>
      <c r="P152" s="196"/>
      <c r="Q152" s="196"/>
      <c r="R152" s="196"/>
      <c r="S152" s="196"/>
      <c r="T152" s="196"/>
      <c r="U152" s="196"/>
      <c r="V152" s="196"/>
      <c r="W152" s="196"/>
    </row>
    <row r="153" spans="1:23" ht="11.25" customHeight="1">
      <c r="A153" s="1170">
        <f>'Org structure'!E148</f>
        <v>0</v>
      </c>
      <c r="B153" s="1046"/>
      <c r="C153" s="1628"/>
      <c r="D153" s="1628"/>
      <c r="E153" s="1629"/>
      <c r="F153" s="1630"/>
      <c r="G153" s="1628"/>
      <c r="H153" s="1631"/>
      <c r="I153" s="1632"/>
      <c r="J153" s="1628"/>
      <c r="K153" s="1629"/>
      <c r="L153" s="195"/>
      <c r="M153" s="196"/>
      <c r="N153" s="196"/>
      <c r="O153" s="196"/>
      <c r="P153" s="196"/>
      <c r="Q153" s="196"/>
      <c r="R153" s="196"/>
      <c r="S153" s="196"/>
      <c r="T153" s="196"/>
      <c r="U153" s="196"/>
      <c r="V153" s="196"/>
      <c r="W153" s="196"/>
    </row>
    <row r="154" spans="1:23" ht="11.25" customHeight="1">
      <c r="A154" s="1170">
        <f>'Org structure'!E149</f>
        <v>0</v>
      </c>
      <c r="B154" s="1046"/>
      <c r="C154" s="1628"/>
      <c r="D154" s="1628"/>
      <c r="E154" s="1629"/>
      <c r="F154" s="1630"/>
      <c r="G154" s="1628"/>
      <c r="H154" s="1631"/>
      <c r="I154" s="1632"/>
      <c r="J154" s="1628"/>
      <c r="K154" s="1629"/>
      <c r="L154" s="195"/>
      <c r="M154" s="196"/>
      <c r="N154" s="196"/>
      <c r="O154" s="196"/>
      <c r="P154" s="196"/>
      <c r="Q154" s="196"/>
      <c r="R154" s="196"/>
      <c r="S154" s="196"/>
      <c r="T154" s="196"/>
      <c r="U154" s="196"/>
      <c r="V154" s="196"/>
      <c r="W154" s="196"/>
    </row>
    <row r="155" spans="1:23" ht="11.25" customHeight="1">
      <c r="A155" s="1170">
        <f>'Org structure'!E150</f>
        <v>0</v>
      </c>
      <c r="B155" s="1046"/>
      <c r="C155" s="1628"/>
      <c r="D155" s="1628"/>
      <c r="E155" s="1629"/>
      <c r="F155" s="1630"/>
      <c r="G155" s="1628"/>
      <c r="H155" s="1631"/>
      <c r="I155" s="1632"/>
      <c r="J155" s="1628"/>
      <c r="K155" s="1629"/>
      <c r="L155" s="195"/>
      <c r="M155" s="196"/>
      <c r="N155" s="196"/>
      <c r="O155" s="196"/>
      <c r="P155" s="196"/>
      <c r="Q155" s="196"/>
      <c r="R155" s="196"/>
      <c r="S155" s="196"/>
      <c r="T155" s="196"/>
      <c r="U155" s="196"/>
      <c r="V155" s="196"/>
      <c r="W155" s="196"/>
    </row>
    <row r="156" spans="1:23" ht="11.25" customHeight="1">
      <c r="A156" s="1170">
        <f>'Org structure'!E151</f>
        <v>0</v>
      </c>
      <c r="B156" s="1046"/>
      <c r="C156" s="1628"/>
      <c r="D156" s="1628"/>
      <c r="E156" s="1629"/>
      <c r="F156" s="1630"/>
      <c r="G156" s="1628"/>
      <c r="H156" s="1631"/>
      <c r="I156" s="1632"/>
      <c r="J156" s="1628"/>
      <c r="K156" s="1629"/>
      <c r="L156" s="195"/>
      <c r="M156" s="196"/>
      <c r="N156" s="196"/>
      <c r="O156" s="196"/>
      <c r="P156" s="196"/>
      <c r="Q156" s="196"/>
      <c r="R156" s="196"/>
      <c r="S156" s="196"/>
      <c r="T156" s="196"/>
      <c r="U156" s="196"/>
      <c r="V156" s="196"/>
      <c r="W156" s="196"/>
    </row>
    <row r="157" spans="1:23" ht="11.25" customHeight="1">
      <c r="A157" s="1170">
        <f>'Org structure'!E152</f>
        <v>0</v>
      </c>
      <c r="B157" s="1046"/>
      <c r="C157" s="1628"/>
      <c r="D157" s="1628"/>
      <c r="E157" s="1629"/>
      <c r="F157" s="1630"/>
      <c r="G157" s="1628"/>
      <c r="H157" s="1631"/>
      <c r="I157" s="1632"/>
      <c r="J157" s="1628"/>
      <c r="K157" s="1629"/>
      <c r="L157" s="195"/>
      <c r="M157" s="196"/>
      <c r="N157" s="196"/>
      <c r="O157" s="196"/>
      <c r="P157" s="196"/>
      <c r="Q157" s="196"/>
      <c r="R157" s="196"/>
      <c r="S157" s="196"/>
      <c r="T157" s="196"/>
      <c r="U157" s="196"/>
      <c r="V157" s="196"/>
      <c r="W157" s="196"/>
    </row>
    <row r="158" spans="1:23" ht="11.25" customHeight="1">
      <c r="A158" s="1170">
        <f>'Org structure'!E153</f>
        <v>0</v>
      </c>
      <c r="B158" s="1046"/>
      <c r="C158" s="1628"/>
      <c r="D158" s="1628"/>
      <c r="E158" s="1629"/>
      <c r="F158" s="1630"/>
      <c r="G158" s="1628"/>
      <c r="H158" s="1631"/>
      <c r="I158" s="1632"/>
      <c r="J158" s="1628"/>
      <c r="K158" s="1629"/>
      <c r="L158" s="195"/>
      <c r="M158" s="196"/>
      <c r="N158" s="196"/>
      <c r="O158" s="196"/>
      <c r="P158" s="196"/>
      <c r="Q158" s="196"/>
      <c r="R158" s="196"/>
      <c r="S158" s="196"/>
      <c r="T158" s="196"/>
      <c r="U158" s="196"/>
      <c r="V158" s="196"/>
      <c r="W158" s="196"/>
    </row>
    <row r="159" spans="1:23" ht="11.25" customHeight="1">
      <c r="A159" s="1170">
        <f>'Org structure'!E154</f>
        <v>0</v>
      </c>
      <c r="B159" s="1046"/>
      <c r="C159" s="1628"/>
      <c r="D159" s="1628"/>
      <c r="E159" s="1629"/>
      <c r="F159" s="1630"/>
      <c r="G159" s="1628"/>
      <c r="H159" s="1631"/>
      <c r="I159" s="1632"/>
      <c r="J159" s="1628"/>
      <c r="K159" s="1629"/>
      <c r="L159" s="195"/>
      <c r="M159" s="196"/>
      <c r="N159" s="196"/>
      <c r="O159" s="196"/>
      <c r="P159" s="196"/>
      <c r="Q159" s="196"/>
      <c r="R159" s="196"/>
      <c r="S159" s="196"/>
      <c r="T159" s="196"/>
      <c r="U159" s="196"/>
      <c r="V159" s="196"/>
      <c r="W159" s="196"/>
    </row>
    <row r="160" spans="1:23" ht="11.25" customHeight="1">
      <c r="A160" s="1170">
        <f>'Org structure'!E155</f>
        <v>0</v>
      </c>
      <c r="B160" s="1046"/>
      <c r="C160" s="1628"/>
      <c r="D160" s="1628"/>
      <c r="E160" s="1629"/>
      <c r="F160" s="1630"/>
      <c r="G160" s="1628"/>
      <c r="H160" s="1631"/>
      <c r="I160" s="1632"/>
      <c r="J160" s="1628"/>
      <c r="K160" s="1629"/>
      <c r="L160" s="195"/>
      <c r="M160" s="196"/>
      <c r="N160" s="196"/>
      <c r="O160" s="196"/>
      <c r="P160" s="196"/>
      <c r="Q160" s="196"/>
      <c r="R160" s="196"/>
      <c r="S160" s="196"/>
      <c r="T160" s="196"/>
      <c r="U160" s="196"/>
      <c r="V160" s="196"/>
      <c r="W160" s="196"/>
    </row>
    <row r="161" spans="1:23" ht="15" customHeight="1">
      <c r="A161" s="2183" t="str">
        <f>'Org structure'!A16</f>
        <v>Vote 15 - [NAME OF VOTE 15]</v>
      </c>
      <c r="B161" s="1046"/>
      <c r="C161" s="976">
        <f>SUM(C162:C171)</f>
        <v>0</v>
      </c>
      <c r="D161" s="976">
        <f t="shared" ref="D161:K161" si="14">SUM(D162:D171)</f>
        <v>0</v>
      </c>
      <c r="E161" s="977">
        <f t="shared" si="14"/>
        <v>0</v>
      </c>
      <c r="F161" s="978">
        <f t="shared" si="14"/>
        <v>0</v>
      </c>
      <c r="G161" s="976">
        <f t="shared" si="14"/>
        <v>0</v>
      </c>
      <c r="H161" s="979">
        <f t="shared" si="14"/>
        <v>0</v>
      </c>
      <c r="I161" s="980">
        <f t="shared" si="14"/>
        <v>0</v>
      </c>
      <c r="J161" s="976">
        <f t="shared" si="14"/>
        <v>0</v>
      </c>
      <c r="K161" s="977">
        <f t="shared" si="14"/>
        <v>0</v>
      </c>
      <c r="L161" s="195"/>
      <c r="M161" s="196"/>
      <c r="N161" s="196"/>
      <c r="O161" s="196"/>
      <c r="P161" s="196"/>
      <c r="Q161" s="196"/>
      <c r="R161" s="196"/>
      <c r="S161" s="196"/>
      <c r="T161" s="196"/>
      <c r="U161" s="196"/>
      <c r="V161" s="196"/>
      <c r="W161" s="196"/>
    </row>
    <row r="162" spans="1:23" ht="11.25" customHeight="1">
      <c r="A162" s="1170" t="str">
        <f>'Org structure'!E157</f>
        <v>15.1 - [Name of sub-vote]</v>
      </c>
      <c r="B162" s="1046"/>
      <c r="C162" s="1628"/>
      <c r="D162" s="1628"/>
      <c r="E162" s="1629"/>
      <c r="F162" s="1630"/>
      <c r="G162" s="1628"/>
      <c r="H162" s="1631"/>
      <c r="I162" s="1632"/>
      <c r="J162" s="1628"/>
      <c r="K162" s="1629"/>
      <c r="L162" s="195"/>
      <c r="M162" s="196"/>
      <c r="N162" s="196"/>
      <c r="O162" s="196"/>
      <c r="P162" s="196"/>
      <c r="Q162" s="196"/>
      <c r="R162" s="196"/>
      <c r="S162" s="196"/>
      <c r="T162" s="196"/>
      <c r="U162" s="196"/>
      <c r="V162" s="196"/>
      <c r="W162" s="196"/>
    </row>
    <row r="163" spans="1:23" ht="11.25" customHeight="1">
      <c r="A163" s="1170">
        <f>'Org structure'!E158</f>
        <v>0</v>
      </c>
      <c r="B163" s="1046"/>
      <c r="C163" s="1628"/>
      <c r="D163" s="1628"/>
      <c r="E163" s="1629"/>
      <c r="F163" s="1630"/>
      <c r="G163" s="1628"/>
      <c r="H163" s="1631"/>
      <c r="I163" s="1632"/>
      <c r="J163" s="1628"/>
      <c r="K163" s="1629"/>
      <c r="L163" s="195"/>
      <c r="M163" s="196"/>
      <c r="N163" s="196"/>
      <c r="O163" s="196"/>
      <c r="P163" s="196"/>
      <c r="Q163" s="196"/>
      <c r="R163" s="196"/>
      <c r="S163" s="196"/>
      <c r="T163" s="196"/>
      <c r="U163" s="196"/>
      <c r="V163" s="196"/>
      <c r="W163" s="196"/>
    </row>
    <row r="164" spans="1:23" ht="11.25" customHeight="1">
      <c r="A164" s="1170">
        <f>'Org structure'!E159</f>
        <v>0</v>
      </c>
      <c r="B164" s="1046"/>
      <c r="C164" s="1628"/>
      <c r="D164" s="1628"/>
      <c r="E164" s="1629"/>
      <c r="F164" s="1630"/>
      <c r="G164" s="1628"/>
      <c r="H164" s="1631"/>
      <c r="I164" s="1632"/>
      <c r="J164" s="1628"/>
      <c r="K164" s="1629"/>
      <c r="L164" s="195"/>
      <c r="M164" s="196"/>
      <c r="N164" s="196"/>
      <c r="O164" s="196"/>
      <c r="P164" s="196"/>
      <c r="Q164" s="196"/>
      <c r="R164" s="196"/>
      <c r="S164" s="196"/>
      <c r="T164" s="196"/>
      <c r="U164" s="196"/>
      <c r="V164" s="196"/>
      <c r="W164" s="196"/>
    </row>
    <row r="165" spans="1:23" ht="11.25" customHeight="1">
      <c r="A165" s="1170">
        <f>'Org structure'!E160</f>
        <v>0</v>
      </c>
      <c r="B165" s="1046"/>
      <c r="C165" s="1628"/>
      <c r="D165" s="1628"/>
      <c r="E165" s="1629"/>
      <c r="F165" s="1630"/>
      <c r="G165" s="1628"/>
      <c r="H165" s="1631"/>
      <c r="I165" s="1632"/>
      <c r="J165" s="1628"/>
      <c r="K165" s="1629"/>
      <c r="L165" s="195"/>
      <c r="M165" s="196"/>
      <c r="N165" s="196"/>
      <c r="O165" s="196"/>
      <c r="P165" s="196"/>
      <c r="Q165" s="196"/>
      <c r="R165" s="196"/>
      <c r="S165" s="196"/>
      <c r="T165" s="196"/>
      <c r="U165" s="196"/>
      <c r="V165" s="196"/>
      <c r="W165" s="196"/>
    </row>
    <row r="166" spans="1:23" ht="11.25" customHeight="1">
      <c r="A166" s="1170">
        <f>'Org structure'!E161</f>
        <v>0</v>
      </c>
      <c r="B166" s="1046"/>
      <c r="C166" s="1628"/>
      <c r="D166" s="1628"/>
      <c r="E166" s="1629"/>
      <c r="F166" s="1630"/>
      <c r="G166" s="1628"/>
      <c r="H166" s="1631"/>
      <c r="I166" s="1632"/>
      <c r="J166" s="1628"/>
      <c r="K166" s="1629"/>
      <c r="L166" s="195"/>
      <c r="M166" s="196"/>
      <c r="N166" s="196"/>
      <c r="O166" s="196"/>
      <c r="P166" s="196"/>
      <c r="Q166" s="196"/>
      <c r="R166" s="196"/>
      <c r="S166" s="196"/>
      <c r="T166" s="196"/>
      <c r="U166" s="196"/>
      <c r="V166" s="196"/>
      <c r="W166" s="196"/>
    </row>
    <row r="167" spans="1:23" ht="11.25" customHeight="1">
      <c r="A167" s="1170">
        <f>'Org structure'!E162</f>
        <v>0</v>
      </c>
      <c r="B167" s="1046"/>
      <c r="C167" s="1628"/>
      <c r="D167" s="1628"/>
      <c r="E167" s="1629"/>
      <c r="F167" s="1630"/>
      <c r="G167" s="1628"/>
      <c r="H167" s="1631"/>
      <c r="I167" s="1632"/>
      <c r="J167" s="1628"/>
      <c r="K167" s="1629"/>
      <c r="L167" s="195"/>
      <c r="M167" s="196"/>
      <c r="N167" s="196"/>
      <c r="O167" s="196"/>
      <c r="P167" s="196"/>
      <c r="Q167" s="196"/>
      <c r="R167" s="196"/>
      <c r="S167" s="196"/>
      <c r="T167" s="196"/>
      <c r="U167" s="196"/>
      <c r="V167" s="196"/>
      <c r="W167" s="196"/>
    </row>
    <row r="168" spans="1:23" ht="11.25" customHeight="1">
      <c r="A168" s="1170">
        <f>'Org structure'!E163</f>
        <v>0</v>
      </c>
      <c r="B168" s="1046"/>
      <c r="C168" s="1628"/>
      <c r="D168" s="1628"/>
      <c r="E168" s="1629"/>
      <c r="F168" s="1630"/>
      <c r="G168" s="1628"/>
      <c r="H168" s="1631"/>
      <c r="I168" s="1632"/>
      <c r="J168" s="1628"/>
      <c r="K168" s="1629"/>
      <c r="L168" s="195"/>
      <c r="M168" s="196"/>
      <c r="N168" s="196"/>
      <c r="O168" s="196"/>
      <c r="P168" s="196"/>
      <c r="Q168" s="196"/>
      <c r="R168" s="196"/>
      <c r="S168" s="196"/>
      <c r="T168" s="196"/>
      <c r="U168" s="196"/>
      <c r="V168" s="196"/>
      <c r="W168" s="196"/>
    </row>
    <row r="169" spans="1:23" ht="11.25" customHeight="1">
      <c r="A169" s="1170">
        <f>'Org structure'!E164</f>
        <v>0</v>
      </c>
      <c r="B169" s="1046"/>
      <c r="C169" s="1628"/>
      <c r="D169" s="1628"/>
      <c r="E169" s="1629"/>
      <c r="F169" s="1630"/>
      <c r="G169" s="1628"/>
      <c r="H169" s="1631"/>
      <c r="I169" s="1632"/>
      <c r="J169" s="1628"/>
      <c r="K169" s="1629"/>
      <c r="L169" s="195"/>
      <c r="M169" s="196"/>
      <c r="N169" s="196"/>
      <c r="O169" s="196"/>
      <c r="P169" s="196"/>
      <c r="Q169" s="196"/>
      <c r="R169" s="196"/>
      <c r="S169" s="196"/>
      <c r="T169" s="196"/>
      <c r="U169" s="196"/>
      <c r="V169" s="196"/>
      <c r="W169" s="196"/>
    </row>
    <row r="170" spans="1:23" ht="11.25" customHeight="1">
      <c r="A170" s="1170">
        <f>'Org structure'!E165</f>
        <v>0</v>
      </c>
      <c r="B170" s="1046"/>
      <c r="C170" s="1628"/>
      <c r="D170" s="1628"/>
      <c r="E170" s="1629"/>
      <c r="F170" s="1630"/>
      <c r="G170" s="1628"/>
      <c r="H170" s="1631"/>
      <c r="I170" s="1632"/>
      <c r="J170" s="1628"/>
      <c r="K170" s="1629"/>
      <c r="L170" s="195"/>
      <c r="M170" s="196"/>
      <c r="N170" s="196"/>
      <c r="O170" s="196"/>
      <c r="P170" s="196"/>
      <c r="Q170" s="196"/>
      <c r="R170" s="196"/>
      <c r="S170" s="196"/>
      <c r="T170" s="196"/>
      <c r="U170" s="196"/>
      <c r="V170" s="196"/>
      <c r="W170" s="196"/>
    </row>
    <row r="171" spans="1:23" ht="11.25" customHeight="1">
      <c r="A171" s="1170">
        <f>'Org structure'!E166</f>
        <v>0</v>
      </c>
      <c r="B171" s="1046"/>
      <c r="C171" s="1628"/>
      <c r="D171" s="1628"/>
      <c r="E171" s="1629"/>
      <c r="F171" s="1630"/>
      <c r="G171" s="1628"/>
      <c r="H171" s="1631"/>
      <c r="I171" s="1632"/>
      <c r="J171" s="1628"/>
      <c r="K171" s="1629"/>
      <c r="L171" s="195"/>
      <c r="M171" s="196"/>
      <c r="N171" s="196"/>
      <c r="O171" s="196"/>
      <c r="P171" s="196"/>
      <c r="Q171" s="196"/>
      <c r="R171" s="196"/>
      <c r="S171" s="196"/>
      <c r="T171" s="196"/>
      <c r="U171" s="196"/>
      <c r="V171" s="196"/>
      <c r="W171" s="196"/>
    </row>
    <row r="172" spans="1:23" ht="11.25" customHeight="1">
      <c r="A172" s="1215" t="s">
        <v>180</v>
      </c>
      <c r="B172" s="1188">
        <v>2</v>
      </c>
      <c r="C172" s="1216">
        <f>C5+C16+C29+C40+C51+C62+C73+C84+C95+C106+C117+C128+C139+C150+C161</f>
        <v>1969007203.8499999</v>
      </c>
      <c r="D172" s="1216">
        <f>D5+D16+D29+D40+D51+D62+D73+D84+D95+D106+D117+D128+D139+D150+D161</f>
        <v>2218358431</v>
      </c>
      <c r="E172" s="1217">
        <f t="shared" ref="E172:K172" si="15">E5+E16+E29+E40+E51+E62+E73+E84+E95+E106+E117+E128+E139+E150+E161</f>
        <v>2175110929</v>
      </c>
      <c r="F172" s="1218">
        <f t="shared" si="15"/>
        <v>2809066817</v>
      </c>
      <c r="G172" s="1216">
        <f t="shared" si="15"/>
        <v>2755402455</v>
      </c>
      <c r="H172" s="1219">
        <f t="shared" si="15"/>
        <v>2755402455</v>
      </c>
      <c r="I172" s="1220">
        <f>I5+I16+I29+I40+I51+I62+I73+I84+I95+I106+I117+I128+I139+I150+I161</f>
        <v>2729275535</v>
      </c>
      <c r="J172" s="1216">
        <f t="shared" si="15"/>
        <v>2834221951</v>
      </c>
      <c r="K172" s="1217">
        <f t="shared" si="15"/>
        <v>3072106834</v>
      </c>
      <c r="L172" s="199">
        <f t="shared" ref="L172:W172" si="16">SUM(L80:L83)</f>
        <v>0</v>
      </c>
      <c r="M172" s="200">
        <f t="shared" si="16"/>
        <v>0</v>
      </c>
      <c r="N172" s="200">
        <f t="shared" si="16"/>
        <v>0</v>
      </c>
      <c r="O172" s="200">
        <f t="shared" si="16"/>
        <v>0</v>
      </c>
      <c r="P172" s="200">
        <f t="shared" si="16"/>
        <v>0</v>
      </c>
      <c r="Q172" s="200">
        <f t="shared" si="16"/>
        <v>0</v>
      </c>
      <c r="R172" s="200">
        <f t="shared" si="16"/>
        <v>0</v>
      </c>
      <c r="S172" s="200">
        <f t="shared" si="16"/>
        <v>0</v>
      </c>
      <c r="T172" s="200">
        <f t="shared" si="16"/>
        <v>0</v>
      </c>
      <c r="U172" s="200">
        <f t="shared" si="16"/>
        <v>0</v>
      </c>
      <c r="V172" s="200">
        <f t="shared" si="16"/>
        <v>0</v>
      </c>
      <c r="W172" s="200">
        <f t="shared" si="16"/>
        <v>0</v>
      </c>
    </row>
    <row r="173" spans="1:23" ht="5" customHeight="1">
      <c r="A173" s="1242"/>
      <c r="B173" s="1243"/>
      <c r="C173" s="1244"/>
      <c r="D173" s="1244"/>
      <c r="E173" s="1245"/>
      <c r="F173" s="1246"/>
      <c r="G173" s="1244"/>
      <c r="H173" s="1247"/>
      <c r="I173" s="1248"/>
      <c r="J173" s="1244"/>
      <c r="K173" s="1245"/>
      <c r="L173" s="195"/>
      <c r="M173" s="196"/>
      <c r="N173" s="196"/>
      <c r="O173" s="196"/>
      <c r="P173" s="196"/>
      <c r="Q173" s="196"/>
      <c r="R173" s="196"/>
      <c r="S173" s="196"/>
      <c r="T173" s="196"/>
      <c r="U173" s="196"/>
      <c r="V173" s="196"/>
      <c r="W173" s="196"/>
    </row>
    <row r="174" spans="1:23" ht="11.25" customHeight="1">
      <c r="A174" s="1249" t="s">
        <v>430</v>
      </c>
      <c r="B174" s="1250">
        <v>1</v>
      </c>
      <c r="C174" s="1251"/>
      <c r="D174" s="1251"/>
      <c r="E174" s="1252"/>
      <c r="F174" s="1253"/>
      <c r="G174" s="1251"/>
      <c r="H174" s="1254"/>
      <c r="I174" s="1255"/>
      <c r="J174" s="1251"/>
      <c r="K174" s="1252"/>
      <c r="L174" s="195"/>
      <c r="M174" s="196"/>
      <c r="N174" s="196"/>
      <c r="O174" s="196"/>
      <c r="P174" s="196"/>
      <c r="Q174" s="196"/>
      <c r="R174" s="196"/>
      <c r="S174" s="196"/>
      <c r="T174" s="196"/>
      <c r="U174" s="196"/>
      <c r="V174" s="196"/>
      <c r="W174" s="196"/>
    </row>
    <row r="175" spans="1:23" ht="15" customHeight="1">
      <c r="A175" s="1169" t="str">
        <f>A5</f>
        <v>Vote 1 - EXECUTIVE MAYOR</v>
      </c>
      <c r="B175" s="1256"/>
      <c r="C175" s="1257">
        <f t="shared" ref="C175:K175" si="17">SUM(C176:C185)</f>
        <v>26012492.380000003</v>
      </c>
      <c r="D175" s="1257">
        <f t="shared" si="17"/>
        <v>270557182</v>
      </c>
      <c r="E175" s="1258">
        <f t="shared" si="17"/>
        <v>307056432</v>
      </c>
      <c r="F175" s="1259">
        <f t="shared" si="17"/>
        <v>121263819.11200002</v>
      </c>
      <c r="G175" s="1257">
        <f t="shared" si="17"/>
        <v>84096974</v>
      </c>
      <c r="H175" s="1260">
        <f t="shared" si="17"/>
        <v>84096974</v>
      </c>
      <c r="I175" s="1261">
        <f t="shared" si="17"/>
        <v>102242098</v>
      </c>
      <c r="J175" s="1257">
        <f t="shared" si="17"/>
        <v>107536567</v>
      </c>
      <c r="K175" s="1258">
        <f t="shared" si="17"/>
        <v>115168100</v>
      </c>
      <c r="L175" s="195"/>
      <c r="M175" s="196"/>
      <c r="N175" s="196"/>
      <c r="O175" s="196"/>
      <c r="P175" s="196"/>
      <c r="Q175" s="196"/>
      <c r="R175" s="196"/>
      <c r="S175" s="196"/>
      <c r="T175" s="196"/>
      <c r="U175" s="196"/>
      <c r="V175" s="196"/>
      <c r="W175" s="196"/>
    </row>
    <row r="176" spans="1:23" ht="11.25" customHeight="1">
      <c r="A176" s="1170" t="str">
        <f t="shared" ref="A176:A185" si="18">A6</f>
        <v>1.1 - 001 - OFFICE OF THE EXECUTIVE MAYOR</v>
      </c>
      <c r="B176" s="1046"/>
      <c r="C176" s="1615">
        <v>8003534.2400000002</v>
      </c>
      <c r="D176" s="1635">
        <v>22930980</v>
      </c>
      <c r="E176" s="1635">
        <v>12674252</v>
      </c>
      <c r="F176" s="2534">
        <v>18116474</v>
      </c>
      <c r="G176" s="1615">
        <v>14222656</v>
      </c>
      <c r="H176" s="1615">
        <v>14222656</v>
      </c>
      <c r="I176" s="2534">
        <v>16787620</v>
      </c>
      <c r="J176" s="1615">
        <v>15469782</v>
      </c>
      <c r="K176" s="1635">
        <v>16420502</v>
      </c>
      <c r="L176" s="195"/>
      <c r="M176" s="196"/>
      <c r="N176" s="196"/>
      <c r="O176" s="196"/>
      <c r="P176" s="196"/>
      <c r="Q176" s="196"/>
      <c r="R176" s="196"/>
      <c r="S176" s="196"/>
      <c r="T176" s="196"/>
      <c r="U176" s="196"/>
      <c r="V176" s="196"/>
      <c r="W176" s="196"/>
    </row>
    <row r="177" spans="1:23" ht="11.25" customHeight="1">
      <c r="A177" s="1170" t="str">
        <f t="shared" si="18"/>
        <v>1.2 - 002 - OFFICE OF THE SPEAKER</v>
      </c>
      <c r="B177" s="1046"/>
      <c r="C177" s="1615">
        <v>3683139.8999999994</v>
      </c>
      <c r="D177" s="1635">
        <v>4811784</v>
      </c>
      <c r="E177" s="1635">
        <v>8340166</v>
      </c>
      <c r="F177" s="2534">
        <v>8116087.6919999998</v>
      </c>
      <c r="G177" s="1615">
        <v>9089329</v>
      </c>
      <c r="H177" s="1615">
        <v>9089329</v>
      </c>
      <c r="I177" s="2534">
        <v>11289521</v>
      </c>
      <c r="J177" s="1615">
        <v>11704033</v>
      </c>
      <c r="K177" s="1635">
        <v>12138434</v>
      </c>
      <c r="L177" s="195"/>
      <c r="M177" s="196"/>
      <c r="N177" s="196"/>
      <c r="O177" s="196"/>
      <c r="P177" s="196"/>
      <c r="Q177" s="196"/>
      <c r="R177" s="196"/>
      <c r="S177" s="196"/>
      <c r="T177" s="196"/>
      <c r="U177" s="196"/>
      <c r="V177" s="196"/>
      <c r="W177" s="196"/>
    </row>
    <row r="178" spans="1:23" ht="11.25" customHeight="1">
      <c r="A178" s="1170" t="str">
        <f t="shared" si="18"/>
        <v>1.3 - 003 - MAYORAL COMMITTEE</v>
      </c>
      <c r="B178" s="1046"/>
      <c r="C178" s="1615">
        <v>5606217.4800000004</v>
      </c>
      <c r="D178" s="1635">
        <v>8396871</v>
      </c>
      <c r="E178" s="1635">
        <v>8528807</v>
      </c>
      <c r="F178" s="2534">
        <v>8526508.9240000006</v>
      </c>
      <c r="G178" s="1615">
        <v>9343554</v>
      </c>
      <c r="H178" s="1615">
        <v>9343554</v>
      </c>
      <c r="I178" s="2534">
        <v>9733056</v>
      </c>
      <c r="J178" s="1615">
        <v>10364813</v>
      </c>
      <c r="K178" s="1635">
        <v>11037589</v>
      </c>
      <c r="L178" s="195"/>
      <c r="M178" s="196"/>
      <c r="N178" s="196"/>
      <c r="O178" s="196"/>
      <c r="P178" s="196"/>
      <c r="Q178" s="196"/>
      <c r="R178" s="196"/>
      <c r="S178" s="196"/>
      <c r="T178" s="196"/>
      <c r="U178" s="196"/>
      <c r="V178" s="196"/>
      <c r="W178" s="196"/>
    </row>
    <row r="179" spans="1:23" ht="11.25" customHeight="1">
      <c r="A179" s="1170" t="str">
        <f t="shared" si="18"/>
        <v>1.4 - 004 - COUNCIL GENERAL</v>
      </c>
      <c r="B179" s="1046"/>
      <c r="C179" s="1615">
        <v>7017178</v>
      </c>
      <c r="D179" s="1635">
        <v>231972395</v>
      </c>
      <c r="E179" s="1635">
        <v>274750794</v>
      </c>
      <c r="F179" s="2534">
        <v>82617797.348000005</v>
      </c>
      <c r="G179" s="1615">
        <v>47443927</v>
      </c>
      <c r="H179" s="1615">
        <v>47443927</v>
      </c>
      <c r="I179" s="2534">
        <v>60160734</v>
      </c>
      <c r="J179" s="1615">
        <v>65464772</v>
      </c>
      <c r="K179" s="1635">
        <v>70758786</v>
      </c>
      <c r="L179" s="195"/>
      <c r="M179" s="196"/>
      <c r="N179" s="196"/>
      <c r="O179" s="196"/>
      <c r="P179" s="196"/>
      <c r="Q179" s="196"/>
      <c r="R179" s="196"/>
      <c r="S179" s="196"/>
      <c r="T179" s="196"/>
      <c r="U179" s="196"/>
      <c r="V179" s="196"/>
      <c r="W179" s="196"/>
    </row>
    <row r="180" spans="1:23" ht="11.25" customHeight="1">
      <c r="A180" s="1170" t="str">
        <f t="shared" si="18"/>
        <v>1.5 - 005 - OFFICE OF THE CHIEF WHIP</v>
      </c>
      <c r="B180" s="1046"/>
      <c r="C180" s="1615">
        <v>717526.40999999992</v>
      </c>
      <c r="D180" s="1635">
        <v>1464911</v>
      </c>
      <c r="E180" s="1635">
        <v>1698872</v>
      </c>
      <c r="F180" s="2534">
        <v>1730419.7219999998</v>
      </c>
      <c r="G180" s="1615">
        <v>2148131</v>
      </c>
      <c r="H180" s="1615">
        <v>2148131</v>
      </c>
      <c r="I180" s="2534">
        <v>2214749</v>
      </c>
      <c r="J180" s="1615">
        <v>2353629</v>
      </c>
      <c r="K180" s="1635">
        <v>2501306</v>
      </c>
      <c r="L180" s="195"/>
      <c r="M180" s="196"/>
      <c r="N180" s="196"/>
      <c r="O180" s="196"/>
      <c r="P180" s="196"/>
      <c r="Q180" s="196"/>
      <c r="R180" s="196"/>
      <c r="S180" s="196"/>
      <c r="T180" s="196"/>
      <c r="U180" s="196"/>
      <c r="V180" s="196"/>
      <c r="W180" s="196"/>
    </row>
    <row r="181" spans="1:23" ht="11.25" customHeight="1">
      <c r="A181" s="1170" t="str">
        <f t="shared" si="18"/>
        <v>1.6 - 006 - INTERGOVERNMENTAL RELATIONS</v>
      </c>
      <c r="B181" s="1046"/>
      <c r="C181" s="1615">
        <v>984896.35</v>
      </c>
      <c r="D181" s="1635">
        <v>980241</v>
      </c>
      <c r="E181" s="1635">
        <v>1063541</v>
      </c>
      <c r="F181" s="2534">
        <v>1255259.2960000001</v>
      </c>
      <c r="G181" s="1615">
        <v>1220537</v>
      </c>
      <c r="H181" s="1615">
        <v>1220537</v>
      </c>
      <c r="I181" s="2534">
        <v>1391273</v>
      </c>
      <c r="J181" s="1615">
        <v>1478452</v>
      </c>
      <c r="K181" s="1635">
        <v>1571382</v>
      </c>
      <c r="L181" s="195"/>
      <c r="M181" s="196"/>
      <c r="N181" s="196"/>
      <c r="O181" s="196"/>
      <c r="P181" s="196"/>
      <c r="Q181" s="196"/>
      <c r="R181" s="196"/>
      <c r="S181" s="196"/>
      <c r="T181" s="196"/>
      <c r="U181" s="196"/>
      <c r="V181" s="196"/>
      <c r="W181" s="196"/>
    </row>
    <row r="182" spans="1:23" ht="11.25" customHeight="1">
      <c r="A182" s="1170" t="s">
        <v>2467</v>
      </c>
      <c r="B182" s="1046"/>
      <c r="C182" s="1615">
        <v>0</v>
      </c>
      <c r="D182" s="1615">
        <v>0</v>
      </c>
      <c r="E182" s="1635">
        <v>0</v>
      </c>
      <c r="F182" s="1636">
        <v>901272.13</v>
      </c>
      <c r="G182" s="1615">
        <v>628840</v>
      </c>
      <c r="H182" s="1615">
        <v>628840</v>
      </c>
      <c r="I182" s="2534">
        <v>665145</v>
      </c>
      <c r="J182" s="1615">
        <v>701086</v>
      </c>
      <c r="K182" s="1635">
        <v>740101</v>
      </c>
      <c r="L182" s="195"/>
      <c r="M182" s="196"/>
      <c r="N182" s="196"/>
      <c r="O182" s="196"/>
      <c r="P182" s="196"/>
      <c r="Q182" s="196"/>
      <c r="R182" s="196"/>
      <c r="S182" s="196"/>
      <c r="T182" s="196"/>
      <c r="U182" s="196"/>
      <c r="V182" s="196"/>
      <c r="W182" s="196"/>
    </row>
    <row r="183" spans="1:23" ht="11.25" customHeight="1">
      <c r="A183" s="1170">
        <f t="shared" si="18"/>
        <v>0</v>
      </c>
      <c r="B183" s="1046"/>
      <c r="C183" s="1615"/>
      <c r="D183" s="1615"/>
      <c r="E183" s="1635"/>
      <c r="F183" s="1636"/>
      <c r="G183" s="1615"/>
      <c r="H183" s="1637"/>
      <c r="I183" s="2534"/>
      <c r="J183" s="1615"/>
      <c r="K183" s="1635"/>
      <c r="L183" s="195"/>
      <c r="M183" s="196"/>
      <c r="N183" s="196"/>
      <c r="O183" s="196"/>
      <c r="P183" s="196"/>
      <c r="Q183" s="196"/>
      <c r="R183" s="196"/>
      <c r="S183" s="196"/>
      <c r="T183" s="196"/>
      <c r="U183" s="196"/>
      <c r="V183" s="196"/>
      <c r="W183" s="196"/>
    </row>
    <row r="184" spans="1:23" ht="11.25" customHeight="1">
      <c r="A184" s="1170">
        <f t="shared" si="18"/>
        <v>0</v>
      </c>
      <c r="B184" s="1046"/>
      <c r="C184" s="1615"/>
      <c r="D184" s="1615"/>
      <c r="E184" s="1635"/>
      <c r="F184" s="1636"/>
      <c r="G184" s="1615"/>
      <c r="H184" s="1637"/>
      <c r="I184" s="2534"/>
      <c r="J184" s="1615"/>
      <c r="K184" s="1635"/>
      <c r="L184" s="195"/>
      <c r="M184" s="196"/>
      <c r="N184" s="196"/>
      <c r="O184" s="196"/>
      <c r="P184" s="196"/>
      <c r="Q184" s="196"/>
      <c r="R184" s="196"/>
      <c r="S184" s="196"/>
      <c r="T184" s="196"/>
      <c r="U184" s="196"/>
      <c r="V184" s="196"/>
      <c r="W184" s="196"/>
    </row>
    <row r="185" spans="1:23" ht="11.25" customHeight="1">
      <c r="A185" s="1170">
        <f t="shared" si="18"/>
        <v>0</v>
      </c>
      <c r="B185" s="1046"/>
      <c r="C185" s="1615"/>
      <c r="D185" s="1615"/>
      <c r="E185" s="1635"/>
      <c r="F185" s="1636"/>
      <c r="G185" s="1615"/>
      <c r="H185" s="1637"/>
      <c r="I185" s="2534"/>
      <c r="J185" s="1615"/>
      <c r="K185" s="1635"/>
      <c r="L185" s="195"/>
      <c r="M185" s="196"/>
      <c r="N185" s="196"/>
      <c r="O185" s="196"/>
      <c r="P185" s="196"/>
      <c r="Q185" s="196"/>
      <c r="R185" s="196"/>
      <c r="S185" s="196"/>
      <c r="T185" s="196"/>
      <c r="U185" s="196"/>
      <c r="V185" s="196"/>
      <c r="W185" s="196"/>
    </row>
    <row r="186" spans="1:23" ht="15" customHeight="1">
      <c r="A186" s="1169" t="str">
        <f>A16</f>
        <v>Vote 2 - MUNICIPAL MANAGER</v>
      </c>
      <c r="B186" s="1058"/>
      <c r="C186" s="976">
        <f>SUM(C187:C198)</f>
        <v>78191285.139999986</v>
      </c>
      <c r="D186" s="976">
        <f>SUM(D187:D198)</f>
        <v>43654562</v>
      </c>
      <c r="E186" s="977">
        <f t="shared" ref="E186:K186" si="19">SUM(E187:E198)</f>
        <v>34708027</v>
      </c>
      <c r="F186" s="978">
        <f t="shared" si="19"/>
        <v>65140953.824000001</v>
      </c>
      <c r="G186" s="976">
        <f t="shared" si="19"/>
        <v>117089130</v>
      </c>
      <c r="H186" s="979">
        <f t="shared" si="19"/>
        <v>117089130</v>
      </c>
      <c r="I186" s="980">
        <f>SUM(I187:I198)</f>
        <v>70314287</v>
      </c>
      <c r="J186" s="976">
        <f t="shared" si="19"/>
        <v>53576580</v>
      </c>
      <c r="K186" s="977">
        <f t="shared" si="19"/>
        <v>56467576</v>
      </c>
      <c r="L186" s="208"/>
      <c r="M186" s="209"/>
      <c r="N186" s="209"/>
      <c r="O186" s="209"/>
      <c r="P186" s="209"/>
      <c r="Q186" s="209"/>
      <c r="R186" s="209"/>
      <c r="S186" s="209"/>
      <c r="T186" s="209"/>
      <c r="U186" s="209"/>
      <c r="V186" s="209"/>
      <c r="W186" s="209"/>
    </row>
    <row r="187" spans="1:23" ht="11.25" customHeight="1">
      <c r="A187" s="1170" t="str">
        <f t="shared" ref="A187:A195" si="20">A17</f>
        <v>2.1 - 010 - OFFICE OF THE MUNICIPAL MANAGER</v>
      </c>
      <c r="B187" s="1046"/>
      <c r="C187" s="1615">
        <v>7223206</v>
      </c>
      <c r="D187" s="1635">
        <v>13924914</v>
      </c>
      <c r="E187" s="1635">
        <v>7355368</v>
      </c>
      <c r="F187" s="2534">
        <v>27957742.346000001</v>
      </c>
      <c r="G187" s="1615">
        <v>52934573</v>
      </c>
      <c r="H187" s="1615">
        <v>52934573</v>
      </c>
      <c r="I187" s="2534">
        <v>11947228</v>
      </c>
      <c r="J187" s="1615">
        <v>12710346</v>
      </c>
      <c r="K187" s="1635">
        <v>13523725</v>
      </c>
      <c r="L187" s="208"/>
      <c r="M187" s="209"/>
      <c r="N187" s="209"/>
      <c r="O187" s="209"/>
      <c r="P187" s="209"/>
      <c r="Q187" s="209"/>
      <c r="R187" s="209"/>
      <c r="S187" s="209"/>
      <c r="T187" s="209"/>
      <c r="U187" s="209"/>
      <c r="V187" s="209"/>
      <c r="W187" s="209"/>
    </row>
    <row r="188" spans="1:23" ht="11.25" customHeight="1">
      <c r="A188" s="1170" t="str">
        <f t="shared" si="20"/>
        <v>2.2 - 011 - INTERNAL AUDITING</v>
      </c>
      <c r="B188" s="1046"/>
      <c r="C188" s="1615">
        <v>2379803</v>
      </c>
      <c r="D188" s="1635">
        <v>2213003</v>
      </c>
      <c r="E188" s="1635">
        <v>2921814</v>
      </c>
      <c r="F188" s="2534">
        <v>3980735.6839999994</v>
      </c>
      <c r="G188" s="1615">
        <v>5665984</v>
      </c>
      <c r="H188" s="1615">
        <v>5665984</v>
      </c>
      <c r="I188" s="2534">
        <v>4360799</v>
      </c>
      <c r="J188" s="1615">
        <v>2700518</v>
      </c>
      <c r="K188" s="1635">
        <v>2760947</v>
      </c>
      <c r="L188" s="208"/>
      <c r="M188" s="209"/>
      <c r="N188" s="209"/>
      <c r="O188" s="209"/>
      <c r="P188" s="209"/>
      <c r="Q188" s="209"/>
      <c r="R188" s="209"/>
      <c r="S188" s="209"/>
      <c r="T188" s="209"/>
      <c r="U188" s="209"/>
      <c r="V188" s="209"/>
      <c r="W188" s="209"/>
    </row>
    <row r="189" spans="1:23" ht="11.25" customHeight="1">
      <c r="A189" s="1170" t="str">
        <f t="shared" si="20"/>
        <v>2.3 - 012 - INTEGRATED DEVELOPMENT PLAN (IDP)</v>
      </c>
      <c r="B189" s="1046"/>
      <c r="C189" s="1615">
        <v>914202</v>
      </c>
      <c r="D189" s="1635">
        <v>955342</v>
      </c>
      <c r="E189" s="1635">
        <v>2349574</v>
      </c>
      <c r="F189" s="2534">
        <v>2761925.4879999999</v>
      </c>
      <c r="G189" s="1615">
        <v>4569632</v>
      </c>
      <c r="H189" s="1615">
        <v>4569632</v>
      </c>
      <c r="I189" s="2534">
        <v>3061415</v>
      </c>
      <c r="J189" s="1615">
        <v>3235535</v>
      </c>
      <c r="K189" s="1635">
        <v>3419238</v>
      </c>
      <c r="L189" s="208"/>
      <c r="M189" s="209"/>
      <c r="N189" s="209"/>
      <c r="O189" s="209"/>
      <c r="P189" s="209"/>
      <c r="Q189" s="209"/>
      <c r="R189" s="209"/>
      <c r="S189" s="209"/>
      <c r="T189" s="209"/>
      <c r="U189" s="209"/>
      <c r="V189" s="209"/>
      <c r="W189" s="209"/>
    </row>
    <row r="190" spans="1:23" ht="11.25" customHeight="1">
      <c r="A190" s="1170" t="str">
        <f t="shared" si="20"/>
        <v>2.4 - 013 - CORPORATE ADVISORY</v>
      </c>
      <c r="B190" s="1046"/>
      <c r="C190" s="1615">
        <v>342788</v>
      </c>
      <c r="D190" s="1635">
        <v>33479</v>
      </c>
      <c r="E190" s="1635">
        <v>43471</v>
      </c>
      <c r="F190" s="2534">
        <v>562325.03</v>
      </c>
      <c r="G190" s="1615">
        <v>562326</v>
      </c>
      <c r="H190" s="1615">
        <v>562326</v>
      </c>
      <c r="I190" s="2534">
        <v>475013</v>
      </c>
      <c r="J190" s="1615">
        <v>504989</v>
      </c>
      <c r="K190" s="1635">
        <v>536913</v>
      </c>
      <c r="L190" s="208"/>
      <c r="M190" s="209"/>
      <c r="N190" s="209"/>
      <c r="O190" s="209"/>
      <c r="P190" s="209"/>
      <c r="Q190" s="209"/>
      <c r="R190" s="209"/>
      <c r="S190" s="209"/>
      <c r="T190" s="209"/>
      <c r="U190" s="209"/>
      <c r="V190" s="209"/>
      <c r="W190" s="209"/>
    </row>
    <row r="191" spans="1:23" ht="11.25" customHeight="1">
      <c r="A191" s="1170" t="str">
        <f t="shared" si="20"/>
        <v>2.5 - 014 - PERFORMANCE MANAGEMENT SYSTEM</v>
      </c>
      <c r="B191" s="1046"/>
      <c r="C191" s="1615">
        <v>25210</v>
      </c>
      <c r="D191" s="1635">
        <v>19961</v>
      </c>
      <c r="E191" s="1635">
        <v>17995</v>
      </c>
      <c r="F191" s="2534">
        <v>1250541.0860000001</v>
      </c>
      <c r="G191" s="1615">
        <v>1847972</v>
      </c>
      <c r="H191" s="1615">
        <v>1847972</v>
      </c>
      <c r="I191" s="2534">
        <v>1303989</v>
      </c>
      <c r="J191" s="1615">
        <v>1383015</v>
      </c>
      <c r="K191" s="1635">
        <v>1466531</v>
      </c>
      <c r="L191" s="208"/>
      <c r="M191" s="209"/>
      <c r="N191" s="209"/>
      <c r="O191" s="209"/>
      <c r="P191" s="209"/>
      <c r="Q191" s="209"/>
      <c r="R191" s="209"/>
      <c r="S191" s="209"/>
      <c r="T191" s="209"/>
      <c r="U191" s="209"/>
      <c r="V191" s="209"/>
      <c r="W191" s="209"/>
    </row>
    <row r="192" spans="1:23" ht="11.25" customHeight="1">
      <c r="A192" s="1170" t="str">
        <f t="shared" si="20"/>
        <v>2.6 - 015 - INFORMATION TECHNOLOGY</v>
      </c>
      <c r="B192" s="1046"/>
      <c r="C192" s="1615">
        <v>0</v>
      </c>
      <c r="D192" s="1635">
        <v>0</v>
      </c>
      <c r="E192" s="1635">
        <v>0</v>
      </c>
      <c r="F192" s="2534">
        <v>0</v>
      </c>
      <c r="G192" s="1615">
        <v>0</v>
      </c>
      <c r="H192" s="1615">
        <v>0</v>
      </c>
      <c r="I192" s="2534">
        <v>0</v>
      </c>
      <c r="J192" s="1615">
        <v>0</v>
      </c>
      <c r="K192" s="1635">
        <v>0</v>
      </c>
      <c r="L192" s="208"/>
      <c r="M192" s="209"/>
      <c r="N192" s="209"/>
      <c r="O192" s="209"/>
      <c r="P192" s="209"/>
      <c r="Q192" s="209"/>
      <c r="R192" s="209"/>
      <c r="S192" s="209"/>
      <c r="T192" s="209"/>
      <c r="U192" s="209"/>
      <c r="V192" s="209"/>
      <c r="W192" s="209"/>
    </row>
    <row r="193" spans="1:23" ht="11.25" customHeight="1">
      <c r="A193" s="1170" t="str">
        <f t="shared" si="20"/>
        <v>2.7 - 016 - COORDINATOR 2010</v>
      </c>
      <c r="B193" s="1046"/>
      <c r="C193" s="1615">
        <v>61764429.479999997</v>
      </c>
      <c r="D193" s="1635">
        <v>18133299</v>
      </c>
      <c r="E193" s="1635">
        <v>79422</v>
      </c>
      <c r="F193" s="2534">
        <v>75853</v>
      </c>
      <c r="G193" s="1615">
        <v>75853</v>
      </c>
      <c r="H193" s="1615">
        <v>75853</v>
      </c>
      <c r="I193" s="2534">
        <v>0</v>
      </c>
      <c r="J193" s="1615">
        <v>0</v>
      </c>
      <c r="K193" s="1635">
        <v>0</v>
      </c>
      <c r="L193" s="208"/>
      <c r="M193" s="209"/>
      <c r="N193" s="209"/>
      <c r="O193" s="209"/>
      <c r="P193" s="209"/>
      <c r="Q193" s="209"/>
      <c r="R193" s="209"/>
      <c r="S193" s="209"/>
      <c r="T193" s="209"/>
      <c r="U193" s="209"/>
      <c r="V193" s="209"/>
      <c r="W193" s="209"/>
    </row>
    <row r="194" spans="1:23" ht="11.25" customHeight="1">
      <c r="A194" s="1170" t="str">
        <f t="shared" si="20"/>
        <v>2.8 - 017 - REGIONAL COMMUNITY CENTRES</v>
      </c>
      <c r="B194" s="1046"/>
      <c r="C194" s="1615">
        <v>3522145.22</v>
      </c>
      <c r="D194" s="1635">
        <v>4555978</v>
      </c>
      <c r="E194" s="1635">
        <v>4769233</v>
      </c>
      <c r="F194" s="2534">
        <v>5255961.5940000005</v>
      </c>
      <c r="G194" s="1615">
        <v>5174668</v>
      </c>
      <c r="H194" s="1615">
        <v>5174668</v>
      </c>
      <c r="I194" s="2534">
        <v>5741550</v>
      </c>
      <c r="J194" s="1615">
        <v>6105825</v>
      </c>
      <c r="K194" s="1635">
        <v>6496874</v>
      </c>
      <c r="L194" s="208"/>
      <c r="M194" s="209"/>
      <c r="N194" s="209"/>
      <c r="O194" s="209"/>
      <c r="P194" s="209"/>
      <c r="Q194" s="209"/>
      <c r="R194" s="209"/>
      <c r="S194" s="209"/>
      <c r="T194" s="209"/>
      <c r="U194" s="209"/>
      <c r="V194" s="209"/>
      <c r="W194" s="209"/>
    </row>
    <row r="195" spans="1:23" ht="11.25" customHeight="1">
      <c r="A195" s="1170" t="str">
        <f t="shared" si="20"/>
        <v>2.9 - 018 - PROJECT MANAGEMENT UNIT</v>
      </c>
      <c r="B195" s="1046"/>
      <c r="C195" s="1615">
        <v>2019501.44</v>
      </c>
      <c r="D195" s="1635">
        <v>3818586</v>
      </c>
      <c r="E195" s="1635">
        <v>16575176</v>
      </c>
      <c r="F195" s="2534">
        <v>12242991.595999999</v>
      </c>
      <c r="G195" s="1615">
        <v>15376496</v>
      </c>
      <c r="H195" s="1615">
        <v>15376496</v>
      </c>
      <c r="I195" s="2534">
        <v>13778302</v>
      </c>
      <c r="J195" s="1615">
        <v>6152424</v>
      </c>
      <c r="K195" s="1635">
        <v>6534996</v>
      </c>
      <c r="L195" s="208"/>
      <c r="M195" s="209"/>
      <c r="N195" s="209"/>
      <c r="O195" s="209"/>
      <c r="P195" s="209"/>
      <c r="Q195" s="209"/>
      <c r="R195" s="209"/>
      <c r="S195" s="209"/>
      <c r="T195" s="209"/>
      <c r="U195" s="209"/>
      <c r="V195" s="209"/>
      <c r="W195" s="209"/>
    </row>
    <row r="196" spans="1:23" ht="11.25" customHeight="1">
      <c r="A196" s="1170" t="s">
        <v>2463</v>
      </c>
      <c r="B196" s="1046"/>
      <c r="C196" s="1615">
        <v>0</v>
      </c>
      <c r="D196" s="1637">
        <v>0</v>
      </c>
      <c r="E196" s="1635">
        <v>0</v>
      </c>
      <c r="F196" s="2534">
        <v>7517389</v>
      </c>
      <c r="G196" s="1615">
        <v>15482836</v>
      </c>
      <c r="H196" s="1637">
        <v>15482836</v>
      </c>
      <c r="I196" s="2534">
        <v>3205165</v>
      </c>
      <c r="J196" s="1615">
        <v>3451263</v>
      </c>
      <c r="K196" s="1635">
        <v>3713580</v>
      </c>
      <c r="L196" s="208"/>
      <c r="M196" s="209"/>
      <c r="N196" s="209"/>
      <c r="O196" s="209"/>
      <c r="P196" s="209"/>
      <c r="Q196" s="209"/>
      <c r="R196" s="209"/>
      <c r="S196" s="209"/>
      <c r="T196" s="209"/>
      <c r="U196" s="209"/>
      <c r="V196" s="209"/>
      <c r="W196" s="209"/>
    </row>
    <row r="197" spans="1:23" ht="11.25" customHeight="1">
      <c r="A197" s="1170" t="s">
        <v>2464</v>
      </c>
      <c r="B197" s="1046"/>
      <c r="C197" s="1615">
        <v>0</v>
      </c>
      <c r="D197" s="1637">
        <v>0</v>
      </c>
      <c r="E197" s="1635">
        <v>595974</v>
      </c>
      <c r="F197" s="2534">
        <v>3535489</v>
      </c>
      <c r="G197" s="1615">
        <v>15398790</v>
      </c>
      <c r="H197" s="1637">
        <v>15398790</v>
      </c>
      <c r="I197" s="2534">
        <v>26440826</v>
      </c>
      <c r="J197" s="1615">
        <v>17332665</v>
      </c>
      <c r="K197" s="1635">
        <v>18014772</v>
      </c>
      <c r="L197" s="208"/>
      <c r="M197" s="209"/>
      <c r="N197" s="209"/>
      <c r="O197" s="209"/>
      <c r="P197" s="209"/>
      <c r="Q197" s="209"/>
      <c r="R197" s="209"/>
      <c r="S197" s="209"/>
      <c r="T197" s="209"/>
      <c r="U197" s="209"/>
      <c r="V197" s="209"/>
      <c r="W197" s="209"/>
    </row>
    <row r="198" spans="1:23" ht="11.25" customHeight="1">
      <c r="A198" s="1170" t="str">
        <f>A28</f>
        <v>2.10 - 019 - OFFICE OF THE CHIEF OPERATIONS OFFICER</v>
      </c>
      <c r="B198" s="1046"/>
      <c r="C198" s="1615"/>
      <c r="D198" s="1615"/>
      <c r="E198" s="1635"/>
      <c r="F198" s="2534"/>
      <c r="G198" s="1615"/>
      <c r="H198" s="1637"/>
      <c r="I198" s="2534"/>
      <c r="J198" s="1615"/>
      <c r="K198" s="1635"/>
      <c r="L198" s="208"/>
      <c r="M198" s="209"/>
      <c r="N198" s="209"/>
      <c r="O198" s="209"/>
      <c r="P198" s="209"/>
      <c r="Q198" s="209"/>
      <c r="R198" s="209"/>
      <c r="S198" s="209"/>
      <c r="T198" s="209"/>
      <c r="U198" s="209"/>
      <c r="V198" s="209"/>
      <c r="W198" s="209"/>
    </row>
    <row r="199" spans="1:23" ht="15" customHeight="1">
      <c r="A199" s="1169" t="str">
        <f t="shared" ref="A199:A210" si="21">A29</f>
        <v>Vote 3 - CORPORATE SUPPORT SERVICES</v>
      </c>
      <c r="B199" s="1058"/>
      <c r="C199" s="976">
        <f t="shared" ref="C199:K199" si="22">SUM(C200:C209)</f>
        <v>36262038</v>
      </c>
      <c r="D199" s="976">
        <f t="shared" si="22"/>
        <v>41107129</v>
      </c>
      <c r="E199" s="977">
        <f t="shared" si="22"/>
        <v>60346316</v>
      </c>
      <c r="F199" s="978">
        <f t="shared" si="22"/>
        <v>55659400.594000004</v>
      </c>
      <c r="G199" s="976">
        <f t="shared" si="22"/>
        <v>82977121</v>
      </c>
      <c r="H199" s="979">
        <f t="shared" si="22"/>
        <v>82977121</v>
      </c>
      <c r="I199" s="980">
        <f t="shared" si="22"/>
        <v>76475825</v>
      </c>
      <c r="J199" s="976">
        <f t="shared" si="22"/>
        <v>80691506</v>
      </c>
      <c r="K199" s="977">
        <f t="shared" si="22"/>
        <v>85291148</v>
      </c>
      <c r="L199" s="208"/>
      <c r="M199" s="209"/>
      <c r="N199" s="209"/>
      <c r="O199" s="209"/>
      <c r="P199" s="209"/>
      <c r="Q199" s="209"/>
      <c r="R199" s="209"/>
      <c r="S199" s="209"/>
      <c r="T199" s="209"/>
      <c r="U199" s="209"/>
      <c r="V199" s="209"/>
      <c r="W199" s="209"/>
    </row>
    <row r="200" spans="1:23" ht="11.25" customHeight="1">
      <c r="A200" s="1170" t="str">
        <f t="shared" si="21"/>
        <v>3.1 - 020 - OFFICE OF THE DIRECTOR CORPORATE SUPPORT SERVICES</v>
      </c>
      <c r="B200" s="1046"/>
      <c r="C200" s="1615">
        <v>1544897</v>
      </c>
      <c r="D200" s="1635">
        <v>1718554</v>
      </c>
      <c r="E200" s="1635">
        <v>1911327</v>
      </c>
      <c r="F200" s="2534">
        <v>2831318.5479999995</v>
      </c>
      <c r="G200" s="1615">
        <v>3204052</v>
      </c>
      <c r="H200" s="1615">
        <v>3204052</v>
      </c>
      <c r="I200" s="2534">
        <v>2876519</v>
      </c>
      <c r="J200" s="1615">
        <v>3059696</v>
      </c>
      <c r="K200" s="1635">
        <v>3254732</v>
      </c>
      <c r="L200" s="208"/>
      <c r="M200" s="209"/>
      <c r="N200" s="209"/>
      <c r="O200" s="209"/>
      <c r="P200" s="209"/>
      <c r="Q200" s="209"/>
      <c r="R200" s="209"/>
      <c r="S200" s="209"/>
      <c r="T200" s="209"/>
      <c r="U200" s="209"/>
      <c r="V200" s="209"/>
      <c r="W200" s="209"/>
    </row>
    <row r="201" spans="1:23" ht="11.25" customHeight="1">
      <c r="A201" s="1170" t="str">
        <f t="shared" si="21"/>
        <v>3.2 - 025 - ADMINISTRATIVE SUPPORT</v>
      </c>
      <c r="B201" s="1046"/>
      <c r="C201" s="1615">
        <v>16169998</v>
      </c>
      <c r="D201" s="1635">
        <v>18496052</v>
      </c>
      <c r="E201" s="1635">
        <v>28475352</v>
      </c>
      <c r="F201" s="2534">
        <v>24342261.532000002</v>
      </c>
      <c r="G201" s="1615">
        <v>37994844</v>
      </c>
      <c r="H201" s="1615">
        <v>37994844</v>
      </c>
      <c r="I201" s="2534">
        <v>36319683</v>
      </c>
      <c r="J201" s="1615">
        <v>38413142</v>
      </c>
      <c r="K201" s="1635">
        <v>40651764</v>
      </c>
      <c r="L201" s="208"/>
      <c r="M201" s="209"/>
      <c r="N201" s="209"/>
      <c r="O201" s="209"/>
      <c r="P201" s="209"/>
      <c r="Q201" s="209"/>
      <c r="R201" s="209"/>
      <c r="S201" s="209"/>
      <c r="T201" s="209"/>
      <c r="U201" s="209"/>
      <c r="V201" s="209"/>
      <c r="W201" s="209"/>
    </row>
    <row r="202" spans="1:23" ht="11.25" customHeight="1">
      <c r="A202" s="1170" t="str">
        <f t="shared" si="21"/>
        <v>3.3 - 030 - HUMAN RESOURCE MANAGEMENT</v>
      </c>
      <c r="B202" s="1046"/>
      <c r="C202" s="1615">
        <v>10261737</v>
      </c>
      <c r="D202" s="1635">
        <v>11991211</v>
      </c>
      <c r="E202" s="1635">
        <v>15809930</v>
      </c>
      <c r="F202" s="2534">
        <v>14595526.116</v>
      </c>
      <c r="G202" s="1615">
        <v>21002783</v>
      </c>
      <c r="H202" s="1615">
        <v>21002783</v>
      </c>
      <c r="I202" s="2534">
        <v>18054111</v>
      </c>
      <c r="J202" s="1615">
        <v>19126966</v>
      </c>
      <c r="K202" s="1635">
        <v>20123771</v>
      </c>
      <c r="L202" s="208"/>
      <c r="M202" s="209"/>
      <c r="N202" s="209"/>
      <c r="O202" s="209"/>
      <c r="P202" s="209"/>
      <c r="Q202" s="209"/>
      <c r="R202" s="209"/>
      <c r="S202" s="209"/>
      <c r="T202" s="209"/>
      <c r="U202" s="209"/>
      <c r="V202" s="209"/>
      <c r="W202" s="209"/>
    </row>
    <row r="203" spans="1:23" ht="11.25" customHeight="1">
      <c r="A203" s="1170" t="str">
        <f t="shared" si="21"/>
        <v>3.4 - 050 - LEGAL AND VALUATION SERVICES</v>
      </c>
      <c r="B203" s="1046"/>
      <c r="C203" s="1615">
        <v>4357014</v>
      </c>
      <c r="D203" s="1635">
        <v>4911124</v>
      </c>
      <c r="E203" s="1635">
        <v>7272348</v>
      </c>
      <c r="F203" s="2534">
        <v>7331367.0079999994</v>
      </c>
      <c r="G203" s="1615">
        <v>11077893</v>
      </c>
      <c r="H203" s="1615">
        <v>11077893</v>
      </c>
      <c r="I203" s="2534">
        <v>9058771</v>
      </c>
      <c r="J203" s="1615">
        <v>9585378</v>
      </c>
      <c r="K203" s="1635">
        <v>10149317</v>
      </c>
      <c r="L203" s="208"/>
      <c r="M203" s="209"/>
      <c r="N203" s="209"/>
      <c r="O203" s="209"/>
      <c r="P203" s="209"/>
      <c r="Q203" s="209"/>
      <c r="R203" s="209"/>
      <c r="S203" s="209"/>
      <c r="T203" s="209"/>
      <c r="U203" s="209"/>
      <c r="V203" s="209"/>
      <c r="W203" s="209"/>
    </row>
    <row r="204" spans="1:23" ht="11.25" customHeight="1">
      <c r="A204" s="1170" t="str">
        <f t="shared" si="21"/>
        <v>3.5 - 015 - INFORMATION TECHNOLOGY</v>
      </c>
      <c r="B204" s="1046"/>
      <c r="C204" s="1615">
        <v>3928392</v>
      </c>
      <c r="D204" s="1615">
        <v>3990188</v>
      </c>
      <c r="E204" s="1635">
        <v>6877359</v>
      </c>
      <c r="F204" s="1636">
        <v>6558927.3899999997</v>
      </c>
      <c r="G204" s="1615">
        <v>9697549</v>
      </c>
      <c r="H204" s="1637">
        <v>9697549</v>
      </c>
      <c r="I204" s="2534">
        <v>10166741</v>
      </c>
      <c r="J204" s="1615">
        <v>10506324</v>
      </c>
      <c r="K204" s="1635">
        <v>11111564</v>
      </c>
      <c r="L204" s="208"/>
      <c r="M204" s="209"/>
      <c r="N204" s="209"/>
      <c r="O204" s="209"/>
      <c r="P204" s="209"/>
      <c r="Q204" s="209"/>
      <c r="R204" s="209"/>
      <c r="S204" s="209"/>
      <c r="T204" s="209"/>
      <c r="U204" s="209"/>
      <c r="V204" s="209"/>
      <c r="W204" s="209"/>
    </row>
    <row r="205" spans="1:23" ht="11.25" customHeight="1">
      <c r="A205" s="1170">
        <f t="shared" si="21"/>
        <v>0</v>
      </c>
      <c r="B205" s="1046"/>
      <c r="C205" s="1053"/>
      <c r="D205" s="1053"/>
      <c r="E205" s="1054"/>
      <c r="F205" s="1055"/>
      <c r="G205" s="1053"/>
      <c r="H205" s="1056"/>
      <c r="I205" s="1057"/>
      <c r="J205" s="1053"/>
      <c r="K205" s="1054"/>
      <c r="L205" s="208"/>
      <c r="M205" s="209"/>
      <c r="N205" s="209"/>
      <c r="O205" s="209"/>
      <c r="P205" s="209"/>
      <c r="Q205" s="209"/>
      <c r="R205" s="209"/>
      <c r="S205" s="209"/>
      <c r="T205" s="209"/>
      <c r="U205" s="209"/>
      <c r="V205" s="209"/>
      <c r="W205" s="209"/>
    </row>
    <row r="206" spans="1:23" ht="11.25" customHeight="1">
      <c r="A206" s="1170">
        <f t="shared" si="21"/>
        <v>0</v>
      </c>
      <c r="B206" s="1046"/>
      <c r="C206" s="1053"/>
      <c r="D206" s="1053"/>
      <c r="E206" s="1054"/>
      <c r="F206" s="1055"/>
      <c r="G206" s="1053"/>
      <c r="H206" s="1056"/>
      <c r="I206" s="1057"/>
      <c r="J206" s="1053"/>
      <c r="K206" s="1054"/>
      <c r="L206" s="208"/>
      <c r="M206" s="209"/>
      <c r="N206" s="209"/>
      <c r="O206" s="209"/>
      <c r="P206" s="209"/>
      <c r="Q206" s="209"/>
      <c r="R206" s="209"/>
      <c r="S206" s="209"/>
      <c r="T206" s="209"/>
      <c r="U206" s="209"/>
      <c r="V206" s="209"/>
      <c r="W206" s="209"/>
    </row>
    <row r="207" spans="1:23" ht="11.25" customHeight="1">
      <c r="A207" s="1170">
        <f t="shared" si="21"/>
        <v>0</v>
      </c>
      <c r="B207" s="1046"/>
      <c r="C207" s="1053"/>
      <c r="D207" s="1053"/>
      <c r="E207" s="1054"/>
      <c r="F207" s="1055"/>
      <c r="G207" s="1053"/>
      <c r="H207" s="1056"/>
      <c r="I207" s="1057"/>
      <c r="J207" s="1053"/>
      <c r="K207" s="1054"/>
      <c r="L207" s="208"/>
      <c r="M207" s="209"/>
      <c r="N207" s="209"/>
      <c r="O207" s="209"/>
      <c r="P207" s="209"/>
      <c r="Q207" s="209"/>
      <c r="R207" s="209"/>
      <c r="S207" s="209"/>
      <c r="T207" s="209"/>
      <c r="U207" s="209"/>
      <c r="V207" s="209"/>
      <c r="W207" s="209"/>
    </row>
    <row r="208" spans="1:23" ht="11.25" customHeight="1">
      <c r="A208" s="1170">
        <f t="shared" si="21"/>
        <v>0</v>
      </c>
      <c r="B208" s="1046"/>
      <c r="C208" s="1053"/>
      <c r="D208" s="1053"/>
      <c r="E208" s="1054"/>
      <c r="F208" s="1055"/>
      <c r="G208" s="1053"/>
      <c r="H208" s="1056"/>
      <c r="I208" s="1057"/>
      <c r="J208" s="1053"/>
      <c r="K208" s="1054"/>
      <c r="L208" s="208"/>
      <c r="M208" s="209"/>
      <c r="N208" s="209"/>
      <c r="O208" s="209"/>
      <c r="P208" s="209"/>
      <c r="Q208" s="209"/>
      <c r="R208" s="209"/>
      <c r="S208" s="209"/>
      <c r="T208" s="209"/>
      <c r="U208" s="209"/>
      <c r="V208" s="209"/>
      <c r="W208" s="209"/>
    </row>
    <row r="209" spans="1:23" ht="11.25" customHeight="1">
      <c r="A209" s="1170">
        <f t="shared" si="21"/>
        <v>0</v>
      </c>
      <c r="B209" s="1046"/>
      <c r="C209" s="1053"/>
      <c r="D209" s="1053"/>
      <c r="E209" s="1054"/>
      <c r="F209" s="1055"/>
      <c r="G209" s="1053"/>
      <c r="H209" s="1056"/>
      <c r="I209" s="1057"/>
      <c r="J209" s="1053"/>
      <c r="K209" s="1054"/>
      <c r="L209" s="208"/>
      <c r="M209" s="209"/>
      <c r="N209" s="209"/>
      <c r="O209" s="209"/>
      <c r="P209" s="209"/>
      <c r="Q209" s="209"/>
      <c r="R209" s="209"/>
      <c r="S209" s="209"/>
      <c r="T209" s="209"/>
      <c r="U209" s="209"/>
      <c r="V209" s="209"/>
      <c r="W209" s="209"/>
    </row>
    <row r="210" spans="1:23" ht="15" customHeight="1">
      <c r="A210" s="1169" t="str">
        <f t="shared" si="21"/>
        <v>Vote 4 - BUDGET AND TREASURY OFFICE</v>
      </c>
      <c r="B210" s="1058"/>
      <c r="C210" s="976">
        <f t="shared" ref="C210:K210" si="23">SUM(C211:C220)</f>
        <v>39277060</v>
      </c>
      <c r="D210" s="976">
        <f t="shared" si="23"/>
        <v>53757028</v>
      </c>
      <c r="E210" s="977">
        <f t="shared" si="23"/>
        <v>64968196</v>
      </c>
      <c r="F210" s="978">
        <f t="shared" si="23"/>
        <v>116709879.56999999</v>
      </c>
      <c r="G210" s="976">
        <f t="shared" si="23"/>
        <v>141438139</v>
      </c>
      <c r="H210" s="979">
        <f t="shared" si="23"/>
        <v>141438139</v>
      </c>
      <c r="I210" s="980">
        <f t="shared" si="23"/>
        <v>182074109</v>
      </c>
      <c r="J210" s="976">
        <f t="shared" si="23"/>
        <v>174164237</v>
      </c>
      <c r="K210" s="977">
        <f t="shared" si="23"/>
        <v>165641919</v>
      </c>
      <c r="L210" s="208"/>
      <c r="M210" s="209"/>
      <c r="N210" s="209"/>
      <c r="O210" s="209"/>
      <c r="P210" s="209"/>
      <c r="Q210" s="209"/>
      <c r="R210" s="209"/>
      <c r="S210" s="209"/>
      <c r="T210" s="209"/>
      <c r="U210" s="209"/>
      <c r="V210" s="209"/>
      <c r="W210" s="209"/>
    </row>
    <row r="211" spans="1:23" ht="11.25" customHeight="1">
      <c r="A211" s="1170" t="str">
        <f t="shared" ref="A211:A220" si="24">A41</f>
        <v>4.1 - 070 - OFFICE OF THE DIRECTOR BUDGET AND TREASURY</v>
      </c>
      <c r="B211" s="1046"/>
      <c r="C211" s="1053">
        <v>1482477</v>
      </c>
      <c r="D211" s="1054">
        <v>2636237</v>
      </c>
      <c r="E211" s="1054">
        <v>2125333</v>
      </c>
      <c r="F211" s="1617">
        <v>3392285.1440000003</v>
      </c>
      <c r="G211" s="1053">
        <v>8163420</v>
      </c>
      <c r="H211" s="1053">
        <v>8163420</v>
      </c>
      <c r="I211" s="1057">
        <v>9406485</v>
      </c>
      <c r="J211" s="1053">
        <v>9928092</v>
      </c>
      <c r="K211" s="1054">
        <v>10478058</v>
      </c>
      <c r="L211" s="208"/>
      <c r="M211" s="209"/>
      <c r="N211" s="209"/>
      <c r="O211" s="209"/>
      <c r="P211" s="209"/>
      <c r="Q211" s="209"/>
      <c r="R211" s="209"/>
      <c r="S211" s="209"/>
      <c r="T211" s="209"/>
      <c r="U211" s="209"/>
      <c r="V211" s="209"/>
      <c r="W211" s="209"/>
    </row>
    <row r="212" spans="1:23" ht="11.25" customHeight="1">
      <c r="A212" s="1170" t="str">
        <f t="shared" si="24"/>
        <v>4.2 - 075 - ACCOUNTING SERVICES</v>
      </c>
      <c r="B212" s="1046"/>
      <c r="C212" s="1053">
        <v>22160934</v>
      </c>
      <c r="D212" s="1054">
        <v>28756290</v>
      </c>
      <c r="E212" s="1054">
        <v>33437957</v>
      </c>
      <c r="F212" s="1617">
        <v>71414603.129999995</v>
      </c>
      <c r="G212" s="1053">
        <v>88011738</v>
      </c>
      <c r="H212" s="1053">
        <v>88011738</v>
      </c>
      <c r="I212" s="1057">
        <v>136901267</v>
      </c>
      <c r="J212" s="1053">
        <v>131040782</v>
      </c>
      <c r="K212" s="1054">
        <v>120051662</v>
      </c>
      <c r="L212" s="208"/>
      <c r="M212" s="209"/>
      <c r="N212" s="209"/>
      <c r="O212" s="209"/>
      <c r="P212" s="209"/>
      <c r="Q212" s="209"/>
      <c r="R212" s="209"/>
      <c r="S212" s="209"/>
      <c r="T212" s="209"/>
      <c r="U212" s="209"/>
      <c r="V212" s="209"/>
      <c r="W212" s="209"/>
    </row>
    <row r="213" spans="1:23" ht="11.25" customHeight="1">
      <c r="A213" s="1170" t="str">
        <f t="shared" si="24"/>
        <v>4.3 - 080 - FINANCIAL CONTROL</v>
      </c>
      <c r="B213" s="1046"/>
      <c r="C213" s="1053">
        <v>2494766</v>
      </c>
      <c r="D213" s="1054">
        <v>3219529</v>
      </c>
      <c r="E213" s="1054">
        <v>7002696</v>
      </c>
      <c r="F213" s="1617">
        <v>10299724.088</v>
      </c>
      <c r="G213" s="1053">
        <v>12372334</v>
      </c>
      <c r="H213" s="1053">
        <v>12372334</v>
      </c>
      <c r="I213" s="1057">
        <v>15347561</v>
      </c>
      <c r="J213" s="1053">
        <v>15115506</v>
      </c>
      <c r="K213" s="1054">
        <v>15925265</v>
      </c>
      <c r="L213" s="208"/>
      <c r="M213" s="209"/>
      <c r="N213" s="209"/>
      <c r="O213" s="209"/>
      <c r="P213" s="209"/>
      <c r="Q213" s="209"/>
      <c r="R213" s="209"/>
      <c r="S213" s="209"/>
      <c r="T213" s="209"/>
      <c r="U213" s="209"/>
      <c r="V213" s="209"/>
      <c r="W213" s="209"/>
    </row>
    <row r="214" spans="1:23" ht="11.25" customHeight="1">
      <c r="A214" s="1170" t="str">
        <f t="shared" si="24"/>
        <v>4.4 - 090 - FINANCIAL MANAGEMENT SERVICES</v>
      </c>
      <c r="B214" s="1046"/>
      <c r="C214" s="1053">
        <v>13138883</v>
      </c>
      <c r="D214" s="1054">
        <v>19144972</v>
      </c>
      <c r="E214" s="1054">
        <v>22402210</v>
      </c>
      <c r="F214" s="1617">
        <v>31603267.208000004</v>
      </c>
      <c r="G214" s="1053">
        <v>32890647</v>
      </c>
      <c r="H214" s="1053">
        <v>32890647</v>
      </c>
      <c r="I214" s="1057">
        <v>20418796</v>
      </c>
      <c r="J214" s="1053">
        <v>18079857</v>
      </c>
      <c r="K214" s="1054">
        <v>19186934</v>
      </c>
      <c r="L214" s="208"/>
      <c r="M214" s="209"/>
      <c r="N214" s="209"/>
      <c r="O214" s="209"/>
      <c r="P214" s="209"/>
      <c r="Q214" s="209"/>
      <c r="R214" s="209"/>
      <c r="S214" s="209"/>
      <c r="T214" s="209"/>
      <c r="U214" s="209"/>
      <c r="V214" s="209"/>
      <c r="W214" s="209"/>
    </row>
    <row r="215" spans="1:23" ht="11.25" customHeight="1">
      <c r="A215" s="1170">
        <f t="shared" si="24"/>
        <v>0</v>
      </c>
      <c r="B215" s="1046"/>
      <c r="C215" s="1053"/>
      <c r="D215" s="1053"/>
      <c r="E215" s="1054"/>
      <c r="F215" s="1055"/>
      <c r="G215" s="1053"/>
      <c r="H215" s="1056"/>
      <c r="I215" s="1057"/>
      <c r="J215" s="1053"/>
      <c r="K215" s="1054"/>
      <c r="L215" s="208"/>
      <c r="M215" s="209"/>
      <c r="N215" s="209"/>
      <c r="O215" s="209"/>
      <c r="P215" s="209"/>
      <c r="Q215" s="209"/>
      <c r="R215" s="209"/>
      <c r="S215" s="209"/>
      <c r="T215" s="209"/>
      <c r="U215" s="209"/>
      <c r="V215" s="209"/>
      <c r="W215" s="209"/>
    </row>
    <row r="216" spans="1:23" ht="11.25" customHeight="1">
      <c r="A216" s="1170">
        <f t="shared" si="24"/>
        <v>0</v>
      </c>
      <c r="B216" s="1046"/>
      <c r="C216" s="1053"/>
      <c r="D216" s="1053"/>
      <c r="E216" s="1054"/>
      <c r="F216" s="1055"/>
      <c r="G216" s="1053"/>
      <c r="H216" s="1056"/>
      <c r="I216" s="1057"/>
      <c r="J216" s="1053"/>
      <c r="K216" s="1054"/>
      <c r="L216" s="208"/>
      <c r="M216" s="209"/>
      <c r="N216" s="209"/>
      <c r="O216" s="209"/>
      <c r="P216" s="209"/>
      <c r="Q216" s="209"/>
      <c r="R216" s="209"/>
      <c r="S216" s="209"/>
      <c r="T216" s="209"/>
      <c r="U216" s="209"/>
      <c r="V216" s="209"/>
      <c r="W216" s="209"/>
    </row>
    <row r="217" spans="1:23" ht="11.25" customHeight="1">
      <c r="A217" s="1170">
        <f t="shared" si="24"/>
        <v>0</v>
      </c>
      <c r="B217" s="1046"/>
      <c r="C217" s="1053"/>
      <c r="D217" s="1053"/>
      <c r="E217" s="1054"/>
      <c r="F217" s="1055"/>
      <c r="G217" s="1053"/>
      <c r="H217" s="1056"/>
      <c r="I217" s="1057"/>
      <c r="J217" s="1053"/>
      <c r="K217" s="1054"/>
      <c r="L217" s="208"/>
      <c r="M217" s="209"/>
      <c r="N217" s="209"/>
      <c r="O217" s="209"/>
      <c r="P217" s="209"/>
      <c r="Q217" s="209"/>
      <c r="R217" s="209"/>
      <c r="S217" s="209"/>
      <c r="T217" s="209"/>
      <c r="U217" s="209"/>
      <c r="V217" s="209"/>
      <c r="W217" s="209"/>
    </row>
    <row r="218" spans="1:23" ht="11.25" customHeight="1">
      <c r="A218" s="1170">
        <f t="shared" si="24"/>
        <v>0</v>
      </c>
      <c r="B218" s="1046"/>
      <c r="C218" s="1053"/>
      <c r="D218" s="1053"/>
      <c r="E218" s="1054"/>
      <c r="F218" s="1055"/>
      <c r="G218" s="1053"/>
      <c r="H218" s="1056"/>
      <c r="I218" s="1057"/>
      <c r="J218" s="1053"/>
      <c r="K218" s="1054"/>
      <c r="L218" s="208"/>
      <c r="M218" s="209"/>
      <c r="N218" s="209"/>
      <c r="O218" s="209"/>
      <c r="P218" s="209"/>
      <c r="Q218" s="209"/>
      <c r="R218" s="209"/>
      <c r="S218" s="209"/>
      <c r="T218" s="209"/>
      <c r="U218" s="209"/>
      <c r="V218" s="209"/>
      <c r="W218" s="209"/>
    </row>
    <row r="219" spans="1:23" ht="11.25" customHeight="1">
      <c r="A219" s="1170">
        <f t="shared" si="24"/>
        <v>0</v>
      </c>
      <c r="B219" s="1046"/>
      <c r="C219" s="1053"/>
      <c r="D219" s="1053"/>
      <c r="E219" s="1054"/>
      <c r="F219" s="1055"/>
      <c r="G219" s="1053"/>
      <c r="H219" s="1056"/>
      <c r="I219" s="1057"/>
      <c r="J219" s="1053"/>
      <c r="K219" s="1054"/>
      <c r="L219" s="208"/>
      <c r="M219" s="209"/>
      <c r="N219" s="209"/>
      <c r="O219" s="209"/>
      <c r="P219" s="209"/>
      <c r="Q219" s="209"/>
      <c r="R219" s="209"/>
      <c r="S219" s="209"/>
      <c r="T219" s="209"/>
      <c r="U219" s="209"/>
      <c r="V219" s="209"/>
      <c r="W219" s="209"/>
    </row>
    <row r="220" spans="1:23" ht="11.25" customHeight="1">
      <c r="A220" s="1170">
        <f t="shared" si="24"/>
        <v>0</v>
      </c>
      <c r="B220" s="1046"/>
      <c r="C220" s="1053"/>
      <c r="D220" s="1053"/>
      <c r="E220" s="1054"/>
      <c r="F220" s="1055"/>
      <c r="G220" s="1053"/>
      <c r="H220" s="1056"/>
      <c r="I220" s="1057"/>
      <c r="J220" s="1053"/>
      <c r="K220" s="1054"/>
      <c r="L220" s="208"/>
      <c r="M220" s="209"/>
      <c r="N220" s="209"/>
      <c r="O220" s="209"/>
      <c r="P220" s="209"/>
      <c r="Q220" s="209"/>
      <c r="R220" s="209"/>
      <c r="S220" s="209"/>
      <c r="T220" s="209"/>
      <c r="U220" s="209"/>
      <c r="V220" s="209"/>
      <c r="W220" s="209"/>
    </row>
    <row r="221" spans="1:23" ht="15" customHeight="1">
      <c r="A221" s="1169" t="str">
        <f>A51</f>
        <v>Vote 5 - PUBLIC SAFETY</v>
      </c>
      <c r="B221" s="1058"/>
      <c r="C221" s="976">
        <f t="shared" ref="C221:K221" si="25">SUM(C222:C231)</f>
        <v>74484855.180000007</v>
      </c>
      <c r="D221" s="976">
        <f t="shared" si="25"/>
        <v>85339052</v>
      </c>
      <c r="E221" s="977">
        <f t="shared" si="25"/>
        <v>92516263</v>
      </c>
      <c r="F221" s="978">
        <f t="shared" si="25"/>
        <v>103924051.31800002</v>
      </c>
      <c r="G221" s="976">
        <f t="shared" si="25"/>
        <v>126537787</v>
      </c>
      <c r="H221" s="979">
        <f t="shared" si="25"/>
        <v>126537787</v>
      </c>
      <c r="I221" s="980">
        <f t="shared" si="25"/>
        <v>139827559</v>
      </c>
      <c r="J221" s="976">
        <f t="shared" si="25"/>
        <v>148107192</v>
      </c>
      <c r="K221" s="977">
        <f t="shared" si="25"/>
        <v>156179430</v>
      </c>
      <c r="L221" s="208"/>
      <c r="M221" s="209"/>
      <c r="N221" s="209"/>
      <c r="O221" s="209"/>
      <c r="P221" s="209"/>
      <c r="Q221" s="209"/>
      <c r="R221" s="209"/>
      <c r="S221" s="209"/>
      <c r="T221" s="209"/>
      <c r="U221" s="209"/>
      <c r="V221" s="209"/>
      <c r="W221" s="209"/>
    </row>
    <row r="222" spans="1:23" ht="11.25" customHeight="1">
      <c r="A222" s="1170" t="str">
        <f t="shared" ref="A222:A231" si="26">A52</f>
        <v>5.1 - 100 - OFFICE OF THE DIRECTOR PUBLIC SAFETY</v>
      </c>
      <c r="B222" s="1046"/>
      <c r="C222" s="1053">
        <v>1550068.12</v>
      </c>
      <c r="D222" s="1054">
        <v>1747013</v>
      </c>
      <c r="E222" s="1054">
        <v>2099245</v>
      </c>
      <c r="F222" s="1617">
        <v>2257281.1180000002</v>
      </c>
      <c r="G222" s="1053">
        <v>2534552</v>
      </c>
      <c r="H222" s="1053">
        <v>2534552</v>
      </c>
      <c r="I222" s="1057">
        <v>3182871</v>
      </c>
      <c r="J222" s="1053">
        <v>3383935</v>
      </c>
      <c r="K222" s="1054">
        <v>3601642</v>
      </c>
      <c r="L222" s="208"/>
      <c r="M222" s="209"/>
      <c r="N222" s="209"/>
      <c r="O222" s="209"/>
      <c r="P222" s="209"/>
      <c r="Q222" s="209"/>
      <c r="R222" s="209"/>
      <c r="S222" s="209"/>
      <c r="T222" s="209"/>
      <c r="U222" s="209"/>
      <c r="V222" s="209"/>
      <c r="W222" s="209"/>
    </row>
    <row r="223" spans="1:23" ht="11.25" customHeight="1">
      <c r="A223" s="1170" t="str">
        <f t="shared" si="26"/>
        <v>5.2 - 105 - MUNICIPAL POLICE AND SECURITY SERVICES</v>
      </c>
      <c r="B223" s="1046"/>
      <c r="C223" s="1053">
        <v>0</v>
      </c>
      <c r="D223" s="1054">
        <v>0</v>
      </c>
      <c r="E223" s="1054">
        <v>0</v>
      </c>
      <c r="F223" s="1617">
        <v>0</v>
      </c>
      <c r="G223" s="1053">
        <v>0</v>
      </c>
      <c r="H223" s="1053">
        <v>0</v>
      </c>
      <c r="I223" s="1057">
        <v>0</v>
      </c>
      <c r="J223" s="1053">
        <v>0</v>
      </c>
      <c r="K223" s="1054">
        <v>0</v>
      </c>
      <c r="L223" s="208"/>
      <c r="M223" s="209"/>
      <c r="N223" s="209"/>
      <c r="O223" s="209"/>
      <c r="P223" s="209"/>
      <c r="Q223" s="209"/>
      <c r="R223" s="209"/>
      <c r="S223" s="209"/>
      <c r="T223" s="209"/>
      <c r="U223" s="209"/>
      <c r="V223" s="209"/>
      <c r="W223" s="209"/>
    </row>
    <row r="224" spans="1:23" ht="11.25" customHeight="1">
      <c r="A224" s="1170" t="str">
        <f t="shared" si="26"/>
        <v>5.3 - 115 - EMERGENCY AND DISASTER MANAGEMENT</v>
      </c>
      <c r="B224" s="1046"/>
      <c r="C224" s="1053">
        <v>18488672.310000002</v>
      </c>
      <c r="D224" s="1054">
        <v>22804971</v>
      </c>
      <c r="E224" s="1054">
        <v>18429257</v>
      </c>
      <c r="F224" s="1617">
        <v>28039900.806000002</v>
      </c>
      <c r="G224" s="1053">
        <v>27338236</v>
      </c>
      <c r="H224" s="1053">
        <v>27338236</v>
      </c>
      <c r="I224" s="1057">
        <v>20997754</v>
      </c>
      <c r="J224" s="1053">
        <v>22191818</v>
      </c>
      <c r="K224" s="1054">
        <v>23417271</v>
      </c>
      <c r="L224" s="208"/>
      <c r="M224" s="209"/>
      <c r="N224" s="209"/>
      <c r="O224" s="209"/>
      <c r="P224" s="209"/>
      <c r="Q224" s="209"/>
      <c r="R224" s="209"/>
      <c r="S224" s="209"/>
      <c r="T224" s="209"/>
      <c r="U224" s="209"/>
      <c r="V224" s="209"/>
      <c r="W224" s="209"/>
    </row>
    <row r="225" spans="1:23" ht="11.25" customHeight="1">
      <c r="A225" s="1170" t="str">
        <f t="shared" si="26"/>
        <v>5.4 - 130 - TRAFFIC SERVICES</v>
      </c>
      <c r="B225" s="1046"/>
      <c r="C225" s="1053">
        <v>43440378.219999999</v>
      </c>
      <c r="D225" s="1054">
        <v>47702561</v>
      </c>
      <c r="E225" s="1054">
        <v>57540914</v>
      </c>
      <c r="F225" s="1617">
        <v>56415808.538000003</v>
      </c>
      <c r="G225" s="1053">
        <v>78096003</v>
      </c>
      <c r="H225" s="1053">
        <v>78096003</v>
      </c>
      <c r="I225" s="1057">
        <v>84486022</v>
      </c>
      <c r="J225" s="1053">
        <v>89613224</v>
      </c>
      <c r="K225" s="1054">
        <v>94173298</v>
      </c>
      <c r="L225" s="208"/>
      <c r="M225" s="209"/>
      <c r="N225" s="209"/>
      <c r="O225" s="209"/>
      <c r="P225" s="209"/>
      <c r="Q225" s="209"/>
      <c r="R225" s="209"/>
      <c r="S225" s="209"/>
      <c r="T225" s="209"/>
      <c r="U225" s="209"/>
      <c r="V225" s="209"/>
      <c r="W225" s="209"/>
    </row>
    <row r="226" spans="1:23" ht="11.25" customHeight="1">
      <c r="A226" s="1170" t="str">
        <f t="shared" si="26"/>
        <v>5.5 - 140 - TESTING AND LICENSES</v>
      </c>
      <c r="B226" s="1046"/>
      <c r="C226" s="1053">
        <v>11005736.530000003</v>
      </c>
      <c r="D226" s="1054">
        <v>13084507</v>
      </c>
      <c r="E226" s="1054">
        <v>14446847</v>
      </c>
      <c r="F226" s="1617">
        <v>17211060.855999999</v>
      </c>
      <c r="G226" s="1053">
        <v>18068996</v>
      </c>
      <c r="H226" s="1053">
        <v>18068996</v>
      </c>
      <c r="I226" s="1057">
        <v>20428156</v>
      </c>
      <c r="J226" s="1053">
        <v>21685448</v>
      </c>
      <c r="K226" s="1054">
        <v>23039766</v>
      </c>
      <c r="L226" s="208"/>
      <c r="M226" s="209"/>
      <c r="N226" s="209"/>
      <c r="O226" s="209"/>
      <c r="P226" s="209"/>
      <c r="Q226" s="209"/>
      <c r="R226" s="209"/>
      <c r="S226" s="209"/>
      <c r="T226" s="209"/>
      <c r="U226" s="209"/>
      <c r="V226" s="209"/>
      <c r="W226" s="209"/>
    </row>
    <row r="227" spans="1:23" ht="11.25" customHeight="1">
      <c r="A227" s="1170" t="str">
        <f t="shared" si="26"/>
        <v>5.6 - 141 - LAW ENFORCEMENT</v>
      </c>
      <c r="B227" s="1046"/>
      <c r="C227" s="1053">
        <v>0</v>
      </c>
      <c r="D227" s="1053">
        <v>0</v>
      </c>
      <c r="E227" s="1054">
        <v>0</v>
      </c>
      <c r="F227" s="1055">
        <v>0</v>
      </c>
      <c r="G227" s="1053">
        <v>500000</v>
      </c>
      <c r="H227" s="1056">
        <v>500000</v>
      </c>
      <c r="I227" s="1057">
        <v>10732756</v>
      </c>
      <c r="J227" s="1053">
        <v>11232767</v>
      </c>
      <c r="K227" s="1054">
        <v>11947453</v>
      </c>
      <c r="L227" s="208"/>
      <c r="M227" s="209"/>
      <c r="N227" s="209"/>
      <c r="O227" s="209"/>
      <c r="P227" s="209"/>
      <c r="Q227" s="209"/>
      <c r="R227" s="209"/>
      <c r="S227" s="209"/>
      <c r="T227" s="209"/>
      <c r="U227" s="209"/>
      <c r="V227" s="209"/>
      <c r="W227" s="209"/>
    </row>
    <row r="228" spans="1:23" ht="11.25" customHeight="1">
      <c r="A228" s="1170">
        <f t="shared" si="26"/>
        <v>0</v>
      </c>
      <c r="B228" s="1046"/>
      <c r="C228" s="1053"/>
      <c r="D228" s="1053"/>
      <c r="E228" s="1054"/>
      <c r="F228" s="1055"/>
      <c r="G228" s="1053"/>
      <c r="H228" s="1056"/>
      <c r="I228" s="1057"/>
      <c r="J228" s="1053"/>
      <c r="K228" s="1054"/>
      <c r="L228" s="208"/>
      <c r="M228" s="209"/>
      <c r="N228" s="209"/>
      <c r="O228" s="209"/>
      <c r="P228" s="209"/>
      <c r="Q228" s="209"/>
      <c r="R228" s="209"/>
      <c r="S228" s="209"/>
      <c r="T228" s="209"/>
      <c r="U228" s="209"/>
      <c r="V228" s="209"/>
      <c r="W228" s="209"/>
    </row>
    <row r="229" spans="1:23" ht="11.25" customHeight="1">
      <c r="A229" s="1170">
        <f t="shared" si="26"/>
        <v>0</v>
      </c>
      <c r="B229" s="1046"/>
      <c r="C229" s="1053"/>
      <c r="D229" s="1053"/>
      <c r="E229" s="1054"/>
      <c r="F229" s="1055"/>
      <c r="G229" s="1053"/>
      <c r="H229" s="1056"/>
      <c r="I229" s="1057"/>
      <c r="J229" s="1053"/>
      <c r="K229" s="1054"/>
      <c r="L229" s="208"/>
      <c r="M229" s="209"/>
      <c r="N229" s="209"/>
      <c r="O229" s="209"/>
      <c r="P229" s="209"/>
      <c r="Q229" s="209"/>
      <c r="R229" s="209"/>
      <c r="S229" s="209"/>
      <c r="T229" s="209"/>
      <c r="U229" s="209"/>
      <c r="V229" s="209"/>
      <c r="W229" s="209"/>
    </row>
    <row r="230" spans="1:23" ht="11.25" customHeight="1">
      <c r="A230" s="1170">
        <f t="shared" si="26"/>
        <v>0</v>
      </c>
      <c r="B230" s="1046"/>
      <c r="C230" s="1053"/>
      <c r="D230" s="1053"/>
      <c r="E230" s="1054"/>
      <c r="F230" s="1055"/>
      <c r="G230" s="1053"/>
      <c r="H230" s="1056"/>
      <c r="I230" s="1057"/>
      <c r="J230" s="1053"/>
      <c r="K230" s="1054"/>
      <c r="L230" s="208"/>
      <c r="M230" s="209"/>
      <c r="N230" s="209"/>
      <c r="O230" s="209"/>
      <c r="P230" s="209"/>
      <c r="Q230" s="209"/>
      <c r="R230" s="209"/>
      <c r="S230" s="209"/>
      <c r="T230" s="209"/>
      <c r="U230" s="209"/>
      <c r="V230" s="209"/>
      <c r="W230" s="209"/>
    </row>
    <row r="231" spans="1:23" ht="11.25" customHeight="1">
      <c r="A231" s="1170">
        <f t="shared" si="26"/>
        <v>0</v>
      </c>
      <c r="B231" s="1046"/>
      <c r="C231" s="1053"/>
      <c r="D231" s="1053"/>
      <c r="E231" s="1054"/>
      <c r="F231" s="1055"/>
      <c r="G231" s="1053"/>
      <c r="H231" s="1056"/>
      <c r="I231" s="1057"/>
      <c r="J231" s="1053"/>
      <c r="K231" s="1054"/>
      <c r="L231" s="208"/>
      <c r="M231" s="209"/>
      <c r="N231" s="209"/>
      <c r="O231" s="209"/>
      <c r="P231" s="209"/>
      <c r="Q231" s="209"/>
      <c r="R231" s="209"/>
      <c r="S231" s="209"/>
      <c r="T231" s="209"/>
      <c r="U231" s="209"/>
      <c r="V231" s="209"/>
      <c r="W231" s="209"/>
    </row>
    <row r="232" spans="1:23" ht="15" customHeight="1">
      <c r="A232" s="1169" t="str">
        <f>A62</f>
        <v>Vote 6 - PLANNING &amp; HUMAN SETTLEMENT</v>
      </c>
      <c r="B232" s="1058"/>
      <c r="C232" s="976">
        <f t="shared" ref="C232:K232" si="27">SUM(C233:C242)</f>
        <v>23827191.670000002</v>
      </c>
      <c r="D232" s="976">
        <f t="shared" si="27"/>
        <v>23723815</v>
      </c>
      <c r="E232" s="977">
        <f t="shared" si="27"/>
        <v>29095005</v>
      </c>
      <c r="F232" s="978">
        <f t="shared" si="27"/>
        <v>39459781.755999997</v>
      </c>
      <c r="G232" s="976">
        <f t="shared" si="27"/>
        <v>45204139</v>
      </c>
      <c r="H232" s="979">
        <f t="shared" si="27"/>
        <v>45204139</v>
      </c>
      <c r="I232" s="980">
        <f t="shared" si="27"/>
        <v>52010672</v>
      </c>
      <c r="J232" s="976">
        <f t="shared" si="27"/>
        <v>52242203</v>
      </c>
      <c r="K232" s="977">
        <f t="shared" si="27"/>
        <v>55183631</v>
      </c>
      <c r="L232" s="208"/>
      <c r="M232" s="209"/>
      <c r="N232" s="209"/>
      <c r="O232" s="209"/>
      <c r="P232" s="209"/>
      <c r="Q232" s="209"/>
      <c r="R232" s="209"/>
      <c r="S232" s="209"/>
      <c r="T232" s="209"/>
      <c r="U232" s="209"/>
      <c r="V232" s="209"/>
      <c r="W232" s="209"/>
    </row>
    <row r="233" spans="1:23" ht="11.25" customHeight="1">
      <c r="A233" s="1170" t="str">
        <f t="shared" ref="A233:A242" si="28">A63</f>
        <v>6.1 - 150 - OFFICE OF THE DIRECTOR PLANNING AND HUMAN SETLEMENT</v>
      </c>
      <c r="B233" s="1046"/>
      <c r="C233" s="1053">
        <v>1334343.83</v>
      </c>
      <c r="D233" s="1054">
        <v>1343012</v>
      </c>
      <c r="E233" s="1054">
        <v>1493586</v>
      </c>
      <c r="F233" s="1617">
        <v>1977873.45</v>
      </c>
      <c r="G233" s="1053">
        <v>2676605</v>
      </c>
      <c r="H233" s="1053">
        <v>2676605</v>
      </c>
      <c r="I233" s="1057">
        <v>1909782</v>
      </c>
      <c r="J233" s="1053">
        <v>2032941</v>
      </c>
      <c r="K233" s="1054">
        <v>2162722</v>
      </c>
      <c r="L233" s="208"/>
      <c r="M233" s="209"/>
      <c r="N233" s="209"/>
      <c r="O233" s="209"/>
      <c r="P233" s="209"/>
      <c r="Q233" s="209"/>
      <c r="R233" s="209"/>
      <c r="S233" s="209"/>
      <c r="T233" s="209"/>
      <c r="U233" s="209"/>
      <c r="V233" s="209"/>
      <c r="W233" s="209"/>
    </row>
    <row r="234" spans="1:23" ht="11.25" customHeight="1">
      <c r="A234" s="1170" t="str">
        <f t="shared" si="28"/>
        <v>6.2 - 155 - DEVELOPMENT PLANNING</v>
      </c>
      <c r="B234" s="1046"/>
      <c r="C234" s="1053">
        <v>4296090.84</v>
      </c>
      <c r="D234" s="1054">
        <v>6946199</v>
      </c>
      <c r="E234" s="1054">
        <v>9005233</v>
      </c>
      <c r="F234" s="1617">
        <v>11347372.498</v>
      </c>
      <c r="G234" s="1053">
        <v>15268443</v>
      </c>
      <c r="H234" s="1053">
        <v>15268443</v>
      </c>
      <c r="I234" s="1057">
        <v>11810967</v>
      </c>
      <c r="J234" s="1053">
        <v>10901989</v>
      </c>
      <c r="K234" s="1054">
        <v>11524261</v>
      </c>
      <c r="L234" s="208"/>
      <c r="M234" s="209"/>
      <c r="N234" s="209"/>
      <c r="O234" s="209"/>
      <c r="P234" s="209"/>
      <c r="Q234" s="209"/>
      <c r="R234" s="209"/>
      <c r="S234" s="209"/>
      <c r="T234" s="209"/>
      <c r="U234" s="209"/>
      <c r="V234" s="209"/>
      <c r="W234" s="209"/>
    </row>
    <row r="235" spans="1:23" ht="11.25" customHeight="1">
      <c r="A235" s="1170" t="str">
        <f t="shared" si="28"/>
        <v>6.3 - 156 - ESTATES</v>
      </c>
      <c r="B235" s="1046"/>
      <c r="C235" s="1053">
        <v>1255106.6399999999</v>
      </c>
      <c r="D235" s="1054">
        <v>2255983</v>
      </c>
      <c r="E235" s="1054">
        <v>2918607</v>
      </c>
      <c r="F235" s="1617">
        <v>2850943.5580000002</v>
      </c>
      <c r="G235" s="1053">
        <v>2932682</v>
      </c>
      <c r="H235" s="1053">
        <v>2932682</v>
      </c>
      <c r="I235" s="1057">
        <v>3016575</v>
      </c>
      <c r="J235" s="1053">
        <v>3311639</v>
      </c>
      <c r="K235" s="1054">
        <v>3698928</v>
      </c>
      <c r="L235" s="208"/>
      <c r="M235" s="209"/>
      <c r="N235" s="209"/>
      <c r="O235" s="209"/>
      <c r="P235" s="209"/>
      <c r="Q235" s="209"/>
      <c r="R235" s="209"/>
      <c r="S235" s="209"/>
      <c r="T235" s="209"/>
      <c r="U235" s="209"/>
      <c r="V235" s="209"/>
      <c r="W235" s="209"/>
    </row>
    <row r="236" spans="1:23" ht="11.25" customHeight="1">
      <c r="A236" s="1170" t="str">
        <f t="shared" si="28"/>
        <v>6.4 - 160 - HOUSING PROVISION</v>
      </c>
      <c r="B236" s="1046"/>
      <c r="C236" s="1053">
        <v>8552828.1400000006</v>
      </c>
      <c r="D236" s="1054">
        <v>6014650</v>
      </c>
      <c r="E236" s="1054">
        <v>6980064</v>
      </c>
      <c r="F236" s="1617">
        <v>7810301.176</v>
      </c>
      <c r="G236" s="1053">
        <v>7987774</v>
      </c>
      <c r="H236" s="1053">
        <v>7987774</v>
      </c>
      <c r="I236" s="1057">
        <v>20089015</v>
      </c>
      <c r="J236" s="1053">
        <v>20807285</v>
      </c>
      <c r="K236" s="1054">
        <v>21834649</v>
      </c>
      <c r="L236" s="208"/>
      <c r="M236" s="209"/>
      <c r="N236" s="209"/>
      <c r="O236" s="209"/>
      <c r="P236" s="209"/>
      <c r="Q236" s="209"/>
      <c r="R236" s="209"/>
      <c r="S236" s="209"/>
      <c r="T236" s="209"/>
      <c r="U236" s="209"/>
      <c r="V236" s="209"/>
      <c r="W236" s="209"/>
    </row>
    <row r="237" spans="1:23" ht="11.25" customHeight="1">
      <c r="A237" s="1170" t="str">
        <f t="shared" si="28"/>
        <v>6.5 - 165 - BUILDING CONTROL AND REGULATIONS</v>
      </c>
      <c r="B237" s="1046"/>
      <c r="C237" s="1053">
        <v>2627893.35</v>
      </c>
      <c r="D237" s="1054">
        <v>3011497</v>
      </c>
      <c r="E237" s="1054">
        <v>3059744</v>
      </c>
      <c r="F237" s="1617">
        <v>3323736.3280000007</v>
      </c>
      <c r="G237" s="1053">
        <v>3796113</v>
      </c>
      <c r="H237" s="1053">
        <v>3796113</v>
      </c>
      <c r="I237" s="1057">
        <v>4102171</v>
      </c>
      <c r="J237" s="1053">
        <v>4367089</v>
      </c>
      <c r="K237" s="1054">
        <v>4649270</v>
      </c>
      <c r="L237" s="208"/>
      <c r="M237" s="209"/>
      <c r="N237" s="209"/>
      <c r="O237" s="209"/>
      <c r="P237" s="209"/>
      <c r="Q237" s="209"/>
      <c r="R237" s="209"/>
      <c r="S237" s="209"/>
      <c r="T237" s="209"/>
      <c r="U237" s="209"/>
      <c r="V237" s="209"/>
      <c r="W237" s="209"/>
    </row>
    <row r="238" spans="1:23" ht="11.25" customHeight="1">
      <c r="A238" s="1170" t="str">
        <f t="shared" si="28"/>
        <v>6.6 - 175 - INTEGRATED ENVIRONMENTAL MANAGEMENT</v>
      </c>
      <c r="B238" s="1046"/>
      <c r="C238" s="1053">
        <v>5760928.8700000001</v>
      </c>
      <c r="D238" s="1054">
        <v>4152474</v>
      </c>
      <c r="E238" s="1054">
        <v>5637771</v>
      </c>
      <c r="F238" s="1617">
        <v>12149554.745999999</v>
      </c>
      <c r="G238" s="1053">
        <v>12542522</v>
      </c>
      <c r="H238" s="1053">
        <v>12542522</v>
      </c>
      <c r="I238" s="1057">
        <v>11082162</v>
      </c>
      <c r="J238" s="1053">
        <v>10821260</v>
      </c>
      <c r="K238" s="1054">
        <v>11313801</v>
      </c>
      <c r="L238" s="208"/>
      <c r="M238" s="209"/>
      <c r="N238" s="209"/>
      <c r="O238" s="209"/>
      <c r="P238" s="209"/>
      <c r="Q238" s="209"/>
      <c r="R238" s="209"/>
      <c r="S238" s="209"/>
      <c r="T238" s="209"/>
      <c r="U238" s="209"/>
      <c r="V238" s="209"/>
      <c r="W238" s="209"/>
    </row>
    <row r="239" spans="1:23" ht="11.25" customHeight="1">
      <c r="A239" s="1170">
        <f t="shared" si="28"/>
        <v>0</v>
      </c>
      <c r="B239" s="1046"/>
      <c r="C239" s="1053"/>
      <c r="D239" s="1053"/>
      <c r="E239" s="1054"/>
      <c r="F239" s="1055"/>
      <c r="G239" s="1053"/>
      <c r="H239" s="1056"/>
      <c r="I239" s="1057"/>
      <c r="J239" s="1053"/>
      <c r="K239" s="1054"/>
      <c r="L239" s="208"/>
      <c r="M239" s="209"/>
      <c r="N239" s="209"/>
      <c r="O239" s="209"/>
      <c r="P239" s="209"/>
      <c r="Q239" s="209"/>
      <c r="R239" s="209"/>
      <c r="S239" s="209"/>
      <c r="T239" s="209"/>
      <c r="U239" s="209"/>
      <c r="V239" s="209"/>
      <c r="W239" s="209"/>
    </row>
    <row r="240" spans="1:23" ht="11.25" customHeight="1">
      <c r="A240" s="1170">
        <f t="shared" si="28"/>
        <v>0</v>
      </c>
      <c r="B240" s="1046"/>
      <c r="C240" s="1053"/>
      <c r="D240" s="1053"/>
      <c r="E240" s="1054"/>
      <c r="F240" s="1055"/>
      <c r="G240" s="1053"/>
      <c r="H240" s="1056"/>
      <c r="I240" s="1057"/>
      <c r="J240" s="1053"/>
      <c r="K240" s="1054"/>
      <c r="L240" s="208"/>
      <c r="M240" s="209"/>
      <c r="N240" s="209"/>
      <c r="O240" s="209"/>
      <c r="P240" s="209"/>
      <c r="Q240" s="209"/>
      <c r="R240" s="209"/>
      <c r="S240" s="209"/>
      <c r="T240" s="209"/>
      <c r="U240" s="209"/>
      <c r="V240" s="209"/>
      <c r="W240" s="209"/>
    </row>
    <row r="241" spans="1:23" ht="11.25" customHeight="1">
      <c r="A241" s="1170">
        <f t="shared" si="28"/>
        <v>0</v>
      </c>
      <c r="B241" s="1046"/>
      <c r="C241" s="1053"/>
      <c r="D241" s="1053"/>
      <c r="E241" s="1054"/>
      <c r="F241" s="1055"/>
      <c r="G241" s="1053"/>
      <c r="H241" s="1056"/>
      <c r="I241" s="1057"/>
      <c r="J241" s="1053"/>
      <c r="K241" s="1054"/>
      <c r="L241" s="208"/>
      <c r="M241" s="209"/>
      <c r="N241" s="209"/>
      <c r="O241" s="209"/>
      <c r="P241" s="209"/>
      <c r="Q241" s="209"/>
      <c r="R241" s="209"/>
      <c r="S241" s="209"/>
      <c r="T241" s="209"/>
      <c r="U241" s="209"/>
      <c r="V241" s="209"/>
      <c r="W241" s="209"/>
    </row>
    <row r="242" spans="1:23" ht="11.25" customHeight="1">
      <c r="A242" s="1170">
        <f t="shared" si="28"/>
        <v>0</v>
      </c>
      <c r="B242" s="1046"/>
      <c r="C242" s="1053"/>
      <c r="D242" s="1053"/>
      <c r="E242" s="1054"/>
      <c r="F242" s="1055"/>
      <c r="G242" s="1053"/>
      <c r="H242" s="1056"/>
      <c r="I242" s="1057"/>
      <c r="J242" s="1053"/>
      <c r="K242" s="1054"/>
      <c r="L242" s="208"/>
      <c r="M242" s="209"/>
      <c r="N242" s="209"/>
      <c r="O242" s="209"/>
      <c r="P242" s="209"/>
      <c r="Q242" s="209"/>
      <c r="R242" s="209"/>
      <c r="S242" s="209"/>
      <c r="T242" s="209"/>
      <c r="U242" s="209"/>
      <c r="V242" s="209"/>
      <c r="W242" s="209"/>
    </row>
    <row r="243" spans="1:23" ht="15" customHeight="1">
      <c r="A243" s="1169" t="str">
        <f>A73</f>
        <v xml:space="preserve">Vote 7 - LOCAL ECONOMIC DEVELOPMENT </v>
      </c>
      <c r="B243" s="1058"/>
      <c r="C243" s="976">
        <f t="shared" ref="C243:K243" si="29">SUM(C244:C253)</f>
        <v>5401728.6200000001</v>
      </c>
      <c r="D243" s="976">
        <f t="shared" si="29"/>
        <v>5788804</v>
      </c>
      <c r="E243" s="977">
        <f t="shared" si="29"/>
        <v>6326245</v>
      </c>
      <c r="F243" s="978">
        <f t="shared" si="29"/>
        <v>23555900.052000001</v>
      </c>
      <c r="G243" s="976">
        <f t="shared" si="29"/>
        <v>24125260</v>
      </c>
      <c r="H243" s="979">
        <f t="shared" si="29"/>
        <v>24125260</v>
      </c>
      <c r="I243" s="980">
        <f t="shared" si="29"/>
        <v>24327614</v>
      </c>
      <c r="J243" s="976">
        <f t="shared" si="29"/>
        <v>20446856</v>
      </c>
      <c r="K243" s="977">
        <f t="shared" si="29"/>
        <v>22673438</v>
      </c>
      <c r="L243" s="208"/>
      <c r="M243" s="209"/>
      <c r="N243" s="209"/>
      <c r="O243" s="209"/>
      <c r="P243" s="209"/>
      <c r="Q243" s="209"/>
      <c r="R243" s="209"/>
      <c r="S243" s="209"/>
      <c r="T243" s="209"/>
      <c r="U243" s="209"/>
      <c r="V243" s="209"/>
      <c r="W243" s="209"/>
    </row>
    <row r="244" spans="1:23" ht="11.25" customHeight="1">
      <c r="A244" s="1170" t="str">
        <f t="shared" ref="A244:A253" si="30">A74</f>
        <v>7.1 - 180 - LOCAL ECONOMIC DEVELOPMENT</v>
      </c>
      <c r="B244" s="1046"/>
      <c r="C244" s="1053">
        <v>1733846.6700000004</v>
      </c>
      <c r="D244" s="1054">
        <v>1262349</v>
      </c>
      <c r="E244" s="1054">
        <v>1873740</v>
      </c>
      <c r="F244" s="1617">
        <v>2112606.6100000003</v>
      </c>
      <c r="G244" s="1053">
        <v>3017121</v>
      </c>
      <c r="H244" s="1053">
        <v>3017121</v>
      </c>
      <c r="I244" s="1057">
        <v>6621396</v>
      </c>
      <c r="J244" s="1053">
        <v>6947750</v>
      </c>
      <c r="K244" s="1054">
        <v>7295682</v>
      </c>
      <c r="L244" s="208"/>
      <c r="M244" s="209"/>
      <c r="N244" s="209"/>
      <c r="O244" s="209"/>
      <c r="P244" s="209"/>
      <c r="Q244" s="209"/>
      <c r="R244" s="209"/>
      <c r="S244" s="209"/>
      <c r="T244" s="209"/>
      <c r="U244" s="209"/>
      <c r="V244" s="209"/>
      <c r="W244" s="209"/>
    </row>
    <row r="245" spans="1:23" ht="11.25" customHeight="1">
      <c r="A245" s="1170" t="str">
        <f t="shared" si="30"/>
        <v>7.2 - 181 - BUSINESS ADVICE CENTRE</v>
      </c>
      <c r="B245" s="1046"/>
      <c r="C245" s="1053">
        <v>0</v>
      </c>
      <c r="D245" s="1054">
        <v>0</v>
      </c>
      <c r="E245" s="1054">
        <v>0</v>
      </c>
      <c r="F245" s="1617">
        <v>0</v>
      </c>
      <c r="G245" s="1053">
        <v>0</v>
      </c>
      <c r="H245" s="1053">
        <v>0</v>
      </c>
      <c r="I245" s="1057">
        <v>0</v>
      </c>
      <c r="J245" s="1053">
        <v>0</v>
      </c>
      <c r="K245" s="1054">
        <v>0</v>
      </c>
      <c r="L245" s="208"/>
      <c r="M245" s="209"/>
      <c r="N245" s="209"/>
      <c r="O245" s="209"/>
      <c r="P245" s="209"/>
      <c r="Q245" s="209"/>
      <c r="R245" s="209"/>
      <c r="S245" s="209"/>
      <c r="T245" s="209"/>
      <c r="U245" s="209"/>
      <c r="V245" s="209"/>
      <c r="W245" s="209"/>
    </row>
    <row r="246" spans="1:23" ht="11.25" customHeight="1">
      <c r="A246" s="1170" t="str">
        <f t="shared" si="30"/>
        <v>7.3 - 185 - ENTERPRISE / SMME DEVELOPMENT</v>
      </c>
      <c r="B246" s="1046"/>
      <c r="C246" s="1053">
        <v>2789036.4899999993</v>
      </c>
      <c r="D246" s="1054">
        <v>3377088</v>
      </c>
      <c r="E246" s="1054">
        <v>3368993</v>
      </c>
      <c r="F246" s="1617">
        <v>19782026.484000001</v>
      </c>
      <c r="G246" s="1053">
        <v>19645365</v>
      </c>
      <c r="H246" s="1053">
        <v>19645365</v>
      </c>
      <c r="I246" s="1057">
        <v>13849487</v>
      </c>
      <c r="J246" s="1053">
        <v>9849356</v>
      </c>
      <c r="K246" s="1054">
        <v>11524296</v>
      </c>
      <c r="L246" s="208"/>
      <c r="M246" s="209"/>
      <c r="N246" s="209"/>
      <c r="O246" s="209"/>
      <c r="P246" s="209"/>
      <c r="Q246" s="209"/>
      <c r="R246" s="209"/>
      <c r="S246" s="209"/>
      <c r="T246" s="209"/>
      <c r="U246" s="209"/>
      <c r="V246" s="209"/>
      <c r="W246" s="209"/>
    </row>
    <row r="247" spans="1:23" ht="11.25" customHeight="1">
      <c r="A247" s="1170" t="str">
        <f t="shared" si="30"/>
        <v>7.4 - 190 - POLICY RESERCH AND MARKETING</v>
      </c>
      <c r="B247" s="1046"/>
      <c r="C247" s="1053">
        <v>878845.46</v>
      </c>
      <c r="D247" s="1054">
        <v>1149364</v>
      </c>
      <c r="E247" s="1054">
        <v>1083512</v>
      </c>
      <c r="F247" s="1617">
        <v>1661266.9580000001</v>
      </c>
      <c r="G247" s="1053">
        <v>1462774</v>
      </c>
      <c r="H247" s="1053">
        <v>1462774</v>
      </c>
      <c r="I247" s="1057">
        <v>3856731</v>
      </c>
      <c r="J247" s="1053">
        <v>3649750</v>
      </c>
      <c r="K247" s="1054">
        <v>3853460</v>
      </c>
      <c r="L247" s="208"/>
      <c r="M247" s="209"/>
      <c r="N247" s="209"/>
      <c r="O247" s="209"/>
      <c r="P247" s="209"/>
      <c r="Q247" s="209"/>
      <c r="R247" s="209"/>
      <c r="S247" s="209"/>
      <c r="T247" s="209"/>
      <c r="U247" s="209"/>
      <c r="V247" s="209"/>
      <c r="W247" s="209"/>
    </row>
    <row r="248" spans="1:23" ht="11.25" customHeight="1">
      <c r="A248" s="1170" t="str">
        <f t="shared" si="30"/>
        <v>7.5 - 195 - INTER GOVERNMENTAL RELATIONS</v>
      </c>
      <c r="B248" s="1046"/>
      <c r="C248" s="1053">
        <v>0</v>
      </c>
      <c r="D248" s="1054">
        <v>3</v>
      </c>
      <c r="E248" s="1054">
        <v>0</v>
      </c>
      <c r="F248" s="1617">
        <v>0</v>
      </c>
      <c r="G248" s="1053">
        <v>0</v>
      </c>
      <c r="H248" s="1056">
        <v>0</v>
      </c>
      <c r="I248" s="1057">
        <v>0</v>
      </c>
      <c r="J248" s="1053">
        <v>0</v>
      </c>
      <c r="K248" s="1054">
        <v>0</v>
      </c>
      <c r="L248" s="208"/>
      <c r="M248" s="209"/>
      <c r="N248" s="209"/>
      <c r="O248" s="209"/>
      <c r="P248" s="209"/>
      <c r="Q248" s="209"/>
      <c r="R248" s="209"/>
      <c r="S248" s="209"/>
      <c r="T248" s="209"/>
      <c r="U248" s="209"/>
      <c r="V248" s="209"/>
      <c r="W248" s="209"/>
    </row>
    <row r="249" spans="1:23" ht="11.25" customHeight="1">
      <c r="A249" s="1170">
        <f t="shared" si="30"/>
        <v>0</v>
      </c>
      <c r="B249" s="1046"/>
      <c r="C249" s="1053"/>
      <c r="D249" s="1053"/>
      <c r="E249" s="1054"/>
      <c r="F249" s="1055"/>
      <c r="G249" s="1053"/>
      <c r="H249" s="1056"/>
      <c r="I249" s="1057"/>
      <c r="J249" s="1053"/>
      <c r="K249" s="1054"/>
      <c r="L249" s="208"/>
      <c r="M249" s="209"/>
      <c r="N249" s="209"/>
      <c r="O249" s="209"/>
      <c r="P249" s="209"/>
      <c r="Q249" s="209"/>
      <c r="R249" s="209"/>
      <c r="S249" s="209"/>
      <c r="T249" s="209"/>
      <c r="U249" s="209"/>
      <c r="V249" s="209"/>
      <c r="W249" s="209"/>
    </row>
    <row r="250" spans="1:23" ht="11.25" customHeight="1">
      <c r="A250" s="1170">
        <f t="shared" si="30"/>
        <v>0</v>
      </c>
      <c r="B250" s="1046"/>
      <c r="C250" s="1053"/>
      <c r="D250" s="1053"/>
      <c r="E250" s="1054"/>
      <c r="F250" s="1055"/>
      <c r="G250" s="1053"/>
      <c r="H250" s="1056"/>
      <c r="I250" s="1057"/>
      <c r="J250" s="1053"/>
      <c r="K250" s="1054"/>
      <c r="L250" s="208"/>
      <c r="M250" s="209"/>
      <c r="N250" s="209"/>
      <c r="O250" s="209"/>
      <c r="P250" s="209"/>
      <c r="Q250" s="209"/>
      <c r="R250" s="209"/>
      <c r="S250" s="209"/>
      <c r="T250" s="209"/>
      <c r="U250" s="209"/>
      <c r="V250" s="209"/>
      <c r="W250" s="209"/>
    </row>
    <row r="251" spans="1:23" ht="11.25" customHeight="1">
      <c r="A251" s="1170">
        <f t="shared" si="30"/>
        <v>0</v>
      </c>
      <c r="B251" s="1046"/>
      <c r="C251" s="1053"/>
      <c r="D251" s="1053"/>
      <c r="E251" s="1054"/>
      <c r="F251" s="1055"/>
      <c r="G251" s="1053"/>
      <c r="H251" s="1056"/>
      <c r="I251" s="1057"/>
      <c r="J251" s="1053"/>
      <c r="K251" s="1054"/>
      <c r="L251" s="208"/>
      <c r="M251" s="209"/>
      <c r="N251" s="209"/>
      <c r="O251" s="209"/>
      <c r="P251" s="209"/>
      <c r="Q251" s="209"/>
      <c r="R251" s="209"/>
      <c r="S251" s="209"/>
      <c r="T251" s="209"/>
      <c r="U251" s="209"/>
      <c r="V251" s="209"/>
      <c r="W251" s="209"/>
    </row>
    <row r="252" spans="1:23" ht="11.25" customHeight="1">
      <c r="A252" s="1170">
        <f t="shared" si="30"/>
        <v>0</v>
      </c>
      <c r="B252" s="1046"/>
      <c r="C252" s="1053"/>
      <c r="D252" s="1053"/>
      <c r="E252" s="1054"/>
      <c r="F252" s="1055"/>
      <c r="G252" s="1053"/>
      <c r="H252" s="1056"/>
      <c r="I252" s="1057"/>
      <c r="J252" s="1053"/>
      <c r="K252" s="1054"/>
      <c r="L252" s="208"/>
      <c r="M252" s="209"/>
      <c r="N252" s="209"/>
      <c r="O252" s="209"/>
      <c r="P252" s="209"/>
      <c r="Q252" s="209"/>
      <c r="R252" s="209"/>
      <c r="S252" s="209"/>
      <c r="T252" s="209"/>
      <c r="U252" s="209"/>
      <c r="V252" s="209"/>
      <c r="W252" s="209"/>
    </row>
    <row r="253" spans="1:23" ht="11.25" customHeight="1">
      <c r="A253" s="1170">
        <f t="shared" si="30"/>
        <v>0</v>
      </c>
      <c r="B253" s="1046"/>
      <c r="C253" s="1053"/>
      <c r="D253" s="1053"/>
      <c r="E253" s="1054"/>
      <c r="F253" s="1055"/>
      <c r="G253" s="1053"/>
      <c r="H253" s="1056"/>
      <c r="I253" s="1057"/>
      <c r="J253" s="1053"/>
      <c r="K253" s="1054"/>
      <c r="L253" s="208"/>
      <c r="M253" s="209"/>
      <c r="N253" s="209"/>
      <c r="O253" s="209"/>
      <c r="P253" s="209"/>
      <c r="Q253" s="209"/>
      <c r="R253" s="209"/>
      <c r="S253" s="209"/>
      <c r="T253" s="209"/>
      <c r="U253" s="209"/>
      <c r="V253" s="209"/>
      <c r="W253" s="209"/>
    </row>
    <row r="254" spans="1:23" ht="15" customHeight="1">
      <c r="A254" s="1169" t="str">
        <f>A84</f>
        <v>Vote 8 - COMMUNITY DEVELOPMENT</v>
      </c>
      <c r="B254" s="1046"/>
      <c r="C254" s="976">
        <f t="shared" ref="C254:K254" si="31">SUM(C255:C264)</f>
        <v>69923216.530000001</v>
      </c>
      <c r="D254" s="976">
        <f t="shared" si="31"/>
        <v>77615633</v>
      </c>
      <c r="E254" s="977">
        <f t="shared" si="31"/>
        <v>83382773</v>
      </c>
      <c r="F254" s="978">
        <f t="shared" si="31"/>
        <v>96347805.797999993</v>
      </c>
      <c r="G254" s="976">
        <f t="shared" si="31"/>
        <v>99673346</v>
      </c>
      <c r="H254" s="979">
        <f t="shared" si="31"/>
        <v>99673346</v>
      </c>
      <c r="I254" s="980">
        <f t="shared" si="31"/>
        <v>164497407</v>
      </c>
      <c r="J254" s="976">
        <f t="shared" si="31"/>
        <v>171829891</v>
      </c>
      <c r="K254" s="977">
        <f t="shared" si="31"/>
        <v>180692280</v>
      </c>
      <c r="L254" s="208"/>
      <c r="M254" s="209"/>
      <c r="N254" s="209"/>
      <c r="O254" s="209"/>
      <c r="P254" s="209"/>
      <c r="Q254" s="209"/>
      <c r="R254" s="209"/>
      <c r="S254" s="209"/>
      <c r="T254" s="209"/>
      <c r="U254" s="209"/>
      <c r="V254" s="209"/>
      <c r="W254" s="209"/>
    </row>
    <row r="255" spans="1:23" ht="11.25" customHeight="1">
      <c r="A255" s="1170" t="str">
        <f t="shared" ref="A255:A275" si="32">A85</f>
        <v>8.1 - 200 - OFFICE OF THE DIRECTOR COMMUNITY DEVELOPMENT</v>
      </c>
      <c r="B255" s="1046"/>
      <c r="C255" s="1053">
        <v>1448106</v>
      </c>
      <c r="D255" s="1054">
        <v>1458756</v>
      </c>
      <c r="E255" s="1054">
        <v>1652062</v>
      </c>
      <c r="F255" s="1617">
        <v>2140436.0819999999</v>
      </c>
      <c r="G255" s="1053">
        <v>2259871</v>
      </c>
      <c r="H255" s="1053">
        <v>2259871</v>
      </c>
      <c r="I255" s="1057">
        <v>3063503</v>
      </c>
      <c r="J255" s="1053">
        <v>3253727</v>
      </c>
      <c r="K255" s="1054">
        <v>3456384</v>
      </c>
      <c r="L255" s="208"/>
      <c r="M255" s="209"/>
      <c r="N255" s="209"/>
      <c r="O255" s="209"/>
      <c r="P255" s="209"/>
      <c r="Q255" s="209"/>
      <c r="R255" s="209"/>
      <c r="S255" s="209"/>
      <c r="T255" s="209"/>
      <c r="U255" s="209"/>
      <c r="V255" s="209"/>
      <c r="W255" s="209"/>
    </row>
    <row r="256" spans="1:23" ht="11.25" customHeight="1">
      <c r="A256" s="1170" t="str">
        <f t="shared" si="32"/>
        <v>8.2 - 205 - ENVIRONMENTAL HEALTH SERVICES</v>
      </c>
      <c r="B256" s="1046"/>
      <c r="C256" s="1053">
        <v>210826</v>
      </c>
      <c r="D256" s="1054">
        <v>168428</v>
      </c>
      <c r="E256" s="1054">
        <v>14706</v>
      </c>
      <c r="F256" s="1617">
        <v>177343</v>
      </c>
      <c r="G256" s="1053">
        <v>177343</v>
      </c>
      <c r="H256" s="1053">
        <v>177343</v>
      </c>
      <c r="I256" s="1057">
        <v>0</v>
      </c>
      <c r="J256" s="1053">
        <v>0</v>
      </c>
      <c r="K256" s="1054">
        <v>0</v>
      </c>
      <c r="L256" s="208"/>
      <c r="M256" s="209"/>
      <c r="N256" s="209"/>
      <c r="O256" s="209"/>
      <c r="P256" s="209"/>
      <c r="Q256" s="209"/>
      <c r="R256" s="209"/>
      <c r="S256" s="209"/>
      <c r="T256" s="209"/>
      <c r="U256" s="209"/>
      <c r="V256" s="209"/>
      <c r="W256" s="209"/>
    </row>
    <row r="257" spans="1:23" ht="11.25" customHeight="1">
      <c r="A257" s="1170" t="str">
        <f t="shared" si="32"/>
        <v>8.3 - 210 - CLINIC SERVICES</v>
      </c>
      <c r="B257" s="1046"/>
      <c r="C257" s="1053">
        <v>7606400.5700000003</v>
      </c>
      <c r="D257" s="1054">
        <v>8708735</v>
      </c>
      <c r="E257" s="1054">
        <v>9680200</v>
      </c>
      <c r="F257" s="1617">
        <v>10493748.208000001</v>
      </c>
      <c r="G257" s="1053">
        <v>11449203</v>
      </c>
      <c r="H257" s="1053">
        <v>11449203</v>
      </c>
      <c r="I257" s="1057">
        <v>13708123</v>
      </c>
      <c r="J257" s="1053">
        <v>14552392</v>
      </c>
      <c r="K257" s="1054">
        <v>15157356</v>
      </c>
      <c r="L257" s="208"/>
      <c r="M257" s="209"/>
      <c r="N257" s="209"/>
      <c r="O257" s="209"/>
      <c r="P257" s="209"/>
      <c r="Q257" s="209"/>
      <c r="R257" s="209"/>
      <c r="S257" s="209"/>
      <c r="T257" s="209"/>
      <c r="U257" s="209"/>
      <c r="V257" s="209"/>
      <c r="W257" s="209"/>
    </row>
    <row r="258" spans="1:23" ht="11.25" customHeight="1">
      <c r="A258" s="1170" t="str">
        <f t="shared" si="32"/>
        <v>8.4 - 215 - LIBRARY AND INFORMATION SERVICES</v>
      </c>
      <c r="B258" s="1046"/>
      <c r="C258" s="1053">
        <v>8836902.8699999992</v>
      </c>
      <c r="D258" s="1054">
        <v>10770415</v>
      </c>
      <c r="E258" s="1054">
        <v>10933271</v>
      </c>
      <c r="F258" s="1617">
        <v>12361382.992000001</v>
      </c>
      <c r="G258" s="1053">
        <v>13001221</v>
      </c>
      <c r="H258" s="1053">
        <v>13001221</v>
      </c>
      <c r="I258" s="1057">
        <v>16215562</v>
      </c>
      <c r="J258" s="1053">
        <v>17158521</v>
      </c>
      <c r="K258" s="1054">
        <v>18137617</v>
      </c>
      <c r="L258" s="208"/>
      <c r="M258" s="209"/>
      <c r="N258" s="209"/>
      <c r="O258" s="209"/>
      <c r="P258" s="209"/>
      <c r="Q258" s="209"/>
      <c r="R258" s="209"/>
      <c r="S258" s="209"/>
      <c r="T258" s="209"/>
      <c r="U258" s="209"/>
      <c r="V258" s="209"/>
      <c r="W258" s="209"/>
    </row>
    <row r="259" spans="1:23" ht="11.25" customHeight="1">
      <c r="A259" s="1170" t="str">
        <f t="shared" si="32"/>
        <v>8.5 - 220 - CEMETERIES</v>
      </c>
      <c r="B259" s="1046"/>
      <c r="C259" s="1053">
        <v>6362429</v>
      </c>
      <c r="D259" s="1054">
        <v>5487124</v>
      </c>
      <c r="E259" s="1054">
        <v>7390995</v>
      </c>
      <c r="F259" s="1617">
        <v>6152293.1780000003</v>
      </c>
      <c r="G259" s="1053">
        <v>5935250</v>
      </c>
      <c r="H259" s="1053">
        <v>5935250</v>
      </c>
      <c r="I259" s="1057">
        <v>5424443</v>
      </c>
      <c r="J259" s="1053">
        <v>6122033</v>
      </c>
      <c r="K259" s="1054">
        <v>6475853</v>
      </c>
      <c r="L259" s="208"/>
      <c r="M259" s="209"/>
      <c r="N259" s="209"/>
      <c r="O259" s="209"/>
      <c r="P259" s="209"/>
      <c r="Q259" s="209"/>
      <c r="R259" s="209"/>
      <c r="S259" s="209"/>
      <c r="T259" s="209"/>
      <c r="U259" s="209"/>
      <c r="V259" s="209"/>
      <c r="W259" s="209"/>
    </row>
    <row r="260" spans="1:23" ht="11.25" customHeight="1">
      <c r="A260" s="1170" t="str">
        <f t="shared" si="32"/>
        <v>8.6 - 225 - COMMUNITY HALLS</v>
      </c>
      <c r="B260" s="1046"/>
      <c r="C260" s="1053">
        <v>11233870</v>
      </c>
      <c r="D260" s="1054">
        <v>12794641</v>
      </c>
      <c r="E260" s="1054">
        <v>14139017</v>
      </c>
      <c r="F260" s="1617">
        <v>21787452.588</v>
      </c>
      <c r="G260" s="1053">
        <v>21465006</v>
      </c>
      <c r="H260" s="1053">
        <v>21465006</v>
      </c>
      <c r="I260" s="1057">
        <v>24804916</v>
      </c>
      <c r="J260" s="1053">
        <v>25923262</v>
      </c>
      <c r="K260" s="1054">
        <v>27507594</v>
      </c>
      <c r="L260" s="208"/>
      <c r="M260" s="209"/>
      <c r="N260" s="209"/>
      <c r="O260" s="209"/>
      <c r="P260" s="209"/>
      <c r="Q260" s="209"/>
      <c r="R260" s="209"/>
      <c r="S260" s="209"/>
      <c r="T260" s="209"/>
      <c r="U260" s="209"/>
      <c r="V260" s="209"/>
      <c r="W260" s="209"/>
    </row>
    <row r="261" spans="1:23" ht="11.25" customHeight="1">
      <c r="A261" s="1170" t="str">
        <f t="shared" si="32"/>
        <v>8.7 - 230 - KLOOF HOLIDAY RESORT</v>
      </c>
      <c r="B261" s="1046"/>
      <c r="C261" s="1053">
        <v>160876</v>
      </c>
      <c r="D261" s="1054">
        <v>183963</v>
      </c>
      <c r="E261" s="1054">
        <v>205636</v>
      </c>
      <c r="F261" s="1617">
        <v>223372</v>
      </c>
      <c r="G261" s="1053">
        <v>186307</v>
      </c>
      <c r="H261" s="1053">
        <v>186307</v>
      </c>
      <c r="I261" s="1057">
        <v>10534930</v>
      </c>
      <c r="J261" s="1053">
        <v>10960205</v>
      </c>
      <c r="K261" s="1054">
        <v>11402694</v>
      </c>
      <c r="L261" s="208"/>
      <c r="M261" s="209"/>
      <c r="N261" s="209"/>
      <c r="O261" s="209"/>
      <c r="P261" s="209"/>
      <c r="Q261" s="209"/>
      <c r="R261" s="209"/>
      <c r="S261" s="209"/>
      <c r="T261" s="209"/>
      <c r="U261" s="209"/>
      <c r="V261" s="209"/>
      <c r="W261" s="209"/>
    </row>
    <row r="262" spans="1:23" ht="11.25" customHeight="1">
      <c r="A262" s="1170" t="str">
        <f t="shared" si="32"/>
        <v>8.8 - 235 - PARKS AND OPEN AREAS</v>
      </c>
      <c r="B262" s="1046"/>
      <c r="C262" s="1053">
        <v>20122899</v>
      </c>
      <c r="D262" s="1054">
        <v>22090171</v>
      </c>
      <c r="E262" s="1054">
        <v>22951287</v>
      </c>
      <c r="F262" s="1617">
        <v>24473280.283999998</v>
      </c>
      <c r="G262" s="1053">
        <v>26501598</v>
      </c>
      <c r="H262" s="1053">
        <v>26501598</v>
      </c>
      <c r="I262" s="1057">
        <v>28401373</v>
      </c>
      <c r="J262" s="1053">
        <v>29231767</v>
      </c>
      <c r="K262" s="1054">
        <v>30973511</v>
      </c>
      <c r="L262" s="208"/>
      <c r="M262" s="209"/>
      <c r="N262" s="209"/>
      <c r="O262" s="209"/>
      <c r="P262" s="209"/>
      <c r="Q262" s="209"/>
      <c r="R262" s="209"/>
      <c r="S262" s="209"/>
      <c r="T262" s="209"/>
      <c r="U262" s="209"/>
      <c r="V262" s="209"/>
      <c r="W262" s="209"/>
    </row>
    <row r="263" spans="1:23" ht="11.25" customHeight="1">
      <c r="A263" s="1170" t="str">
        <f t="shared" si="32"/>
        <v>8.9 - 245 - SPORT FACILITIES</v>
      </c>
      <c r="B263" s="1046"/>
      <c r="C263" s="1053">
        <v>9963674.7799999993</v>
      </c>
      <c r="D263" s="1054">
        <v>11349989</v>
      </c>
      <c r="E263" s="1054">
        <v>11050867</v>
      </c>
      <c r="F263" s="1617">
        <v>13136687.432</v>
      </c>
      <c r="G263" s="1053">
        <v>13369406</v>
      </c>
      <c r="H263" s="1053">
        <v>13369406</v>
      </c>
      <c r="I263" s="1057">
        <v>52821311</v>
      </c>
      <c r="J263" s="1053">
        <v>54765131</v>
      </c>
      <c r="K263" s="1054">
        <v>57167725</v>
      </c>
      <c r="L263" s="208"/>
      <c r="M263" s="209"/>
      <c r="N263" s="209"/>
      <c r="O263" s="209"/>
      <c r="P263" s="209"/>
      <c r="Q263" s="209"/>
      <c r="R263" s="209"/>
      <c r="S263" s="209"/>
      <c r="T263" s="209"/>
      <c r="U263" s="209"/>
      <c r="V263" s="209"/>
      <c r="W263" s="209"/>
    </row>
    <row r="264" spans="1:23" ht="11.25" customHeight="1">
      <c r="A264" s="1170" t="str">
        <f t="shared" si="32"/>
        <v>8.10 - 250 - SWIMMING POOLS</v>
      </c>
      <c r="B264" s="1046"/>
      <c r="C264" s="1053">
        <v>3977232.3099999991</v>
      </c>
      <c r="D264" s="1054">
        <v>4603411</v>
      </c>
      <c r="E264" s="1054">
        <v>5364732</v>
      </c>
      <c r="F264" s="1617">
        <v>5401810.0339999991</v>
      </c>
      <c r="G264" s="1053">
        <v>5328141</v>
      </c>
      <c r="H264" s="1053">
        <v>5328141</v>
      </c>
      <c r="I264" s="1057">
        <v>9523246</v>
      </c>
      <c r="J264" s="1053">
        <v>9862853</v>
      </c>
      <c r="K264" s="1054">
        <v>10413546</v>
      </c>
      <c r="L264" s="208"/>
      <c r="M264" s="209"/>
      <c r="N264" s="209"/>
      <c r="O264" s="209"/>
      <c r="P264" s="209"/>
      <c r="Q264" s="209"/>
      <c r="R264" s="209"/>
      <c r="S264" s="209"/>
      <c r="T264" s="209"/>
      <c r="U264" s="209"/>
      <c r="V264" s="209"/>
      <c r="W264" s="209"/>
    </row>
    <row r="265" spans="1:23" ht="15" customHeight="1">
      <c r="A265" s="1169" t="str">
        <f t="shared" si="32"/>
        <v>Vote 9 - TECHNICAL AND INFRASTRUCTURE</v>
      </c>
      <c r="B265" s="1046"/>
      <c r="C265" s="976">
        <f t="shared" ref="C265:K265" si="33">SUM(C266:C275)</f>
        <v>1432370430</v>
      </c>
      <c r="D265" s="976">
        <f t="shared" si="33"/>
        <v>1629733546</v>
      </c>
      <c r="E265" s="977">
        <f t="shared" si="33"/>
        <v>1521258319</v>
      </c>
      <c r="F265" s="978">
        <f t="shared" si="33"/>
        <v>1965084276.9319999</v>
      </c>
      <c r="G265" s="976">
        <f t="shared" si="33"/>
        <v>1875427070</v>
      </c>
      <c r="H265" s="979">
        <f t="shared" si="33"/>
        <v>1875427070</v>
      </c>
      <c r="I265" s="980">
        <f t="shared" si="33"/>
        <v>1754908774</v>
      </c>
      <c r="J265" s="976">
        <f t="shared" si="33"/>
        <v>1841138207</v>
      </c>
      <c r="K265" s="977">
        <f t="shared" si="33"/>
        <v>1949643433.5</v>
      </c>
      <c r="L265" s="208"/>
      <c r="M265" s="209"/>
      <c r="N265" s="209"/>
      <c r="O265" s="209"/>
      <c r="P265" s="209"/>
      <c r="Q265" s="209"/>
      <c r="R265" s="209"/>
      <c r="S265" s="209"/>
      <c r="T265" s="209"/>
      <c r="U265" s="209"/>
      <c r="V265" s="209"/>
      <c r="W265" s="209"/>
    </row>
    <row r="266" spans="1:23" ht="11.25" customHeight="1">
      <c r="A266" s="1170" t="str">
        <f t="shared" si="32"/>
        <v>9.1 - 300 - OFFICE OF THE DIRECTOR TECHNICAL SERVICSE AND INFRASTRUCTURE DEVELOPMENT</v>
      </c>
      <c r="B266" s="1046"/>
      <c r="C266" s="1053">
        <v>9917975</v>
      </c>
      <c r="D266" s="1054">
        <v>6842004</v>
      </c>
      <c r="E266" s="1054">
        <v>6394076</v>
      </c>
      <c r="F266" s="1617">
        <v>7183900.7279999992</v>
      </c>
      <c r="G266" s="1053">
        <v>6690791</v>
      </c>
      <c r="H266" s="1053">
        <v>6690791</v>
      </c>
      <c r="I266" s="1057">
        <v>8063020</v>
      </c>
      <c r="J266" s="1053">
        <v>7228544</v>
      </c>
      <c r="K266" s="1054">
        <v>9421775</v>
      </c>
      <c r="L266" s="208"/>
      <c r="M266" s="209"/>
      <c r="N266" s="209"/>
      <c r="O266" s="209"/>
      <c r="P266" s="209"/>
      <c r="Q266" s="209"/>
      <c r="R266" s="209"/>
      <c r="S266" s="209"/>
      <c r="T266" s="209"/>
      <c r="U266" s="209"/>
      <c r="V266" s="209"/>
      <c r="W266" s="209"/>
    </row>
    <row r="267" spans="1:23" ht="11.25" customHeight="1">
      <c r="A267" s="1170" t="str">
        <f t="shared" si="32"/>
        <v>9.2 - 305 - CIVIL FACILITIES DEVELOPMENT AND MANAGEMENT</v>
      </c>
      <c r="B267" s="1046"/>
      <c r="C267" s="1053">
        <v>6030972</v>
      </c>
      <c r="D267" s="1054">
        <v>7899594</v>
      </c>
      <c r="E267" s="1054">
        <v>7086238</v>
      </c>
      <c r="F267" s="1617">
        <v>20541177.193999998</v>
      </c>
      <c r="G267" s="1053">
        <v>20591864</v>
      </c>
      <c r="H267" s="1053">
        <v>20591864</v>
      </c>
      <c r="I267" s="1057">
        <v>35160916</v>
      </c>
      <c r="J267" s="1053">
        <v>36346329</v>
      </c>
      <c r="K267" s="1054">
        <v>38171500</v>
      </c>
      <c r="L267" s="208"/>
      <c r="M267" s="209"/>
      <c r="N267" s="209"/>
      <c r="O267" s="209"/>
      <c r="P267" s="209"/>
      <c r="Q267" s="209"/>
      <c r="R267" s="209"/>
      <c r="S267" s="209"/>
      <c r="T267" s="209"/>
      <c r="U267" s="209"/>
      <c r="V267" s="209"/>
      <c r="W267" s="209"/>
    </row>
    <row r="268" spans="1:23" ht="11.25" customHeight="1">
      <c r="A268" s="1170" t="str">
        <f t="shared" si="32"/>
        <v>9.3 - 310 - ELECTRICAL ENGINEERING SERVICES</v>
      </c>
      <c r="B268" s="1046"/>
      <c r="C268" s="1053">
        <v>756252254</v>
      </c>
      <c r="D268" s="1054">
        <v>932439623</v>
      </c>
      <c r="E268" s="1054">
        <v>675054338</v>
      </c>
      <c r="F268" s="1617">
        <v>1289685303</v>
      </c>
      <c r="G268" s="1053">
        <v>1155997191</v>
      </c>
      <c r="H268" s="1053">
        <v>1155997191</v>
      </c>
      <c r="I268" s="1057">
        <v>900753963</v>
      </c>
      <c r="J268" s="1053">
        <v>961648869</v>
      </c>
      <c r="K268" s="1054">
        <v>1029355755</v>
      </c>
      <c r="L268" s="208"/>
      <c r="M268" s="209"/>
      <c r="N268" s="209"/>
      <c r="O268" s="209"/>
      <c r="P268" s="209"/>
      <c r="Q268" s="209"/>
      <c r="R268" s="209"/>
      <c r="S268" s="209"/>
      <c r="T268" s="209"/>
      <c r="U268" s="209"/>
      <c r="V268" s="209"/>
      <c r="W268" s="209"/>
    </row>
    <row r="269" spans="1:23" ht="11.25" customHeight="1">
      <c r="A269" s="1170" t="str">
        <f t="shared" si="32"/>
        <v>9.4 - 315 - STREET LIGHTING</v>
      </c>
      <c r="B269" s="1046"/>
      <c r="C269" s="1053">
        <v>7286298</v>
      </c>
      <c r="D269" s="1054">
        <v>5439555</v>
      </c>
      <c r="E269" s="1054">
        <v>6891284</v>
      </c>
      <c r="F269" s="1617">
        <v>12104335.008000001</v>
      </c>
      <c r="G269" s="1053">
        <v>11414314</v>
      </c>
      <c r="H269" s="1053">
        <v>11414314</v>
      </c>
      <c r="I269" s="1057">
        <v>10981405</v>
      </c>
      <c r="J269" s="1053">
        <v>11641399</v>
      </c>
      <c r="K269" s="1054">
        <v>12271632</v>
      </c>
      <c r="L269" s="208"/>
      <c r="M269" s="209"/>
      <c r="N269" s="209"/>
      <c r="O269" s="209"/>
      <c r="P269" s="209"/>
      <c r="Q269" s="209"/>
      <c r="R269" s="209"/>
      <c r="S269" s="209"/>
      <c r="T269" s="209"/>
      <c r="U269" s="209"/>
      <c r="V269" s="209"/>
      <c r="W269" s="209"/>
    </row>
    <row r="270" spans="1:23" ht="11.25" customHeight="1">
      <c r="A270" s="1170" t="str">
        <f t="shared" si="32"/>
        <v>9.5 - 335 - ROADS AND STORMWATER</v>
      </c>
      <c r="B270" s="1046"/>
      <c r="C270" s="1053">
        <v>228008206</v>
      </c>
      <c r="D270" s="1054">
        <v>120175605</v>
      </c>
      <c r="E270" s="1054">
        <v>81836077</v>
      </c>
      <c r="F270" s="1617">
        <v>81941420</v>
      </c>
      <c r="G270" s="1053">
        <v>99572940</v>
      </c>
      <c r="H270" s="1053">
        <v>99572940</v>
      </c>
      <c r="I270" s="2535">
        <v>154514473</v>
      </c>
      <c r="J270" s="1615">
        <v>165498343</v>
      </c>
      <c r="K270" s="1618">
        <v>176953943</v>
      </c>
      <c r="L270" s="208"/>
      <c r="M270" s="209"/>
      <c r="N270" s="209"/>
      <c r="O270" s="209"/>
      <c r="P270" s="209"/>
      <c r="Q270" s="209"/>
      <c r="R270" s="209"/>
      <c r="S270" s="209"/>
      <c r="T270" s="209"/>
      <c r="U270" s="209"/>
      <c r="V270" s="209"/>
      <c r="W270" s="209"/>
    </row>
    <row r="271" spans="1:23" ht="11.25" customHeight="1">
      <c r="A271" s="1170" t="str">
        <f t="shared" si="32"/>
        <v>9.6 - 325 - MECHANICAL ENGINEERING SERVICES</v>
      </c>
      <c r="B271" s="1046"/>
      <c r="C271" s="1053">
        <v>5397275</v>
      </c>
      <c r="D271" s="1054">
        <v>6059810</v>
      </c>
      <c r="E271" s="1054">
        <v>8334515</v>
      </c>
      <c r="F271" s="1617">
        <v>24583164.041999999</v>
      </c>
      <c r="G271" s="1053">
        <v>21186849</v>
      </c>
      <c r="H271" s="1053">
        <v>21186849</v>
      </c>
      <c r="I271" s="1057">
        <v>23870747</v>
      </c>
      <c r="J271" s="1053">
        <v>25571616</v>
      </c>
      <c r="K271" s="1057">
        <v>27225900</v>
      </c>
      <c r="L271" s="208"/>
      <c r="M271" s="209"/>
      <c r="N271" s="209"/>
      <c r="O271" s="209"/>
      <c r="P271" s="209"/>
      <c r="Q271" s="209"/>
      <c r="R271" s="209"/>
      <c r="S271" s="209"/>
      <c r="T271" s="209"/>
      <c r="U271" s="209"/>
      <c r="V271" s="209"/>
      <c r="W271" s="209"/>
    </row>
    <row r="272" spans="1:23" ht="11.25" customHeight="1">
      <c r="A272" s="1170" t="str">
        <f t="shared" si="32"/>
        <v>9.7 - 340 - WATER SERVICE &amp; 341 - BOSPOORT WATERWORKS</v>
      </c>
      <c r="B272" s="1046"/>
      <c r="C272" s="1053">
        <v>262451152</v>
      </c>
      <c r="D272" s="1054">
        <v>221811877</v>
      </c>
      <c r="E272" s="1054">
        <v>261531664</v>
      </c>
      <c r="F272" s="1617">
        <f>358686183.098+231</f>
        <v>358686414.09799999</v>
      </c>
      <c r="G272" s="1053">
        <v>382436520</v>
      </c>
      <c r="H272" s="1053">
        <v>382436520</v>
      </c>
      <c r="I272" s="1057">
        <f>398594981+102</f>
        <v>398595083</v>
      </c>
      <c r="J272" s="1053">
        <f>408281192+133</f>
        <v>408281325</v>
      </c>
      <c r="K272" s="1054">
        <f>424352118+405</f>
        <v>424352523</v>
      </c>
      <c r="L272" s="208"/>
      <c r="M272" s="209"/>
      <c r="N272" s="209"/>
      <c r="O272" s="209"/>
      <c r="P272" s="209"/>
      <c r="Q272" s="209"/>
      <c r="R272" s="209"/>
      <c r="S272" s="209"/>
      <c r="T272" s="209"/>
      <c r="U272" s="209"/>
      <c r="V272" s="209"/>
      <c r="W272" s="209"/>
    </row>
    <row r="273" spans="1:23" ht="11.25" customHeight="1">
      <c r="A273" s="1170" t="str">
        <f t="shared" si="32"/>
        <v>9.8 - 345 - SANITATION SERVICE</v>
      </c>
      <c r="B273" s="1046"/>
      <c r="C273" s="1053">
        <v>69012822</v>
      </c>
      <c r="D273" s="1054">
        <v>175709841</v>
      </c>
      <c r="E273" s="1054">
        <v>401558130</v>
      </c>
      <c r="F273" s="1617">
        <v>90480886.818000004</v>
      </c>
      <c r="G273" s="1053">
        <f>85464138-18</f>
        <v>85464120</v>
      </c>
      <c r="H273" s="1053">
        <f>85464138-18</f>
        <v>85464120</v>
      </c>
      <c r="I273" s="1057">
        <v>103958699</v>
      </c>
      <c r="J273" s="1053">
        <v>106497991</v>
      </c>
      <c r="K273" s="1054">
        <v>110084849.5</v>
      </c>
      <c r="L273" s="208"/>
      <c r="M273" s="209"/>
      <c r="N273" s="209"/>
      <c r="O273" s="209"/>
      <c r="P273" s="209"/>
      <c r="Q273" s="209"/>
      <c r="R273" s="209"/>
      <c r="S273" s="209"/>
      <c r="T273" s="209"/>
      <c r="U273" s="209"/>
      <c r="V273" s="209"/>
      <c r="W273" s="209"/>
    </row>
    <row r="274" spans="1:23" ht="11.25" customHeight="1">
      <c r="A274" s="1170" t="str">
        <f t="shared" si="32"/>
        <v>9.9 - 350 - SEWERAGE PURIFICATION</v>
      </c>
      <c r="B274" s="1046"/>
      <c r="C274" s="1053">
        <v>608980</v>
      </c>
      <c r="D274" s="1054">
        <v>744130</v>
      </c>
      <c r="E274" s="1054">
        <v>567889</v>
      </c>
      <c r="F274" s="1617">
        <v>761717</v>
      </c>
      <c r="G274" s="1053">
        <v>761717</v>
      </c>
      <c r="H274" s="1053">
        <v>761717</v>
      </c>
      <c r="I274" s="1057">
        <v>1716944</v>
      </c>
      <c r="J274" s="1053">
        <v>1632191</v>
      </c>
      <c r="K274" s="1054">
        <v>1426955</v>
      </c>
      <c r="L274" s="208"/>
      <c r="M274" s="209"/>
      <c r="N274" s="209"/>
      <c r="O274" s="209"/>
      <c r="P274" s="209"/>
      <c r="Q274" s="209"/>
      <c r="R274" s="209"/>
      <c r="S274" s="209"/>
      <c r="T274" s="209"/>
      <c r="U274" s="209"/>
      <c r="V274" s="209"/>
      <c r="W274" s="209"/>
    </row>
    <row r="275" spans="1:23" ht="11.25" customHeight="1">
      <c r="A275" s="1170" t="str">
        <f t="shared" si="32"/>
        <v>9.10 - 360 - WASTE MANAGEMENT</v>
      </c>
      <c r="B275" s="1046"/>
      <c r="C275" s="1053">
        <v>87404496</v>
      </c>
      <c r="D275" s="1054">
        <v>152611507</v>
      </c>
      <c r="E275" s="1054">
        <v>72004108</v>
      </c>
      <c r="F275" s="1617">
        <v>79115959.044</v>
      </c>
      <c r="G275" s="1053">
        <v>91310764</v>
      </c>
      <c r="H275" s="1053">
        <v>91310764</v>
      </c>
      <c r="I275" s="1057">
        <v>117293524</v>
      </c>
      <c r="J275" s="1053">
        <v>116791600</v>
      </c>
      <c r="K275" s="1054">
        <v>120378601</v>
      </c>
      <c r="L275" s="208"/>
      <c r="M275" s="209"/>
      <c r="N275" s="209"/>
      <c r="O275" s="209"/>
      <c r="P275" s="209"/>
      <c r="Q275" s="209"/>
      <c r="R275" s="209"/>
      <c r="S275" s="209"/>
      <c r="T275" s="209"/>
      <c r="U275" s="209"/>
      <c r="V275" s="209"/>
      <c r="W275" s="209"/>
    </row>
    <row r="276" spans="1:23" ht="15" customHeight="1">
      <c r="A276" s="1169" t="str">
        <f>A106</f>
        <v>Vote 10 - RUSTENBURG WATER SERVICE TRUST</v>
      </c>
      <c r="B276" s="1046"/>
      <c r="C276" s="976">
        <f t="shared" ref="C276:K276" si="34">SUM(C277:C286)</f>
        <v>0</v>
      </c>
      <c r="D276" s="976">
        <f t="shared" si="34"/>
        <v>0</v>
      </c>
      <c r="E276" s="977">
        <f t="shared" si="34"/>
        <v>0</v>
      </c>
      <c r="F276" s="978">
        <f t="shared" si="34"/>
        <v>120645161</v>
      </c>
      <c r="G276" s="976">
        <f t="shared" si="34"/>
        <v>120645161</v>
      </c>
      <c r="H276" s="979">
        <f t="shared" si="34"/>
        <v>120645161</v>
      </c>
      <c r="I276" s="980">
        <f t="shared" si="34"/>
        <v>144115854</v>
      </c>
      <c r="J276" s="976">
        <f t="shared" si="34"/>
        <v>148815408</v>
      </c>
      <c r="K276" s="977">
        <f t="shared" si="34"/>
        <v>193699723</v>
      </c>
      <c r="L276" s="208"/>
      <c r="M276" s="209"/>
      <c r="N276" s="209"/>
      <c r="O276" s="209"/>
      <c r="P276" s="209"/>
      <c r="Q276" s="209"/>
      <c r="R276" s="209"/>
      <c r="S276" s="209"/>
      <c r="T276" s="209"/>
      <c r="U276" s="209"/>
      <c r="V276" s="209"/>
      <c r="W276" s="209"/>
    </row>
    <row r="277" spans="1:23" ht="11.25" customHeight="1">
      <c r="A277" s="1170" t="str">
        <f>A107</f>
        <v>10.1 - RUSTENBURG WATER SERVICE TRUST</v>
      </c>
      <c r="B277" s="1046"/>
      <c r="C277" s="1053"/>
      <c r="D277" s="1053"/>
      <c r="E277" s="1054"/>
      <c r="F277" s="1055">
        <v>120645161</v>
      </c>
      <c r="G277" s="1055">
        <v>120645161</v>
      </c>
      <c r="H277" s="1056">
        <v>120645161</v>
      </c>
      <c r="I277" s="1057">
        <v>144115854</v>
      </c>
      <c r="J277" s="1053">
        <v>148815408</v>
      </c>
      <c r="K277" s="1054">
        <v>193699723</v>
      </c>
      <c r="L277" s="208"/>
      <c r="M277" s="209"/>
      <c r="N277" s="209"/>
      <c r="O277" s="209"/>
      <c r="P277" s="209"/>
      <c r="Q277" s="209"/>
      <c r="R277" s="209"/>
      <c r="S277" s="209"/>
      <c r="T277" s="209"/>
      <c r="U277" s="209"/>
      <c r="V277" s="209"/>
      <c r="W277" s="209"/>
    </row>
    <row r="278" spans="1:23" ht="11.25" customHeight="1">
      <c r="A278" s="1170">
        <f t="shared" ref="A278:A285" si="35">A108</f>
        <v>0</v>
      </c>
      <c r="B278" s="1046"/>
      <c r="C278" s="1053"/>
      <c r="D278" s="1053"/>
      <c r="E278" s="1054"/>
      <c r="F278" s="1055"/>
      <c r="G278" s="1053"/>
      <c r="H278" s="1056"/>
      <c r="I278" s="1057"/>
      <c r="J278" s="1053"/>
      <c r="K278" s="1054"/>
      <c r="L278" s="208"/>
      <c r="M278" s="209"/>
      <c r="N278" s="209"/>
      <c r="O278" s="209"/>
      <c r="P278" s="209"/>
      <c r="Q278" s="209"/>
      <c r="R278" s="209"/>
      <c r="S278" s="209"/>
      <c r="T278" s="209"/>
      <c r="U278" s="209"/>
      <c r="V278" s="209"/>
      <c r="W278" s="209"/>
    </row>
    <row r="279" spans="1:23" ht="11.25" customHeight="1">
      <c r="A279" s="1170">
        <f t="shared" si="35"/>
        <v>0</v>
      </c>
      <c r="B279" s="1046"/>
      <c r="C279" s="1053"/>
      <c r="D279" s="1053"/>
      <c r="E279" s="1054"/>
      <c r="F279" s="1055"/>
      <c r="G279" s="1053"/>
      <c r="H279" s="1056"/>
      <c r="I279" s="1057"/>
      <c r="J279" s="1053"/>
      <c r="K279" s="1054"/>
      <c r="L279" s="208"/>
      <c r="M279" s="209"/>
      <c r="N279" s="209"/>
      <c r="O279" s="209"/>
      <c r="P279" s="209"/>
      <c r="Q279" s="209"/>
      <c r="R279" s="209"/>
      <c r="S279" s="209"/>
      <c r="T279" s="209"/>
      <c r="U279" s="209"/>
      <c r="V279" s="209"/>
      <c r="W279" s="209"/>
    </row>
    <row r="280" spans="1:23" ht="11.25" customHeight="1">
      <c r="A280" s="1170">
        <f t="shared" si="35"/>
        <v>0</v>
      </c>
      <c r="B280" s="1046"/>
      <c r="C280" s="1053"/>
      <c r="D280" s="1053"/>
      <c r="E280" s="1054"/>
      <c r="F280" s="1055"/>
      <c r="G280" s="1053"/>
      <c r="H280" s="1056"/>
      <c r="I280" s="1057"/>
      <c r="J280" s="1053"/>
      <c r="K280" s="1054"/>
      <c r="L280" s="208"/>
      <c r="M280" s="209"/>
      <c r="N280" s="209"/>
      <c r="O280" s="209"/>
      <c r="P280" s="209"/>
      <c r="Q280" s="209"/>
      <c r="R280" s="209"/>
      <c r="S280" s="209"/>
      <c r="T280" s="209"/>
      <c r="U280" s="209"/>
      <c r="V280" s="209"/>
      <c r="W280" s="209"/>
    </row>
    <row r="281" spans="1:23" ht="11.25" customHeight="1">
      <c r="A281" s="1170">
        <f t="shared" si="35"/>
        <v>0</v>
      </c>
      <c r="B281" s="1046"/>
      <c r="C281" s="1053"/>
      <c r="D281" s="1053"/>
      <c r="E281" s="1054"/>
      <c r="F281" s="1055"/>
      <c r="G281" s="1053"/>
      <c r="H281" s="1056"/>
      <c r="I281" s="1057"/>
      <c r="J281" s="1053"/>
      <c r="K281" s="1054"/>
      <c r="L281" s="208"/>
      <c r="M281" s="209"/>
      <c r="N281" s="209"/>
      <c r="O281" s="209"/>
      <c r="P281" s="209"/>
      <c r="Q281" s="209"/>
      <c r="R281" s="209"/>
      <c r="S281" s="209"/>
      <c r="T281" s="209"/>
      <c r="U281" s="209"/>
      <c r="V281" s="209"/>
      <c r="W281" s="209"/>
    </row>
    <row r="282" spans="1:23" ht="11.25" customHeight="1">
      <c r="A282" s="1170">
        <f t="shared" si="35"/>
        <v>0</v>
      </c>
      <c r="B282" s="1046"/>
      <c r="C282" s="1053"/>
      <c r="D282" s="1053"/>
      <c r="E282" s="1054"/>
      <c r="F282" s="1055"/>
      <c r="G282" s="1053"/>
      <c r="H282" s="1056"/>
      <c r="I282" s="1057"/>
      <c r="J282" s="1053"/>
      <c r="K282" s="1054"/>
      <c r="L282" s="208"/>
      <c r="M282" s="209"/>
      <c r="N282" s="209"/>
      <c r="O282" s="209"/>
      <c r="P282" s="209"/>
      <c r="Q282" s="209"/>
      <c r="R282" s="209"/>
      <c r="S282" s="209"/>
      <c r="T282" s="209"/>
      <c r="U282" s="209"/>
      <c r="V282" s="209"/>
      <c r="W282" s="209"/>
    </row>
    <row r="283" spans="1:23" ht="11.25" customHeight="1">
      <c r="A283" s="1170">
        <f t="shared" si="35"/>
        <v>0</v>
      </c>
      <c r="B283" s="1046"/>
      <c r="C283" s="1053"/>
      <c r="D283" s="1053"/>
      <c r="E283" s="1054"/>
      <c r="F283" s="1055"/>
      <c r="G283" s="1053"/>
      <c r="H283" s="1056"/>
      <c r="I283" s="1057"/>
      <c r="J283" s="1053"/>
      <c r="K283" s="1054"/>
      <c r="L283" s="208"/>
      <c r="M283" s="209"/>
      <c r="N283" s="209"/>
      <c r="O283" s="209"/>
      <c r="P283" s="209"/>
      <c r="Q283" s="209"/>
      <c r="R283" s="209"/>
      <c r="S283" s="209"/>
      <c r="T283" s="209"/>
      <c r="U283" s="209"/>
      <c r="V283" s="209"/>
      <c r="W283" s="209"/>
    </row>
    <row r="284" spans="1:23" ht="11.25" customHeight="1">
      <c r="A284" s="1170">
        <f t="shared" si="35"/>
        <v>0</v>
      </c>
      <c r="B284" s="1046"/>
      <c r="C284" s="1053"/>
      <c r="D284" s="1053"/>
      <c r="E284" s="1054"/>
      <c r="F284" s="1055"/>
      <c r="G284" s="1053"/>
      <c r="H284" s="1056"/>
      <c r="I284" s="1057"/>
      <c r="J284" s="1053"/>
      <c r="K284" s="1054"/>
      <c r="L284" s="208"/>
      <c r="M284" s="209"/>
      <c r="N284" s="209"/>
      <c r="O284" s="209"/>
      <c r="P284" s="209"/>
      <c r="Q284" s="209"/>
      <c r="R284" s="209"/>
      <c r="S284" s="209"/>
      <c r="T284" s="209"/>
      <c r="U284" s="209"/>
      <c r="V284" s="209"/>
      <c r="W284" s="209"/>
    </row>
    <row r="285" spans="1:23" ht="11.25" customHeight="1">
      <c r="A285" s="1170">
        <f t="shared" si="35"/>
        <v>0</v>
      </c>
      <c r="B285" s="1046"/>
      <c r="C285" s="1053"/>
      <c r="D285" s="1053"/>
      <c r="E285" s="1054"/>
      <c r="F285" s="1055"/>
      <c r="G285" s="1053"/>
      <c r="H285" s="1056"/>
      <c r="I285" s="1057"/>
      <c r="J285" s="1053"/>
      <c r="K285" s="1054"/>
      <c r="L285" s="208"/>
      <c r="M285" s="209"/>
      <c r="N285" s="209"/>
      <c r="O285" s="209"/>
      <c r="P285" s="209"/>
      <c r="Q285" s="209"/>
      <c r="R285" s="209"/>
      <c r="S285" s="209"/>
      <c r="T285" s="209"/>
      <c r="U285" s="209"/>
      <c r="V285" s="209"/>
      <c r="W285" s="209"/>
    </row>
    <row r="286" spans="1:23" ht="11.25" customHeight="1">
      <c r="A286" s="1170">
        <f>A116</f>
        <v>0</v>
      </c>
      <c r="B286" s="1046"/>
      <c r="C286" s="1053"/>
      <c r="D286" s="1053"/>
      <c r="E286" s="1054"/>
      <c r="F286" s="1055"/>
      <c r="G286" s="1053"/>
      <c r="H286" s="1056"/>
      <c r="I286" s="1057"/>
      <c r="J286" s="1053"/>
      <c r="K286" s="1054"/>
      <c r="L286" s="208"/>
      <c r="M286" s="209"/>
      <c r="N286" s="209"/>
      <c r="O286" s="209"/>
      <c r="P286" s="209"/>
      <c r="Q286" s="209"/>
      <c r="R286" s="209"/>
      <c r="S286" s="209"/>
      <c r="T286" s="209"/>
      <c r="U286" s="209"/>
      <c r="V286" s="209"/>
      <c r="W286" s="209"/>
    </row>
    <row r="287" spans="1:23" ht="15" customHeight="1">
      <c r="A287" s="1169" t="str">
        <f>A117</f>
        <v>Vote 11 - [NAME OF VOTE 11]</v>
      </c>
      <c r="B287" s="1046"/>
      <c r="C287" s="976">
        <f t="shared" ref="C287:K287" si="36">SUM(C288:C297)</f>
        <v>0</v>
      </c>
      <c r="D287" s="976">
        <f t="shared" si="36"/>
        <v>0</v>
      </c>
      <c r="E287" s="977">
        <f t="shared" si="36"/>
        <v>0</v>
      </c>
      <c r="F287" s="978">
        <f t="shared" si="36"/>
        <v>0</v>
      </c>
      <c r="G287" s="976">
        <f t="shared" si="36"/>
        <v>0</v>
      </c>
      <c r="H287" s="979">
        <f t="shared" si="36"/>
        <v>0</v>
      </c>
      <c r="I287" s="980">
        <f t="shared" si="36"/>
        <v>0</v>
      </c>
      <c r="J287" s="976">
        <f t="shared" si="36"/>
        <v>0</v>
      </c>
      <c r="K287" s="977">
        <f t="shared" si="36"/>
        <v>0</v>
      </c>
      <c r="L287" s="208"/>
      <c r="M287" s="209"/>
      <c r="N287" s="209"/>
      <c r="O287" s="209"/>
      <c r="P287" s="209"/>
      <c r="Q287" s="209"/>
      <c r="R287" s="209"/>
      <c r="S287" s="209"/>
      <c r="T287" s="209"/>
      <c r="U287" s="209"/>
      <c r="V287" s="209"/>
      <c r="W287" s="209"/>
    </row>
    <row r="288" spans="1:23" ht="11.25" customHeight="1">
      <c r="A288" s="1170" t="str">
        <f>A118</f>
        <v>11.1 - [Name of sub-vote]</v>
      </c>
      <c r="B288" s="1046"/>
      <c r="C288" s="1053"/>
      <c r="D288" s="1053"/>
      <c r="E288" s="1054"/>
      <c r="F288" s="1055"/>
      <c r="G288" s="1053"/>
      <c r="H288" s="1056"/>
      <c r="I288" s="1057"/>
      <c r="J288" s="1053"/>
      <c r="K288" s="1054"/>
      <c r="L288" s="208"/>
      <c r="M288" s="209"/>
      <c r="N288" s="209"/>
      <c r="O288" s="209"/>
      <c r="P288" s="209"/>
      <c r="Q288" s="209"/>
      <c r="R288" s="209"/>
      <c r="S288" s="209"/>
      <c r="T288" s="209"/>
      <c r="U288" s="209"/>
      <c r="V288" s="209"/>
      <c r="W288" s="209"/>
    </row>
    <row r="289" spans="1:23" ht="11.25" customHeight="1">
      <c r="A289" s="1170">
        <f t="shared" ref="A289:A341" si="37">A119</f>
        <v>0</v>
      </c>
      <c r="B289" s="1046"/>
      <c r="C289" s="1053"/>
      <c r="D289" s="1053"/>
      <c r="E289" s="1054"/>
      <c r="F289" s="1055"/>
      <c r="G289" s="1053"/>
      <c r="H289" s="1056"/>
      <c r="I289" s="1057"/>
      <c r="J289" s="1053"/>
      <c r="K289" s="1054"/>
      <c r="L289" s="208"/>
      <c r="M289" s="209"/>
      <c r="N289" s="209"/>
      <c r="O289" s="209"/>
      <c r="P289" s="209"/>
      <c r="Q289" s="209"/>
      <c r="R289" s="209"/>
      <c r="S289" s="209"/>
      <c r="T289" s="209"/>
      <c r="U289" s="209"/>
      <c r="V289" s="209"/>
      <c r="W289" s="209"/>
    </row>
    <row r="290" spans="1:23" ht="11.25" customHeight="1">
      <c r="A290" s="1170">
        <f t="shared" si="37"/>
        <v>0</v>
      </c>
      <c r="B290" s="1046"/>
      <c r="C290" s="1053"/>
      <c r="D290" s="1053"/>
      <c r="E290" s="1054"/>
      <c r="F290" s="1055"/>
      <c r="G290" s="1053"/>
      <c r="H290" s="1056"/>
      <c r="I290" s="1057"/>
      <c r="J290" s="1053"/>
      <c r="K290" s="1054"/>
      <c r="L290" s="208"/>
      <c r="M290" s="209"/>
      <c r="N290" s="209"/>
      <c r="O290" s="209"/>
      <c r="P290" s="209"/>
      <c r="Q290" s="209"/>
      <c r="R290" s="209"/>
      <c r="S290" s="209"/>
      <c r="T290" s="209"/>
      <c r="U290" s="209"/>
      <c r="V290" s="209"/>
      <c r="W290" s="209"/>
    </row>
    <row r="291" spans="1:23" ht="11.25" customHeight="1">
      <c r="A291" s="1170">
        <f t="shared" si="37"/>
        <v>0</v>
      </c>
      <c r="B291" s="1046"/>
      <c r="C291" s="1053"/>
      <c r="D291" s="1053"/>
      <c r="E291" s="1054"/>
      <c r="F291" s="1055"/>
      <c r="G291" s="1053"/>
      <c r="H291" s="1056"/>
      <c r="I291" s="1057"/>
      <c r="J291" s="1053"/>
      <c r="K291" s="1054"/>
      <c r="L291" s="208"/>
      <c r="M291" s="209"/>
      <c r="N291" s="209"/>
      <c r="O291" s="209"/>
      <c r="P291" s="209"/>
      <c r="Q291" s="209"/>
      <c r="R291" s="209"/>
      <c r="S291" s="209"/>
      <c r="T291" s="209"/>
      <c r="U291" s="209"/>
      <c r="V291" s="209"/>
      <c r="W291" s="209"/>
    </row>
    <row r="292" spans="1:23" ht="11.25" customHeight="1">
      <c r="A292" s="1170">
        <f t="shared" si="37"/>
        <v>0</v>
      </c>
      <c r="B292" s="1046"/>
      <c r="C292" s="1053"/>
      <c r="D292" s="1053"/>
      <c r="E292" s="1054"/>
      <c r="F292" s="1055"/>
      <c r="G292" s="1053"/>
      <c r="H292" s="1056"/>
      <c r="I292" s="1057"/>
      <c r="J292" s="1053"/>
      <c r="K292" s="1054"/>
      <c r="L292" s="208"/>
      <c r="M292" s="209"/>
      <c r="N292" s="209"/>
      <c r="O292" s="209"/>
      <c r="P292" s="209"/>
      <c r="Q292" s="209"/>
      <c r="R292" s="209"/>
      <c r="S292" s="209"/>
      <c r="T292" s="209"/>
      <c r="U292" s="209"/>
      <c r="V292" s="209"/>
      <c r="W292" s="209"/>
    </row>
    <row r="293" spans="1:23" ht="11.25" customHeight="1">
      <c r="A293" s="1170">
        <f t="shared" si="37"/>
        <v>0</v>
      </c>
      <c r="B293" s="1046"/>
      <c r="C293" s="1053"/>
      <c r="D293" s="1053"/>
      <c r="E293" s="1054"/>
      <c r="F293" s="1055"/>
      <c r="G293" s="1053"/>
      <c r="H293" s="1056"/>
      <c r="I293" s="1057"/>
      <c r="J293" s="1053"/>
      <c r="K293" s="1054"/>
      <c r="L293" s="208"/>
      <c r="M293" s="209"/>
      <c r="N293" s="209"/>
      <c r="O293" s="209"/>
      <c r="P293" s="209"/>
      <c r="Q293" s="209"/>
      <c r="R293" s="209"/>
      <c r="S293" s="209"/>
      <c r="T293" s="209"/>
      <c r="U293" s="209"/>
      <c r="V293" s="209"/>
      <c r="W293" s="209"/>
    </row>
    <row r="294" spans="1:23" ht="11.25" customHeight="1">
      <c r="A294" s="1170">
        <f t="shared" si="37"/>
        <v>0</v>
      </c>
      <c r="B294" s="1046"/>
      <c r="C294" s="1053"/>
      <c r="D294" s="1053"/>
      <c r="E294" s="1054"/>
      <c r="F294" s="1055"/>
      <c r="G294" s="1053"/>
      <c r="H294" s="1056"/>
      <c r="I294" s="1057"/>
      <c r="J294" s="1053"/>
      <c r="K294" s="1054"/>
      <c r="L294" s="208"/>
      <c r="M294" s="209"/>
      <c r="N294" s="209"/>
      <c r="O294" s="209"/>
      <c r="P294" s="209"/>
      <c r="Q294" s="209"/>
      <c r="R294" s="209"/>
      <c r="S294" s="209"/>
      <c r="T294" s="209"/>
      <c r="U294" s="209"/>
      <c r="V294" s="209"/>
      <c r="W294" s="209"/>
    </row>
    <row r="295" spans="1:23" ht="11.25" customHeight="1">
      <c r="A295" s="1170">
        <f t="shared" si="37"/>
        <v>0</v>
      </c>
      <c r="B295" s="1046"/>
      <c r="C295" s="1053"/>
      <c r="D295" s="1053"/>
      <c r="E295" s="1054"/>
      <c r="F295" s="1055"/>
      <c r="G295" s="1053"/>
      <c r="H295" s="1056"/>
      <c r="I295" s="1057"/>
      <c r="J295" s="1053"/>
      <c r="K295" s="1054"/>
      <c r="L295" s="208"/>
      <c r="M295" s="209"/>
      <c r="N295" s="209"/>
      <c r="O295" s="209"/>
      <c r="P295" s="209"/>
      <c r="Q295" s="209"/>
      <c r="R295" s="209"/>
      <c r="S295" s="209"/>
      <c r="T295" s="209"/>
      <c r="U295" s="209"/>
      <c r="V295" s="209"/>
      <c r="W295" s="209"/>
    </row>
    <row r="296" spans="1:23" ht="11.25" customHeight="1">
      <c r="A296" s="1170">
        <f t="shared" si="37"/>
        <v>0</v>
      </c>
      <c r="B296" s="1046"/>
      <c r="C296" s="1053"/>
      <c r="D296" s="1053"/>
      <c r="E296" s="1054"/>
      <c r="F296" s="1055"/>
      <c r="G296" s="1053"/>
      <c r="H296" s="1056"/>
      <c r="I296" s="1057"/>
      <c r="J296" s="1053"/>
      <c r="K296" s="1054"/>
      <c r="L296" s="208"/>
      <c r="M296" s="209"/>
      <c r="N296" s="209"/>
      <c r="O296" s="209"/>
      <c r="P296" s="209"/>
      <c r="Q296" s="209"/>
      <c r="R296" s="209"/>
      <c r="S296" s="209"/>
      <c r="T296" s="209"/>
      <c r="U296" s="209"/>
      <c r="V296" s="209"/>
      <c r="W296" s="209"/>
    </row>
    <row r="297" spans="1:23" ht="11.25" customHeight="1">
      <c r="A297" s="1170">
        <f t="shared" si="37"/>
        <v>0</v>
      </c>
      <c r="B297" s="1046"/>
      <c r="C297" s="1053"/>
      <c r="D297" s="1053"/>
      <c r="E297" s="1054"/>
      <c r="F297" s="1055"/>
      <c r="G297" s="1053"/>
      <c r="H297" s="1056"/>
      <c r="I297" s="1057"/>
      <c r="J297" s="1053"/>
      <c r="K297" s="1054"/>
      <c r="L297" s="208"/>
      <c r="M297" s="209"/>
      <c r="N297" s="209"/>
      <c r="O297" s="209"/>
      <c r="P297" s="209"/>
      <c r="Q297" s="209"/>
      <c r="R297" s="209"/>
      <c r="S297" s="209"/>
      <c r="T297" s="209"/>
      <c r="U297" s="209"/>
      <c r="V297" s="209"/>
      <c r="W297" s="209"/>
    </row>
    <row r="298" spans="1:23" ht="15" customHeight="1">
      <c r="A298" s="1169" t="str">
        <f t="shared" si="37"/>
        <v>Vote 12 - [NAME OF VOTE 12]</v>
      </c>
      <c r="B298" s="1046"/>
      <c r="C298" s="976">
        <f t="shared" ref="C298:K298" si="38">SUM(C299:C308)</f>
        <v>0</v>
      </c>
      <c r="D298" s="976">
        <f t="shared" si="38"/>
        <v>0</v>
      </c>
      <c r="E298" s="977">
        <f t="shared" si="38"/>
        <v>0</v>
      </c>
      <c r="F298" s="978">
        <f t="shared" si="38"/>
        <v>0</v>
      </c>
      <c r="G298" s="976">
        <f t="shared" si="38"/>
        <v>0</v>
      </c>
      <c r="H298" s="979">
        <f t="shared" si="38"/>
        <v>0</v>
      </c>
      <c r="I298" s="980">
        <f t="shared" si="38"/>
        <v>0</v>
      </c>
      <c r="J298" s="976">
        <f t="shared" si="38"/>
        <v>0</v>
      </c>
      <c r="K298" s="977">
        <f t="shared" si="38"/>
        <v>0</v>
      </c>
      <c r="L298" s="208"/>
      <c r="M298" s="209"/>
      <c r="N298" s="209"/>
      <c r="O298" s="209"/>
      <c r="P298" s="209"/>
      <c r="Q298" s="209"/>
      <c r="R298" s="209"/>
      <c r="S298" s="209"/>
      <c r="T298" s="209"/>
      <c r="U298" s="209"/>
      <c r="V298" s="209"/>
      <c r="W298" s="209"/>
    </row>
    <row r="299" spans="1:23" ht="11.25" customHeight="1">
      <c r="A299" s="1170" t="str">
        <f t="shared" si="37"/>
        <v>12.1 - [Name of sub-vote]</v>
      </c>
      <c r="B299" s="1046"/>
      <c r="C299" s="1053"/>
      <c r="D299" s="1053"/>
      <c r="E299" s="1054"/>
      <c r="F299" s="1055"/>
      <c r="G299" s="1053"/>
      <c r="H299" s="1056"/>
      <c r="I299" s="1057"/>
      <c r="J299" s="1053"/>
      <c r="K299" s="1054"/>
      <c r="L299" s="208"/>
      <c r="M299" s="209"/>
      <c r="N299" s="209"/>
      <c r="O299" s="209"/>
      <c r="P299" s="209"/>
      <c r="Q299" s="209"/>
      <c r="R299" s="209"/>
      <c r="S299" s="209"/>
      <c r="T299" s="209"/>
      <c r="U299" s="209"/>
      <c r="V299" s="209"/>
      <c r="W299" s="209"/>
    </row>
    <row r="300" spans="1:23" ht="11.25" customHeight="1">
      <c r="A300" s="1170">
        <f t="shared" si="37"/>
        <v>0</v>
      </c>
      <c r="B300" s="1046"/>
      <c r="C300" s="1053"/>
      <c r="D300" s="1053"/>
      <c r="E300" s="1054"/>
      <c r="F300" s="1055"/>
      <c r="G300" s="1053"/>
      <c r="H300" s="1056"/>
      <c r="I300" s="1057"/>
      <c r="J300" s="1053"/>
      <c r="K300" s="1054"/>
      <c r="L300" s="208"/>
      <c r="M300" s="209"/>
      <c r="N300" s="209"/>
      <c r="O300" s="209"/>
      <c r="P300" s="209"/>
      <c r="Q300" s="209"/>
      <c r="R300" s="209"/>
      <c r="S300" s="209"/>
      <c r="T300" s="209"/>
      <c r="U300" s="209"/>
      <c r="V300" s="209"/>
      <c r="W300" s="209"/>
    </row>
    <row r="301" spans="1:23" ht="11.25" customHeight="1">
      <c r="A301" s="1170">
        <f t="shared" si="37"/>
        <v>0</v>
      </c>
      <c r="B301" s="1046"/>
      <c r="C301" s="1053"/>
      <c r="D301" s="1053"/>
      <c r="E301" s="1054"/>
      <c r="F301" s="1055"/>
      <c r="G301" s="1053"/>
      <c r="H301" s="1056"/>
      <c r="I301" s="1057"/>
      <c r="J301" s="1053"/>
      <c r="K301" s="1054"/>
      <c r="L301" s="208"/>
      <c r="M301" s="209"/>
      <c r="N301" s="209"/>
      <c r="O301" s="209"/>
      <c r="P301" s="209"/>
      <c r="Q301" s="209"/>
      <c r="R301" s="209"/>
      <c r="S301" s="209"/>
      <c r="T301" s="209"/>
      <c r="U301" s="209"/>
      <c r="V301" s="209"/>
      <c r="W301" s="209"/>
    </row>
    <row r="302" spans="1:23" ht="11.25" customHeight="1">
      <c r="A302" s="1170">
        <f t="shared" si="37"/>
        <v>0</v>
      </c>
      <c r="B302" s="1046"/>
      <c r="C302" s="1053"/>
      <c r="D302" s="1053"/>
      <c r="E302" s="1054"/>
      <c r="F302" s="1055"/>
      <c r="G302" s="1053"/>
      <c r="H302" s="1056"/>
      <c r="I302" s="1057"/>
      <c r="J302" s="1053"/>
      <c r="K302" s="1054"/>
      <c r="L302" s="208"/>
      <c r="M302" s="209"/>
      <c r="N302" s="209"/>
      <c r="O302" s="209"/>
      <c r="P302" s="209"/>
      <c r="Q302" s="209"/>
      <c r="R302" s="209"/>
      <c r="S302" s="209"/>
      <c r="T302" s="209"/>
      <c r="U302" s="209"/>
      <c r="V302" s="209"/>
      <c r="W302" s="209"/>
    </row>
    <row r="303" spans="1:23" ht="11.25" customHeight="1">
      <c r="A303" s="1170">
        <f t="shared" si="37"/>
        <v>0</v>
      </c>
      <c r="B303" s="1046"/>
      <c r="C303" s="1053"/>
      <c r="D303" s="1053"/>
      <c r="E303" s="1054"/>
      <c r="F303" s="1055"/>
      <c r="G303" s="1053"/>
      <c r="H303" s="1056"/>
      <c r="I303" s="1057"/>
      <c r="J303" s="1053"/>
      <c r="K303" s="1054"/>
      <c r="L303" s="208"/>
      <c r="M303" s="209"/>
      <c r="N303" s="209"/>
      <c r="O303" s="209"/>
      <c r="P303" s="209"/>
      <c r="Q303" s="209"/>
      <c r="R303" s="209"/>
      <c r="S303" s="209"/>
      <c r="T303" s="209"/>
      <c r="U303" s="209"/>
      <c r="V303" s="209"/>
      <c r="W303" s="209"/>
    </row>
    <row r="304" spans="1:23" ht="11.25" customHeight="1">
      <c r="A304" s="1170">
        <f t="shared" si="37"/>
        <v>0</v>
      </c>
      <c r="B304" s="1046"/>
      <c r="C304" s="1053"/>
      <c r="D304" s="1053"/>
      <c r="E304" s="1054"/>
      <c r="F304" s="1055"/>
      <c r="G304" s="1053"/>
      <c r="H304" s="1056"/>
      <c r="I304" s="1057"/>
      <c r="J304" s="1053"/>
      <c r="K304" s="1054"/>
      <c r="L304" s="208"/>
      <c r="M304" s="209"/>
      <c r="N304" s="209"/>
      <c r="O304" s="209"/>
      <c r="P304" s="209"/>
      <c r="Q304" s="209"/>
      <c r="R304" s="209"/>
      <c r="S304" s="209"/>
      <c r="T304" s="209"/>
      <c r="U304" s="209"/>
      <c r="V304" s="209"/>
      <c r="W304" s="209"/>
    </row>
    <row r="305" spans="1:23" ht="11.25" customHeight="1">
      <c r="A305" s="1170">
        <f t="shared" si="37"/>
        <v>0</v>
      </c>
      <c r="B305" s="1046"/>
      <c r="C305" s="1053"/>
      <c r="D305" s="1053"/>
      <c r="E305" s="1054"/>
      <c r="F305" s="1055"/>
      <c r="G305" s="1053"/>
      <c r="H305" s="1056"/>
      <c r="I305" s="1057"/>
      <c r="J305" s="1053"/>
      <c r="K305" s="1054"/>
      <c r="L305" s="208"/>
      <c r="M305" s="209"/>
      <c r="N305" s="209"/>
      <c r="O305" s="209"/>
      <c r="P305" s="209"/>
      <c r="Q305" s="209"/>
      <c r="R305" s="209"/>
      <c r="S305" s="209"/>
      <c r="T305" s="209"/>
      <c r="U305" s="209"/>
      <c r="V305" s="209"/>
      <c r="W305" s="209"/>
    </row>
    <row r="306" spans="1:23" ht="11.25" customHeight="1">
      <c r="A306" s="1170">
        <f t="shared" si="37"/>
        <v>0</v>
      </c>
      <c r="B306" s="1046"/>
      <c r="C306" s="1053"/>
      <c r="D306" s="1053"/>
      <c r="E306" s="1054"/>
      <c r="F306" s="1055"/>
      <c r="G306" s="1053"/>
      <c r="H306" s="1056"/>
      <c r="I306" s="1057"/>
      <c r="J306" s="1053"/>
      <c r="K306" s="1054"/>
      <c r="L306" s="208"/>
      <c r="M306" s="209"/>
      <c r="N306" s="209"/>
      <c r="O306" s="209"/>
      <c r="P306" s="209"/>
      <c r="Q306" s="209"/>
      <c r="R306" s="209"/>
      <c r="S306" s="209"/>
      <c r="T306" s="209"/>
      <c r="U306" s="209"/>
      <c r="V306" s="209"/>
      <c r="W306" s="209"/>
    </row>
    <row r="307" spans="1:23" ht="11.25" customHeight="1">
      <c r="A307" s="1170">
        <f t="shared" si="37"/>
        <v>0</v>
      </c>
      <c r="B307" s="1046"/>
      <c r="C307" s="1053"/>
      <c r="D307" s="1053"/>
      <c r="E307" s="1054"/>
      <c r="F307" s="1055"/>
      <c r="G307" s="1053"/>
      <c r="H307" s="1056"/>
      <c r="I307" s="1057"/>
      <c r="J307" s="1053"/>
      <c r="K307" s="1054"/>
      <c r="L307" s="208"/>
      <c r="M307" s="209"/>
      <c r="N307" s="209"/>
      <c r="O307" s="209"/>
      <c r="P307" s="209"/>
      <c r="Q307" s="209"/>
      <c r="R307" s="209"/>
      <c r="S307" s="209"/>
      <c r="T307" s="209"/>
      <c r="U307" s="209"/>
      <c r="V307" s="209"/>
      <c r="W307" s="209"/>
    </row>
    <row r="308" spans="1:23" ht="11.25" customHeight="1">
      <c r="A308" s="1170">
        <f t="shared" si="37"/>
        <v>0</v>
      </c>
      <c r="B308" s="1046"/>
      <c r="C308" s="1053"/>
      <c r="D308" s="1053"/>
      <c r="E308" s="1054"/>
      <c r="F308" s="1055"/>
      <c r="G308" s="1053"/>
      <c r="H308" s="1056"/>
      <c r="I308" s="1057"/>
      <c r="J308" s="1053"/>
      <c r="K308" s="1054"/>
      <c r="L308" s="208"/>
      <c r="M308" s="209"/>
      <c r="N308" s="209"/>
      <c r="O308" s="209"/>
      <c r="P308" s="209"/>
      <c r="Q308" s="209"/>
      <c r="R308" s="209"/>
      <c r="S308" s="209"/>
      <c r="T308" s="209"/>
      <c r="U308" s="209"/>
      <c r="V308" s="209"/>
      <c r="W308" s="209"/>
    </row>
    <row r="309" spans="1:23" ht="15" customHeight="1">
      <c r="A309" s="1169" t="str">
        <f t="shared" si="37"/>
        <v>Vote 13 - [NAME OF VOTE 13]</v>
      </c>
      <c r="B309" s="1046"/>
      <c r="C309" s="976">
        <f t="shared" ref="C309:K309" si="39">SUM(C310:C319)</f>
        <v>0</v>
      </c>
      <c r="D309" s="976">
        <f t="shared" si="39"/>
        <v>0</v>
      </c>
      <c r="E309" s="977">
        <f t="shared" si="39"/>
        <v>0</v>
      </c>
      <c r="F309" s="978">
        <f t="shared" si="39"/>
        <v>0</v>
      </c>
      <c r="G309" s="976">
        <f t="shared" si="39"/>
        <v>0</v>
      </c>
      <c r="H309" s="979">
        <f t="shared" si="39"/>
        <v>0</v>
      </c>
      <c r="I309" s="980">
        <f t="shared" si="39"/>
        <v>0</v>
      </c>
      <c r="J309" s="976">
        <f t="shared" si="39"/>
        <v>0</v>
      </c>
      <c r="K309" s="977">
        <f t="shared" si="39"/>
        <v>0</v>
      </c>
      <c r="L309" s="208"/>
      <c r="M309" s="209"/>
      <c r="N309" s="209"/>
      <c r="O309" s="209"/>
      <c r="P309" s="209"/>
      <c r="Q309" s="209"/>
      <c r="R309" s="209"/>
      <c r="S309" s="209"/>
      <c r="T309" s="209"/>
      <c r="U309" s="209"/>
      <c r="V309" s="209"/>
      <c r="W309" s="209"/>
    </row>
    <row r="310" spans="1:23" ht="11.25" customHeight="1">
      <c r="A310" s="1170" t="str">
        <f t="shared" si="37"/>
        <v>13.1 - [Name of sub-vote]</v>
      </c>
      <c r="B310" s="1046"/>
      <c r="C310" s="1053"/>
      <c r="D310" s="1053"/>
      <c r="E310" s="1054"/>
      <c r="F310" s="1055"/>
      <c r="G310" s="1053"/>
      <c r="H310" s="1056"/>
      <c r="I310" s="1057"/>
      <c r="J310" s="1053"/>
      <c r="K310" s="1054"/>
      <c r="L310" s="208"/>
      <c r="M310" s="209"/>
      <c r="N310" s="209"/>
      <c r="O310" s="209"/>
      <c r="P310" s="209"/>
      <c r="Q310" s="209"/>
      <c r="R310" s="209"/>
      <c r="S310" s="209"/>
      <c r="T310" s="209"/>
      <c r="U310" s="209"/>
      <c r="V310" s="209"/>
      <c r="W310" s="209"/>
    </row>
    <row r="311" spans="1:23" ht="11.25" customHeight="1">
      <c r="A311" s="1170">
        <f t="shared" si="37"/>
        <v>0</v>
      </c>
      <c r="B311" s="1046"/>
      <c r="C311" s="1053"/>
      <c r="D311" s="1053"/>
      <c r="E311" s="1054"/>
      <c r="F311" s="1055"/>
      <c r="G311" s="1053"/>
      <c r="H311" s="1056"/>
      <c r="I311" s="1057"/>
      <c r="J311" s="1053"/>
      <c r="K311" s="1054"/>
      <c r="L311" s="208"/>
      <c r="M311" s="209"/>
      <c r="N311" s="209"/>
      <c r="O311" s="209"/>
      <c r="P311" s="209"/>
      <c r="Q311" s="209"/>
      <c r="R311" s="209"/>
      <c r="S311" s="209"/>
      <c r="T311" s="209"/>
      <c r="U311" s="209"/>
      <c r="V311" s="209"/>
      <c r="W311" s="209"/>
    </row>
    <row r="312" spans="1:23" ht="11.25" customHeight="1">
      <c r="A312" s="1170">
        <f t="shared" si="37"/>
        <v>0</v>
      </c>
      <c r="B312" s="1046"/>
      <c r="C312" s="1053"/>
      <c r="D312" s="1053"/>
      <c r="E312" s="1054"/>
      <c r="F312" s="1055"/>
      <c r="G312" s="1053"/>
      <c r="H312" s="1056"/>
      <c r="I312" s="1057"/>
      <c r="J312" s="1053"/>
      <c r="K312" s="1054"/>
      <c r="L312" s="208"/>
      <c r="M312" s="209"/>
      <c r="N312" s="209"/>
      <c r="O312" s="209"/>
      <c r="P312" s="209"/>
      <c r="Q312" s="209"/>
      <c r="R312" s="209"/>
      <c r="S312" s="209"/>
      <c r="T312" s="209"/>
      <c r="U312" s="209"/>
      <c r="V312" s="209"/>
      <c r="W312" s="209"/>
    </row>
    <row r="313" spans="1:23" ht="11.25" customHeight="1">
      <c r="A313" s="1170">
        <f t="shared" si="37"/>
        <v>0</v>
      </c>
      <c r="B313" s="1046"/>
      <c r="C313" s="1053"/>
      <c r="D313" s="1053"/>
      <c r="E313" s="1054"/>
      <c r="F313" s="1055"/>
      <c r="G313" s="1053"/>
      <c r="H313" s="1056"/>
      <c r="I313" s="1057"/>
      <c r="J313" s="1053"/>
      <c r="K313" s="1054"/>
      <c r="L313" s="208"/>
      <c r="M313" s="209"/>
      <c r="N313" s="209"/>
      <c r="O313" s="209"/>
      <c r="P313" s="209"/>
      <c r="Q313" s="209"/>
      <c r="R313" s="209"/>
      <c r="S313" s="209"/>
      <c r="T313" s="209"/>
      <c r="U313" s="209"/>
      <c r="V313" s="209"/>
      <c r="W313" s="209"/>
    </row>
    <row r="314" spans="1:23" ht="11.25" customHeight="1">
      <c r="A314" s="1170">
        <f t="shared" si="37"/>
        <v>0</v>
      </c>
      <c r="B314" s="1046"/>
      <c r="C314" s="1053"/>
      <c r="D314" s="1053"/>
      <c r="E314" s="1054"/>
      <c r="F314" s="1055"/>
      <c r="G314" s="1053"/>
      <c r="H314" s="1056"/>
      <c r="I314" s="1057"/>
      <c r="J314" s="1053"/>
      <c r="K314" s="1054"/>
      <c r="L314" s="208"/>
      <c r="M314" s="209"/>
      <c r="N314" s="209"/>
      <c r="O314" s="209"/>
      <c r="P314" s="209"/>
      <c r="Q314" s="209"/>
      <c r="R314" s="209"/>
      <c r="S314" s="209"/>
      <c r="T314" s="209"/>
      <c r="U314" s="209"/>
      <c r="V314" s="209"/>
      <c r="W314" s="209"/>
    </row>
    <row r="315" spans="1:23" ht="11.25" customHeight="1">
      <c r="A315" s="1170">
        <f t="shared" si="37"/>
        <v>0</v>
      </c>
      <c r="B315" s="1046"/>
      <c r="C315" s="1053"/>
      <c r="D315" s="1053"/>
      <c r="E315" s="1054"/>
      <c r="F315" s="1055"/>
      <c r="G315" s="1053"/>
      <c r="H315" s="1056"/>
      <c r="I315" s="1057"/>
      <c r="J315" s="1053"/>
      <c r="K315" s="1054"/>
      <c r="L315" s="208"/>
      <c r="M315" s="209"/>
      <c r="N315" s="209"/>
      <c r="O315" s="209"/>
      <c r="P315" s="209"/>
      <c r="Q315" s="209"/>
      <c r="R315" s="209"/>
      <c r="S315" s="209"/>
      <c r="T315" s="209"/>
      <c r="U315" s="209"/>
      <c r="V315" s="209"/>
      <c r="W315" s="209"/>
    </row>
    <row r="316" spans="1:23" ht="11.25" customHeight="1">
      <c r="A316" s="1170">
        <f t="shared" si="37"/>
        <v>0</v>
      </c>
      <c r="B316" s="1046"/>
      <c r="C316" s="1053"/>
      <c r="D316" s="1053"/>
      <c r="E316" s="1054"/>
      <c r="F316" s="1055"/>
      <c r="G316" s="1053"/>
      <c r="H316" s="1056"/>
      <c r="I316" s="1057"/>
      <c r="J316" s="1053"/>
      <c r="K316" s="1054"/>
      <c r="L316" s="208"/>
      <c r="M316" s="209"/>
      <c r="N316" s="209"/>
      <c r="O316" s="209"/>
      <c r="P316" s="209"/>
      <c r="Q316" s="209"/>
      <c r="R316" s="209"/>
      <c r="S316" s="209"/>
      <c r="T316" s="209"/>
      <c r="U316" s="209"/>
      <c r="V316" s="209"/>
      <c r="W316" s="209"/>
    </row>
    <row r="317" spans="1:23" ht="11.25" customHeight="1">
      <c r="A317" s="1170">
        <f t="shared" si="37"/>
        <v>0</v>
      </c>
      <c r="B317" s="1046"/>
      <c r="C317" s="1053"/>
      <c r="D317" s="1053"/>
      <c r="E317" s="1054"/>
      <c r="F317" s="1055"/>
      <c r="G317" s="1053"/>
      <c r="H317" s="1056"/>
      <c r="I317" s="1057"/>
      <c r="J317" s="1053"/>
      <c r="K317" s="1054"/>
      <c r="L317" s="208"/>
      <c r="M317" s="209"/>
      <c r="N317" s="209"/>
      <c r="O317" s="209"/>
      <c r="P317" s="209"/>
      <c r="Q317" s="209"/>
      <c r="R317" s="209"/>
      <c r="S317" s="209"/>
      <c r="T317" s="209"/>
      <c r="U317" s="209"/>
      <c r="V317" s="209"/>
      <c r="W317" s="209"/>
    </row>
    <row r="318" spans="1:23" ht="11.25" customHeight="1">
      <c r="A318" s="1170">
        <f t="shared" si="37"/>
        <v>0</v>
      </c>
      <c r="B318" s="1046"/>
      <c r="C318" s="1053"/>
      <c r="D318" s="1053"/>
      <c r="E318" s="1054"/>
      <c r="F318" s="1055"/>
      <c r="G318" s="1053"/>
      <c r="H318" s="1056"/>
      <c r="I318" s="1057"/>
      <c r="J318" s="1053"/>
      <c r="K318" s="1054"/>
      <c r="L318" s="208"/>
      <c r="M318" s="209"/>
      <c r="N318" s="209"/>
      <c r="O318" s="209"/>
      <c r="P318" s="209"/>
      <c r="Q318" s="209"/>
      <c r="R318" s="209"/>
      <c r="S318" s="209"/>
      <c r="T318" s="209"/>
      <c r="U318" s="209"/>
      <c r="V318" s="209"/>
      <c r="W318" s="209"/>
    </row>
    <row r="319" spans="1:23" ht="11.25" customHeight="1">
      <c r="A319" s="1170">
        <f t="shared" si="37"/>
        <v>0</v>
      </c>
      <c r="B319" s="1046"/>
      <c r="C319" s="1053"/>
      <c r="D319" s="1053"/>
      <c r="E319" s="1054"/>
      <c r="F319" s="1055"/>
      <c r="G319" s="1053"/>
      <c r="H319" s="1056"/>
      <c r="I319" s="1057"/>
      <c r="J319" s="1053"/>
      <c r="K319" s="1054"/>
      <c r="L319" s="208"/>
      <c r="M319" s="209"/>
      <c r="N319" s="209"/>
      <c r="O319" s="209"/>
      <c r="P319" s="209"/>
      <c r="Q319" s="209"/>
      <c r="R319" s="209"/>
      <c r="S319" s="209"/>
      <c r="T319" s="209"/>
      <c r="U319" s="209"/>
      <c r="V319" s="209"/>
      <c r="W319" s="209"/>
    </row>
    <row r="320" spans="1:23" ht="15" customHeight="1">
      <c r="A320" s="1169" t="str">
        <f t="shared" si="37"/>
        <v>Vote 14 - [NAME OF VOTE 14]</v>
      </c>
      <c r="B320" s="1046"/>
      <c r="C320" s="976">
        <f t="shared" ref="C320:K320" si="40">SUM(C321:C330)</f>
        <v>0</v>
      </c>
      <c r="D320" s="976">
        <f t="shared" si="40"/>
        <v>0</v>
      </c>
      <c r="E320" s="977">
        <f t="shared" si="40"/>
        <v>0</v>
      </c>
      <c r="F320" s="978">
        <f t="shared" si="40"/>
        <v>0</v>
      </c>
      <c r="G320" s="976">
        <f t="shared" si="40"/>
        <v>0</v>
      </c>
      <c r="H320" s="979">
        <f t="shared" si="40"/>
        <v>0</v>
      </c>
      <c r="I320" s="980">
        <f t="shared" si="40"/>
        <v>0</v>
      </c>
      <c r="J320" s="976">
        <f t="shared" si="40"/>
        <v>0</v>
      </c>
      <c r="K320" s="977">
        <f t="shared" si="40"/>
        <v>0</v>
      </c>
      <c r="L320" s="208"/>
      <c r="M320" s="209"/>
      <c r="N320" s="209"/>
      <c r="O320" s="209"/>
      <c r="P320" s="209"/>
      <c r="Q320" s="209"/>
      <c r="R320" s="209"/>
      <c r="S320" s="209"/>
      <c r="T320" s="209"/>
      <c r="U320" s="209"/>
      <c r="V320" s="209"/>
      <c r="W320" s="209"/>
    </row>
    <row r="321" spans="1:23" ht="11.25" customHeight="1">
      <c r="A321" s="1170" t="str">
        <f t="shared" si="37"/>
        <v>14.1 - [Name of sub-vote]</v>
      </c>
      <c r="B321" s="1046"/>
      <c r="C321" s="1053"/>
      <c r="D321" s="1053"/>
      <c r="E321" s="1054"/>
      <c r="F321" s="1055"/>
      <c r="G321" s="1053"/>
      <c r="H321" s="1056"/>
      <c r="I321" s="1057"/>
      <c r="J321" s="1053"/>
      <c r="K321" s="1054"/>
      <c r="L321" s="208"/>
      <c r="M321" s="209"/>
      <c r="N321" s="209"/>
      <c r="O321" s="209"/>
      <c r="P321" s="209"/>
      <c r="Q321" s="209"/>
      <c r="R321" s="209"/>
      <c r="S321" s="209"/>
      <c r="T321" s="209"/>
      <c r="U321" s="209"/>
      <c r="V321" s="209"/>
      <c r="W321" s="209"/>
    </row>
    <row r="322" spans="1:23" ht="11.25" customHeight="1">
      <c r="A322" s="1170">
        <f t="shared" si="37"/>
        <v>0</v>
      </c>
      <c r="B322" s="1046"/>
      <c r="C322" s="1053"/>
      <c r="D322" s="1053"/>
      <c r="E322" s="1054"/>
      <c r="F322" s="1055"/>
      <c r="G322" s="1053"/>
      <c r="H322" s="1056"/>
      <c r="I322" s="1057"/>
      <c r="J322" s="1053"/>
      <c r="K322" s="1054"/>
      <c r="L322" s="208"/>
      <c r="M322" s="209"/>
      <c r="N322" s="209"/>
      <c r="O322" s="209"/>
      <c r="P322" s="209"/>
      <c r="Q322" s="209"/>
      <c r="R322" s="209"/>
      <c r="S322" s="209"/>
      <c r="T322" s="209"/>
      <c r="U322" s="209"/>
      <c r="V322" s="209"/>
      <c r="W322" s="209"/>
    </row>
    <row r="323" spans="1:23" ht="11.25" customHeight="1">
      <c r="A323" s="1170">
        <f t="shared" si="37"/>
        <v>0</v>
      </c>
      <c r="B323" s="1046"/>
      <c r="C323" s="1053"/>
      <c r="D323" s="1053"/>
      <c r="E323" s="1054"/>
      <c r="F323" s="1055"/>
      <c r="G323" s="1053"/>
      <c r="H323" s="1056"/>
      <c r="I323" s="1057"/>
      <c r="J323" s="1053"/>
      <c r="K323" s="1054"/>
      <c r="L323" s="208"/>
      <c r="M323" s="209"/>
      <c r="N323" s="209"/>
      <c r="O323" s="209"/>
      <c r="P323" s="209"/>
      <c r="Q323" s="209"/>
      <c r="R323" s="209"/>
      <c r="S323" s="209"/>
      <c r="T323" s="209"/>
      <c r="U323" s="209"/>
      <c r="V323" s="209"/>
      <c r="W323" s="209"/>
    </row>
    <row r="324" spans="1:23" ht="11.25" customHeight="1">
      <c r="A324" s="1170">
        <f t="shared" si="37"/>
        <v>0</v>
      </c>
      <c r="B324" s="1046"/>
      <c r="C324" s="1053"/>
      <c r="D324" s="1053"/>
      <c r="E324" s="1054"/>
      <c r="F324" s="1055"/>
      <c r="G324" s="1053"/>
      <c r="H324" s="1056"/>
      <c r="I324" s="1057"/>
      <c r="J324" s="1053"/>
      <c r="K324" s="1054"/>
      <c r="L324" s="208"/>
      <c r="M324" s="209"/>
      <c r="N324" s="209"/>
      <c r="O324" s="209"/>
      <c r="P324" s="209"/>
      <c r="Q324" s="209"/>
      <c r="R324" s="209"/>
      <c r="S324" s="209"/>
      <c r="T324" s="209"/>
      <c r="U324" s="209"/>
      <c r="V324" s="209"/>
      <c r="W324" s="209"/>
    </row>
    <row r="325" spans="1:23" ht="11.25" customHeight="1">
      <c r="A325" s="1170">
        <f t="shared" si="37"/>
        <v>0</v>
      </c>
      <c r="B325" s="1046"/>
      <c r="C325" s="1053"/>
      <c r="D325" s="1053"/>
      <c r="E325" s="1054"/>
      <c r="F325" s="1055"/>
      <c r="G325" s="1053"/>
      <c r="H325" s="1056"/>
      <c r="I325" s="1057"/>
      <c r="J325" s="1053"/>
      <c r="K325" s="1054"/>
      <c r="L325" s="208"/>
      <c r="M325" s="209"/>
      <c r="N325" s="209"/>
      <c r="O325" s="209"/>
      <c r="P325" s="209"/>
      <c r="Q325" s="209"/>
      <c r="R325" s="209"/>
      <c r="S325" s="209"/>
      <c r="T325" s="209"/>
      <c r="U325" s="209"/>
      <c r="V325" s="209"/>
      <c r="W325" s="209"/>
    </row>
    <row r="326" spans="1:23" ht="11.25" customHeight="1">
      <c r="A326" s="1170">
        <f t="shared" si="37"/>
        <v>0</v>
      </c>
      <c r="B326" s="1046"/>
      <c r="C326" s="1053"/>
      <c r="D326" s="1053"/>
      <c r="E326" s="1054"/>
      <c r="F326" s="1055"/>
      <c r="G326" s="1053"/>
      <c r="H326" s="1056"/>
      <c r="I326" s="1057"/>
      <c r="J326" s="1053"/>
      <c r="K326" s="1054"/>
      <c r="L326" s="208"/>
      <c r="M326" s="209"/>
      <c r="N326" s="209"/>
      <c r="O326" s="209"/>
      <c r="P326" s="209"/>
      <c r="Q326" s="209"/>
      <c r="R326" s="209"/>
      <c r="S326" s="209"/>
      <c r="T326" s="209"/>
      <c r="U326" s="209"/>
      <c r="V326" s="209"/>
      <c r="W326" s="209"/>
    </row>
    <row r="327" spans="1:23" ht="11.25" customHeight="1">
      <c r="A327" s="1170">
        <f t="shared" si="37"/>
        <v>0</v>
      </c>
      <c r="B327" s="1046"/>
      <c r="C327" s="1053"/>
      <c r="D327" s="1053"/>
      <c r="E327" s="1054"/>
      <c r="F327" s="1055"/>
      <c r="G327" s="1053"/>
      <c r="H327" s="1056"/>
      <c r="I327" s="1057"/>
      <c r="J327" s="1053"/>
      <c r="K327" s="1054"/>
      <c r="L327" s="208"/>
      <c r="M327" s="209"/>
      <c r="N327" s="209"/>
      <c r="O327" s="209"/>
      <c r="P327" s="209"/>
      <c r="Q327" s="209"/>
      <c r="R327" s="209"/>
      <c r="S327" s="209"/>
      <c r="T327" s="209"/>
      <c r="U327" s="209"/>
      <c r="V327" s="209"/>
      <c r="W327" s="209"/>
    </row>
    <row r="328" spans="1:23" ht="11.25" customHeight="1">
      <c r="A328" s="1170">
        <f t="shared" si="37"/>
        <v>0</v>
      </c>
      <c r="B328" s="1046"/>
      <c r="C328" s="1053"/>
      <c r="D328" s="1053"/>
      <c r="E328" s="1054"/>
      <c r="F328" s="1055"/>
      <c r="G328" s="1053"/>
      <c r="H328" s="1056"/>
      <c r="I328" s="1057"/>
      <c r="J328" s="1053"/>
      <c r="K328" s="1054"/>
      <c r="L328" s="208"/>
      <c r="M328" s="209"/>
      <c r="N328" s="209"/>
      <c r="O328" s="209"/>
      <c r="P328" s="209"/>
      <c r="Q328" s="209"/>
      <c r="R328" s="209"/>
      <c r="S328" s="209"/>
      <c r="T328" s="209"/>
      <c r="U328" s="209"/>
      <c r="V328" s="209"/>
      <c r="W328" s="209"/>
    </row>
    <row r="329" spans="1:23" ht="11.25" customHeight="1">
      <c r="A329" s="1170">
        <f t="shared" si="37"/>
        <v>0</v>
      </c>
      <c r="B329" s="1046"/>
      <c r="C329" s="1053"/>
      <c r="D329" s="1053"/>
      <c r="E329" s="1054"/>
      <c r="F329" s="1055"/>
      <c r="G329" s="1053"/>
      <c r="H329" s="1056"/>
      <c r="I329" s="1057"/>
      <c r="J329" s="1053"/>
      <c r="K329" s="1054"/>
      <c r="L329" s="208"/>
      <c r="M329" s="209"/>
      <c r="N329" s="209"/>
      <c r="O329" s="209"/>
      <c r="P329" s="209"/>
      <c r="Q329" s="209"/>
      <c r="R329" s="209"/>
      <c r="S329" s="209"/>
      <c r="T329" s="209"/>
      <c r="U329" s="209"/>
      <c r="V329" s="209"/>
      <c r="W329" s="209"/>
    </row>
    <row r="330" spans="1:23" ht="11.25" customHeight="1">
      <c r="A330" s="1170">
        <f t="shared" si="37"/>
        <v>0</v>
      </c>
      <c r="B330" s="1046"/>
      <c r="C330" s="1053"/>
      <c r="D330" s="1053"/>
      <c r="E330" s="1054"/>
      <c r="F330" s="1055"/>
      <c r="G330" s="1053"/>
      <c r="H330" s="1056"/>
      <c r="I330" s="1057"/>
      <c r="J330" s="1053"/>
      <c r="K330" s="1054"/>
      <c r="L330" s="208"/>
      <c r="M330" s="209"/>
      <c r="N330" s="209"/>
      <c r="O330" s="209"/>
      <c r="P330" s="209"/>
      <c r="Q330" s="209"/>
      <c r="R330" s="209"/>
      <c r="S330" s="209"/>
      <c r="T330" s="209"/>
      <c r="U330" s="209"/>
      <c r="V330" s="209"/>
      <c r="W330" s="209"/>
    </row>
    <row r="331" spans="1:23" ht="15" customHeight="1">
      <c r="A331" s="1169" t="str">
        <f t="shared" si="37"/>
        <v>Vote 15 - [NAME OF VOTE 15]</v>
      </c>
      <c r="B331" s="1046"/>
      <c r="C331" s="976">
        <f t="shared" ref="C331:K331" si="41">SUM(C332:C341)</f>
        <v>0</v>
      </c>
      <c r="D331" s="976">
        <f t="shared" si="41"/>
        <v>0</v>
      </c>
      <c r="E331" s="977">
        <f t="shared" si="41"/>
        <v>0</v>
      </c>
      <c r="F331" s="978">
        <f t="shared" si="41"/>
        <v>0</v>
      </c>
      <c r="G331" s="976">
        <f t="shared" si="41"/>
        <v>0</v>
      </c>
      <c r="H331" s="979">
        <f t="shared" si="41"/>
        <v>0</v>
      </c>
      <c r="I331" s="980">
        <f t="shared" si="41"/>
        <v>0</v>
      </c>
      <c r="J331" s="976">
        <f t="shared" si="41"/>
        <v>0</v>
      </c>
      <c r="K331" s="977">
        <f t="shared" si="41"/>
        <v>0</v>
      </c>
      <c r="L331" s="208"/>
      <c r="M331" s="209"/>
      <c r="N331" s="209"/>
      <c r="O331" s="209"/>
      <c r="P331" s="209"/>
      <c r="Q331" s="209"/>
      <c r="R331" s="209"/>
      <c r="S331" s="209"/>
      <c r="T331" s="209"/>
      <c r="U331" s="209"/>
      <c r="V331" s="209"/>
      <c r="W331" s="209"/>
    </row>
    <row r="332" spans="1:23" ht="11.25" customHeight="1">
      <c r="A332" s="1170" t="str">
        <f t="shared" si="37"/>
        <v>15.1 - [Name of sub-vote]</v>
      </c>
      <c r="B332" s="1046"/>
      <c r="C332" s="1053"/>
      <c r="D332" s="1053"/>
      <c r="E332" s="1054"/>
      <c r="F332" s="1055"/>
      <c r="G332" s="1053"/>
      <c r="H332" s="1056"/>
      <c r="I332" s="1057"/>
      <c r="J332" s="1053"/>
      <c r="K332" s="1054"/>
      <c r="L332" s="208"/>
      <c r="M332" s="209"/>
      <c r="N332" s="209"/>
      <c r="O332" s="209"/>
      <c r="P332" s="209"/>
      <c r="Q332" s="209"/>
      <c r="R332" s="209"/>
      <c r="S332" s="209"/>
      <c r="T332" s="209"/>
      <c r="U332" s="209"/>
      <c r="V332" s="209"/>
      <c r="W332" s="209"/>
    </row>
    <row r="333" spans="1:23" ht="11.25" customHeight="1">
      <c r="A333" s="1170">
        <f t="shared" si="37"/>
        <v>0</v>
      </c>
      <c r="B333" s="1046"/>
      <c r="C333" s="1053"/>
      <c r="D333" s="1053"/>
      <c r="E333" s="1054"/>
      <c r="F333" s="1055"/>
      <c r="G333" s="1053"/>
      <c r="H333" s="1056"/>
      <c r="I333" s="1057"/>
      <c r="J333" s="1053"/>
      <c r="K333" s="1054"/>
      <c r="L333" s="208"/>
      <c r="M333" s="209"/>
      <c r="N333" s="209"/>
      <c r="O333" s="209"/>
      <c r="P333" s="209"/>
      <c r="Q333" s="209"/>
      <c r="R333" s="209"/>
      <c r="S333" s="209"/>
      <c r="T333" s="209"/>
      <c r="U333" s="209"/>
      <c r="V333" s="209"/>
      <c r="W333" s="209"/>
    </row>
    <row r="334" spans="1:23" ht="11.25" customHeight="1">
      <c r="A334" s="1170">
        <f t="shared" si="37"/>
        <v>0</v>
      </c>
      <c r="B334" s="1046"/>
      <c r="C334" s="1053"/>
      <c r="D334" s="1053"/>
      <c r="E334" s="1054"/>
      <c r="F334" s="1055"/>
      <c r="G334" s="1053"/>
      <c r="H334" s="1056"/>
      <c r="I334" s="1057"/>
      <c r="J334" s="1053"/>
      <c r="K334" s="1054"/>
      <c r="L334" s="208"/>
      <c r="M334" s="209"/>
      <c r="N334" s="209"/>
      <c r="O334" s="209"/>
      <c r="P334" s="209"/>
      <c r="Q334" s="209"/>
      <c r="R334" s="209"/>
      <c r="S334" s="209"/>
      <c r="T334" s="209"/>
      <c r="U334" s="209"/>
      <c r="V334" s="209"/>
      <c r="W334" s="209"/>
    </row>
    <row r="335" spans="1:23" ht="11.25" customHeight="1">
      <c r="A335" s="1170">
        <f t="shared" si="37"/>
        <v>0</v>
      </c>
      <c r="B335" s="1046"/>
      <c r="C335" s="1053"/>
      <c r="D335" s="1053"/>
      <c r="E335" s="1054"/>
      <c r="F335" s="1055"/>
      <c r="G335" s="1053"/>
      <c r="H335" s="1056"/>
      <c r="I335" s="1057"/>
      <c r="J335" s="1053"/>
      <c r="K335" s="1054"/>
      <c r="L335" s="208"/>
      <c r="M335" s="209"/>
      <c r="N335" s="209"/>
      <c r="O335" s="209"/>
      <c r="P335" s="209"/>
      <c r="Q335" s="209"/>
      <c r="R335" s="209"/>
      <c r="S335" s="209"/>
      <c r="T335" s="209"/>
      <c r="U335" s="209"/>
      <c r="V335" s="209"/>
      <c r="W335" s="209"/>
    </row>
    <row r="336" spans="1:23" ht="11.25" customHeight="1">
      <c r="A336" s="1170">
        <f t="shared" si="37"/>
        <v>0</v>
      </c>
      <c r="B336" s="1046"/>
      <c r="C336" s="1053"/>
      <c r="D336" s="1053"/>
      <c r="E336" s="1054"/>
      <c r="F336" s="1055"/>
      <c r="G336" s="1053"/>
      <c r="H336" s="1056"/>
      <c r="I336" s="1057"/>
      <c r="J336" s="1053"/>
      <c r="K336" s="1054"/>
      <c r="L336" s="208"/>
      <c r="M336" s="209"/>
      <c r="N336" s="209"/>
      <c r="O336" s="209"/>
      <c r="P336" s="209"/>
      <c r="Q336" s="209"/>
      <c r="R336" s="209"/>
      <c r="S336" s="209"/>
      <c r="T336" s="209"/>
      <c r="U336" s="209"/>
      <c r="V336" s="209"/>
      <c r="W336" s="209"/>
    </row>
    <row r="337" spans="1:23" ht="11.25" customHeight="1">
      <c r="A337" s="1170">
        <f t="shared" si="37"/>
        <v>0</v>
      </c>
      <c r="B337" s="1046"/>
      <c r="C337" s="1053"/>
      <c r="D337" s="1053"/>
      <c r="E337" s="1054"/>
      <c r="F337" s="1055"/>
      <c r="G337" s="1053"/>
      <c r="H337" s="1056"/>
      <c r="I337" s="1057"/>
      <c r="J337" s="1053"/>
      <c r="K337" s="1054"/>
      <c r="L337" s="208"/>
      <c r="M337" s="209"/>
      <c r="N337" s="209"/>
      <c r="O337" s="209"/>
      <c r="P337" s="209"/>
      <c r="Q337" s="209"/>
      <c r="R337" s="209"/>
      <c r="S337" s="209"/>
      <c r="T337" s="209"/>
      <c r="U337" s="209"/>
      <c r="V337" s="209"/>
      <c r="W337" s="209"/>
    </row>
    <row r="338" spans="1:23" ht="11.25" customHeight="1">
      <c r="A338" s="1170">
        <f t="shared" si="37"/>
        <v>0</v>
      </c>
      <c r="B338" s="1046"/>
      <c r="C338" s="1053"/>
      <c r="D338" s="1053"/>
      <c r="E338" s="1054"/>
      <c r="F338" s="1055"/>
      <c r="G338" s="1053"/>
      <c r="H338" s="1056"/>
      <c r="I338" s="1057"/>
      <c r="J338" s="1053"/>
      <c r="K338" s="1054"/>
      <c r="L338" s="208"/>
      <c r="M338" s="209"/>
      <c r="N338" s="209"/>
      <c r="O338" s="209"/>
      <c r="P338" s="209"/>
      <c r="Q338" s="209"/>
      <c r="R338" s="209"/>
      <c r="S338" s="209"/>
      <c r="T338" s="209"/>
      <c r="U338" s="209"/>
      <c r="V338" s="209"/>
      <c r="W338" s="209"/>
    </row>
    <row r="339" spans="1:23" ht="11.25" customHeight="1">
      <c r="A339" s="1170">
        <f t="shared" si="37"/>
        <v>0</v>
      </c>
      <c r="B339" s="1046"/>
      <c r="C339" s="1053"/>
      <c r="D339" s="1053"/>
      <c r="E339" s="1054"/>
      <c r="F339" s="1055"/>
      <c r="G339" s="1053"/>
      <c r="H339" s="1056"/>
      <c r="I339" s="1057"/>
      <c r="J339" s="1053"/>
      <c r="K339" s="1054"/>
      <c r="L339" s="208"/>
      <c r="M339" s="209"/>
      <c r="N339" s="209"/>
      <c r="O339" s="209"/>
      <c r="P339" s="209"/>
      <c r="Q339" s="209"/>
      <c r="R339" s="209"/>
      <c r="S339" s="209"/>
      <c r="T339" s="209"/>
      <c r="U339" s="209"/>
      <c r="V339" s="209"/>
      <c r="W339" s="209"/>
    </row>
    <row r="340" spans="1:23" ht="11.25" customHeight="1">
      <c r="A340" s="1170">
        <f t="shared" si="37"/>
        <v>0</v>
      </c>
      <c r="B340" s="1046"/>
      <c r="C340" s="1053"/>
      <c r="D340" s="1053"/>
      <c r="E340" s="1054"/>
      <c r="F340" s="1055"/>
      <c r="G340" s="1053"/>
      <c r="H340" s="1056"/>
      <c r="I340" s="1057"/>
      <c r="J340" s="1053"/>
      <c r="K340" s="1054"/>
      <c r="L340" s="208"/>
      <c r="M340" s="209"/>
      <c r="N340" s="209"/>
      <c r="O340" s="209"/>
      <c r="P340" s="209"/>
      <c r="Q340" s="209"/>
      <c r="R340" s="209"/>
      <c r="S340" s="209"/>
      <c r="T340" s="209"/>
      <c r="U340" s="209"/>
      <c r="V340" s="209"/>
      <c r="W340" s="209"/>
    </row>
    <row r="341" spans="1:23" ht="11.25" customHeight="1">
      <c r="A341" s="1170">
        <f t="shared" si="37"/>
        <v>0</v>
      </c>
      <c r="B341" s="1046"/>
      <c r="C341" s="1053"/>
      <c r="D341" s="1053"/>
      <c r="E341" s="1054"/>
      <c r="F341" s="1055"/>
      <c r="G341" s="1053"/>
      <c r="H341" s="1056"/>
      <c r="I341" s="1057"/>
      <c r="J341" s="1053"/>
      <c r="K341" s="1054"/>
      <c r="L341" s="208"/>
      <c r="M341" s="209"/>
      <c r="N341" s="209"/>
      <c r="O341" s="209"/>
      <c r="P341" s="209"/>
      <c r="Q341" s="209"/>
      <c r="R341" s="209"/>
      <c r="S341" s="209"/>
      <c r="T341" s="209"/>
      <c r="U341" s="209"/>
      <c r="V341" s="209"/>
      <c r="W341" s="209"/>
    </row>
    <row r="342" spans="1:23" ht="11.25" customHeight="1">
      <c r="A342" s="197" t="s">
        <v>179</v>
      </c>
      <c r="B342" s="1046">
        <v>2</v>
      </c>
      <c r="C342" s="213">
        <f>C175+C186+C199+C210+C221+C232+C243+C254+C265+C287+C298+C309+C320+C331+C276</f>
        <v>1785750297.52</v>
      </c>
      <c r="D342" s="213">
        <f>D175+D186+D199+D210+D221+D232+D243+D254+D265+D287+D298+D309+D320+D331+D276</f>
        <v>2231276751</v>
      </c>
      <c r="E342" s="214">
        <f t="shared" ref="E342:K342" si="42">E175+E186+E199+E210+E221+E232+E243+E254+E265+E287+E298+E309+E320+E331+E276</f>
        <v>2199657576</v>
      </c>
      <c r="F342" s="215">
        <f t="shared" si="42"/>
        <v>2707791029.9559999</v>
      </c>
      <c r="G342" s="213">
        <f t="shared" si="42"/>
        <v>2717214127</v>
      </c>
      <c r="H342" s="212">
        <f t="shared" si="42"/>
        <v>2717214127</v>
      </c>
      <c r="I342" s="216">
        <f t="shared" si="42"/>
        <v>2710794199</v>
      </c>
      <c r="J342" s="213">
        <f t="shared" si="42"/>
        <v>2798548647</v>
      </c>
      <c r="K342" s="214">
        <f t="shared" si="42"/>
        <v>2980640678.5</v>
      </c>
      <c r="L342" s="199">
        <f t="shared" ref="L342:W342" si="43">SUM(L175:L253)</f>
        <v>0</v>
      </c>
      <c r="M342" s="200">
        <f t="shared" si="43"/>
        <v>0</v>
      </c>
      <c r="N342" s="200">
        <f t="shared" si="43"/>
        <v>0</v>
      </c>
      <c r="O342" s="200">
        <f t="shared" si="43"/>
        <v>0</v>
      </c>
      <c r="P342" s="200">
        <f t="shared" si="43"/>
        <v>0</v>
      </c>
      <c r="Q342" s="200">
        <f t="shared" si="43"/>
        <v>0</v>
      </c>
      <c r="R342" s="200">
        <f t="shared" si="43"/>
        <v>0</v>
      </c>
      <c r="S342" s="200">
        <f t="shared" si="43"/>
        <v>0</v>
      </c>
      <c r="T342" s="200">
        <f t="shared" si="43"/>
        <v>0</v>
      </c>
      <c r="U342" s="200">
        <f t="shared" si="43"/>
        <v>0</v>
      </c>
      <c r="V342" s="200">
        <f t="shared" si="43"/>
        <v>0</v>
      </c>
      <c r="W342" s="200">
        <f t="shared" si="43"/>
        <v>0</v>
      </c>
    </row>
    <row r="343" spans="1:23" ht="5" customHeight="1">
      <c r="A343" s="201"/>
      <c r="B343" s="1046"/>
      <c r="C343" s="218"/>
      <c r="D343" s="218"/>
      <c r="E343" s="219"/>
      <c r="F343" s="220"/>
      <c r="G343" s="218"/>
      <c r="H343" s="217"/>
      <c r="I343" s="221"/>
      <c r="J343" s="218"/>
      <c r="K343" s="219"/>
      <c r="L343" s="222"/>
      <c r="M343" s="223"/>
      <c r="N343" s="223"/>
      <c r="O343" s="223"/>
      <c r="P343" s="223"/>
      <c r="Q343" s="223"/>
      <c r="R343" s="223"/>
      <c r="S343" s="223"/>
      <c r="T343" s="223"/>
      <c r="U343" s="223"/>
      <c r="V343" s="223"/>
      <c r="W343" s="223"/>
    </row>
    <row r="344" spans="1:23" ht="11" thickBot="1">
      <c r="A344" s="224" t="str">
        <f>result</f>
        <v>Surplus/(Deficit) for the year</v>
      </c>
      <c r="B344" s="1047">
        <v>2</v>
      </c>
      <c r="C344" s="227">
        <f t="shared" ref="C344:W344" si="44">C172-C342</f>
        <v>183256906.32999992</v>
      </c>
      <c r="D344" s="227">
        <f t="shared" si="44"/>
        <v>-12918320</v>
      </c>
      <c r="E344" s="228">
        <f t="shared" si="44"/>
        <v>-24546647</v>
      </c>
      <c r="F344" s="229">
        <f t="shared" si="44"/>
        <v>101275787.04400015</v>
      </c>
      <c r="G344" s="230">
        <f t="shared" si="44"/>
        <v>38188328</v>
      </c>
      <c r="H344" s="231">
        <f t="shared" si="44"/>
        <v>38188328</v>
      </c>
      <c r="I344" s="232">
        <f t="shared" si="44"/>
        <v>18481336</v>
      </c>
      <c r="J344" s="230">
        <f t="shared" si="44"/>
        <v>35673304</v>
      </c>
      <c r="K344" s="228">
        <f t="shared" si="44"/>
        <v>91466155.5</v>
      </c>
      <c r="L344" s="233">
        <f t="shared" si="44"/>
        <v>0</v>
      </c>
      <c r="M344" s="234">
        <f t="shared" si="44"/>
        <v>0</v>
      </c>
      <c r="N344" s="234">
        <f t="shared" si="44"/>
        <v>0</v>
      </c>
      <c r="O344" s="234">
        <f t="shared" si="44"/>
        <v>0</v>
      </c>
      <c r="P344" s="234">
        <f t="shared" si="44"/>
        <v>0</v>
      </c>
      <c r="Q344" s="234">
        <f t="shared" si="44"/>
        <v>0</v>
      </c>
      <c r="R344" s="234">
        <f t="shared" si="44"/>
        <v>0</v>
      </c>
      <c r="S344" s="234">
        <f t="shared" si="44"/>
        <v>0</v>
      </c>
      <c r="T344" s="234">
        <f t="shared" si="44"/>
        <v>0</v>
      </c>
      <c r="U344" s="234">
        <f t="shared" si="44"/>
        <v>0</v>
      </c>
      <c r="V344" s="234">
        <f t="shared" si="44"/>
        <v>0</v>
      </c>
      <c r="W344" s="234">
        <f t="shared" si="44"/>
        <v>0</v>
      </c>
    </row>
    <row r="345" spans="1:23" s="709" customFormat="1" ht="11.25" customHeight="1" thickTop="1">
      <c r="A345" s="1233" t="str">
        <f>head27a</f>
        <v>References</v>
      </c>
      <c r="B345" s="1038"/>
      <c r="C345" s="1039"/>
      <c r="D345" s="1040"/>
      <c r="E345" s="1040"/>
      <c r="F345" s="1040"/>
      <c r="G345" s="1040"/>
      <c r="H345" s="1040"/>
      <c r="I345" s="1040"/>
      <c r="J345" s="1040"/>
      <c r="K345" s="1040"/>
    </row>
    <row r="346" spans="1:23" s="709" customFormat="1" ht="11.25" customHeight="1">
      <c r="A346" s="1198" t="s">
        <v>652</v>
      </c>
      <c r="B346" s="1038"/>
      <c r="C346" s="1041"/>
      <c r="D346" s="1041"/>
      <c r="E346" s="1042"/>
      <c r="F346" s="1042"/>
      <c r="G346" s="1042"/>
      <c r="H346" s="1042"/>
      <c r="I346" s="1042"/>
      <c r="J346" s="1042"/>
      <c r="K346" s="1042"/>
    </row>
    <row r="347" spans="1:23" s="709" customFormat="1" ht="11.25" customHeight="1">
      <c r="A347" s="1239" t="s">
        <v>440</v>
      </c>
      <c r="B347" s="1038"/>
      <c r="C347" s="1041"/>
      <c r="D347" s="1041"/>
      <c r="E347" s="1042"/>
      <c r="F347" s="1042"/>
      <c r="G347" s="1042"/>
      <c r="H347" s="1042"/>
      <c r="I347" s="1042"/>
      <c r="J347" s="1042"/>
      <c r="K347" s="1042"/>
    </row>
    <row r="348" spans="1:23" s="709" customFormat="1" ht="11.25" customHeight="1">
      <c r="A348" s="1239" t="s">
        <v>438</v>
      </c>
      <c r="B348" s="1043"/>
      <c r="C348" s="1044"/>
      <c r="D348" s="1044"/>
      <c r="E348" s="1045"/>
      <c r="F348" s="1045"/>
      <c r="G348" s="1045"/>
      <c r="H348" s="1045"/>
      <c r="I348" s="1045"/>
      <c r="J348" s="1045"/>
      <c r="K348" s="1045"/>
    </row>
    <row r="349" spans="1:23" ht="11.25" customHeight="1">
      <c r="A349" s="246"/>
    </row>
    <row r="350" spans="1:23" ht="11.25" customHeight="1">
      <c r="A350" s="1240" t="s">
        <v>11</v>
      </c>
      <c r="B350" s="704"/>
      <c r="C350" s="1241">
        <f>C172-'A4-FinPerf RE'!C60</f>
        <v>183505186.35000014</v>
      </c>
      <c r="D350" s="1241">
        <f>D172-'A4-FinPerf RE'!D60</f>
        <v>-12575330</v>
      </c>
      <c r="E350" s="1241">
        <f>E172-'A4-FinPerf RE'!E60</f>
        <v>-23959441</v>
      </c>
      <c r="F350" s="1241">
        <f>F172-'A4-FinPerf RE'!F60</f>
        <v>101275786.75600004</v>
      </c>
      <c r="G350" s="1241">
        <f>G172-'A4-FinPerf RE'!G60</f>
        <v>38188328</v>
      </c>
      <c r="H350" s="1241">
        <f>H172-'A4-FinPerf RE'!H60</f>
        <v>38188328</v>
      </c>
      <c r="I350" s="1241">
        <f>I172-'A4-FinPerf RE'!J60</f>
        <v>18481336</v>
      </c>
      <c r="J350" s="1241">
        <f>J172-'A4-FinPerf RE'!K60</f>
        <v>35673304</v>
      </c>
      <c r="K350" s="1241">
        <f>K172-'A4-FinPerf RE'!L60</f>
        <v>91466156</v>
      </c>
    </row>
    <row r="351" spans="1:23" ht="11.25" customHeight="1">
      <c r="A351" s="1240" t="s">
        <v>12</v>
      </c>
      <c r="B351" s="704"/>
      <c r="C351" s="1241">
        <f>C342-'A4-FinPerf RE'!C36</f>
        <v>248280.01999998093</v>
      </c>
      <c r="D351" s="1241">
        <f>D342-'A4-FinPerf RE'!D36</f>
        <v>342990</v>
      </c>
      <c r="E351" s="1241">
        <f>E342-'A4-FinPerf RE'!E36</f>
        <v>587206</v>
      </c>
      <c r="F351" s="1241">
        <f>F342-'A4-FinPerf RE'!F36</f>
        <v>-0.28800010681152344</v>
      </c>
      <c r="G351" s="1241">
        <f>G342-'A4-FinPerf RE'!G36</f>
        <v>0</v>
      </c>
      <c r="H351" s="1241">
        <f>H342-'A4-FinPerf RE'!H36</f>
        <v>0</v>
      </c>
      <c r="I351" s="1241">
        <f>I342-'A4-FinPerf RE'!J36</f>
        <v>0</v>
      </c>
      <c r="J351" s="1241">
        <f>J342-'A4-FinPerf RE'!K36</f>
        <v>0</v>
      </c>
      <c r="K351" s="1241">
        <f>K342-'A4-FinPerf RE'!L36</f>
        <v>0.5</v>
      </c>
    </row>
    <row r="352" spans="1:23" ht="11.25" customHeight="1">
      <c r="A352" s="246"/>
    </row>
    <row r="353" spans="1:1" ht="11.25" customHeight="1">
      <c r="A353" s="246"/>
    </row>
    <row r="354" spans="1:1" ht="11.25" customHeight="1">
      <c r="A354" s="246"/>
    </row>
    <row r="355" spans="1:1" ht="11.25" customHeight="1"/>
    <row r="356" spans="1:1" ht="11.25" customHeight="1"/>
    <row r="357" spans="1:1" ht="11.25" customHeight="1"/>
    <row r="358" spans="1:1" ht="11.25" customHeight="1"/>
    <row r="359" spans="1:1" ht="11.25" customHeight="1"/>
    <row r="360" spans="1:1" ht="11.25" customHeight="1"/>
    <row r="361" spans="1:1" ht="11.25" customHeight="1"/>
    <row r="362" spans="1:1" ht="11.25" customHeight="1"/>
    <row r="363" spans="1:1" ht="11.25" customHeight="1"/>
    <row r="364" spans="1:1" ht="11.25" customHeight="1"/>
    <row r="365" spans="1:1" ht="11.25" customHeight="1"/>
    <row r="366" spans="1:1" ht="11.25" customHeight="1"/>
    <row r="367" spans="1:1" ht="11.25" customHeight="1"/>
    <row r="368" spans="1:1"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sheetData>
  <mergeCells count="3">
    <mergeCell ref="L2:W2"/>
    <mergeCell ref="F2:H2"/>
    <mergeCell ref="I2:K2"/>
  </mergeCells>
  <phoneticPr fontId="5" type="noConversion"/>
  <dataValidations disablePrompts="1" xWindow="42844" yWindow="125" count="1">
    <dataValidation type="list" allowBlank="1" showInputMessage="1" showErrorMessage="1" promptTitle="Select Vote" prompt="Select Vote from list" sqref="A186">
      <formula1>Vote</formula1>
    </dataValidation>
  </dataValidations>
  <pageMargins left="0.35433070866141703" right="0.118110236220472" top="0.78740157480314998" bottom="0.59055118110236204" header="0.511811023622047" footer="0.35433070866141703"/>
  <headerFooter alignWithMargins="0"/>
  <rowBreaks count="1" manualBreakCount="1">
    <brk id="172" max="10" man="1"/>
  </rowBreak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4"/>
    <pageSetUpPr fitToPage="1"/>
  </sheetPr>
  <dimension ref="A1:Y92"/>
  <sheetViews>
    <sheetView showGridLines="0" workbookViewId="0">
      <pane xSplit="2" ySplit="3" topLeftCell="C31" activePane="bottomRight" state="frozen"/>
      <selection pane="topRight"/>
      <selection pane="bottomLeft"/>
      <selection pane="bottomRight" activeCell="D31" sqref="D31"/>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hidden="1" customWidth="1"/>
    <col min="14" max="14" width="9.5" style="149" hidden="1" customWidth="1"/>
    <col min="15" max="15" width="9.83203125" style="149" hidden="1" customWidth="1"/>
    <col min="16" max="18" width="9.5" style="149" hidden="1" customWidth="1"/>
    <col min="19" max="19" width="9.83203125" style="149" hidden="1" customWidth="1"/>
    <col min="20" max="22" width="9.5" style="149" hidden="1" customWidth="1"/>
    <col min="23" max="24" width="9.83203125" style="149" hidden="1" customWidth="1"/>
    <col min="25" max="16384" width="8.83203125" style="149"/>
  </cols>
  <sheetData>
    <row r="1" spans="1:25" s="179" customFormat="1" ht="12">
      <c r="A1" s="147" t="str">
        <f>muni&amp;" - "&amp;Approve4</f>
        <v>NW373 Rustenburg - Table A4 Consolidated Budgeted Financial Performance (revenue and expenditure)</v>
      </c>
      <c r="B1" s="147"/>
      <c r="C1" s="147"/>
      <c r="D1" s="147"/>
      <c r="E1" s="147"/>
      <c r="F1" s="147"/>
      <c r="G1" s="147"/>
      <c r="H1" s="147"/>
      <c r="I1" s="147"/>
      <c r="J1" s="147"/>
      <c r="K1" s="147"/>
      <c r="L1" s="147"/>
    </row>
    <row r="2" spans="1:25" ht="28.5" customHeight="1">
      <c r="A2" s="975" t="str">
        <f>desc</f>
        <v>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c r="M2" s="2779" t="str">
        <f>Head4</f>
        <v>LTFS</v>
      </c>
      <c r="N2" s="2779"/>
      <c r="O2" s="2779"/>
      <c r="P2" s="2779"/>
      <c r="Q2" s="2779"/>
      <c r="R2" s="2779"/>
      <c r="S2" s="2779"/>
      <c r="T2" s="2779"/>
      <c r="U2" s="2779"/>
      <c r="V2" s="2779"/>
      <c r="W2" s="2779"/>
      <c r="X2" s="2780"/>
    </row>
    <row r="3" spans="1:25" ht="20">
      <c r="A3" s="180" t="s">
        <v>667</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M3" s="1549" t="str">
        <f>Head12</f>
        <v>Forecast 2016/17</v>
      </c>
      <c r="N3" s="1550" t="str">
        <f>Head13</f>
        <v>Forecast 2017/18</v>
      </c>
      <c r="O3" s="1550" t="str">
        <f>Head14</f>
        <v>Forecast 2018/19</v>
      </c>
      <c r="P3" s="1550" t="str">
        <f>Head15</f>
        <v>Forecast 2019/20</v>
      </c>
      <c r="Q3" s="1550" t="str">
        <f>Head16</f>
        <v>Forecast 2020/21</v>
      </c>
      <c r="R3" s="1550" t="str">
        <f>Head17</f>
        <v>Forecast 2021/22</v>
      </c>
      <c r="S3" s="1550" t="str">
        <f>Head18</f>
        <v>Forecast 2022/23</v>
      </c>
      <c r="T3" s="1550" t="str">
        <f>Head19</f>
        <v>Forecast 2023/24</v>
      </c>
      <c r="U3" s="1550" t="str">
        <f>Head20</f>
        <v>Forecast 2024/25</v>
      </c>
      <c r="V3" s="1550" t="str">
        <f>Head21</f>
        <v>Forecast 2025/26</v>
      </c>
      <c r="W3" s="1550" t="str">
        <f>Head22</f>
        <v>Forecast 2026/27</v>
      </c>
      <c r="X3" s="1550" t="str">
        <f>Head23</f>
        <v>Forecast 2027/28</v>
      </c>
    </row>
    <row r="4" spans="1:25" ht="12.75" customHeight="1">
      <c r="A4" s="249" t="s">
        <v>669</v>
      </c>
      <c r="B4" s="291"/>
      <c r="C4" s="184"/>
      <c r="D4" s="184"/>
      <c r="E4" s="292"/>
      <c r="F4" s="186"/>
      <c r="G4" s="184"/>
      <c r="H4" s="185"/>
      <c r="I4" s="183"/>
      <c r="J4" s="187"/>
      <c r="K4" s="184"/>
      <c r="L4" s="185"/>
      <c r="M4" s="188"/>
      <c r="N4" s="189"/>
      <c r="O4" s="189"/>
      <c r="P4" s="189"/>
      <c r="Q4" s="189"/>
      <c r="R4" s="189"/>
      <c r="S4" s="189"/>
      <c r="T4" s="189"/>
      <c r="U4" s="189"/>
      <c r="V4" s="189"/>
      <c r="W4" s="189"/>
      <c r="X4" s="189"/>
      <c r="Y4" s="370"/>
    </row>
    <row r="5" spans="1:25" ht="12.75" customHeight="1">
      <c r="A5" s="250" t="s">
        <v>542</v>
      </c>
      <c r="B5" s="294">
        <v>2</v>
      </c>
      <c r="C5" s="1064">
        <f>'SA1'!C9</f>
        <v>140364737.28</v>
      </c>
      <c r="D5" s="1064">
        <f>'SA1'!D9</f>
        <v>155576406</v>
      </c>
      <c r="E5" s="1426">
        <f>'SA1'!E9</f>
        <v>167460187</v>
      </c>
      <c r="F5" s="1068">
        <f>'SA1'!F9</f>
        <v>179459232</v>
      </c>
      <c r="G5" s="1064">
        <f>'SA1'!G9</f>
        <v>166259232</v>
      </c>
      <c r="H5" s="1151">
        <f>'SA1'!H9</f>
        <v>166259232</v>
      </c>
      <c r="I5" s="1067">
        <f>'SA1'!I9</f>
        <v>166259232</v>
      </c>
      <c r="J5" s="1068">
        <f>'SA1'!J9</f>
        <v>175843374</v>
      </c>
      <c r="K5" s="1064">
        <f>'SA1'!K9</f>
        <v>184704056</v>
      </c>
      <c r="L5" s="1151">
        <f>'SA1'!L9</f>
        <v>193849813</v>
      </c>
      <c r="M5" s="195"/>
      <c r="N5" s="196"/>
      <c r="O5" s="196"/>
      <c r="P5" s="196"/>
      <c r="Q5" s="196"/>
      <c r="R5" s="196"/>
      <c r="S5" s="196"/>
      <c r="T5" s="196"/>
      <c r="U5" s="196"/>
      <c r="V5" s="196"/>
      <c r="W5" s="196"/>
      <c r="X5" s="196"/>
      <c r="Y5" s="370"/>
    </row>
    <row r="6" spans="1:25" ht="12.75" customHeight="1">
      <c r="A6" s="250" t="s">
        <v>1613</v>
      </c>
      <c r="B6" s="294"/>
      <c r="C6" s="1615"/>
      <c r="D6" s="1615"/>
      <c r="E6" s="1616"/>
      <c r="F6" s="1617"/>
      <c r="G6" s="1615"/>
      <c r="H6" s="1618"/>
      <c r="I6" s="1637"/>
      <c r="J6" s="1617"/>
      <c r="K6" s="1615"/>
      <c r="L6" s="1618"/>
      <c r="M6" s="195"/>
      <c r="N6" s="196"/>
      <c r="O6" s="196"/>
      <c r="P6" s="196"/>
      <c r="Q6" s="196"/>
      <c r="R6" s="196"/>
      <c r="S6" s="196"/>
      <c r="T6" s="196"/>
      <c r="U6" s="196"/>
      <c r="V6" s="196"/>
      <c r="W6" s="196"/>
      <c r="X6" s="196"/>
      <c r="Y6" s="370"/>
    </row>
    <row r="7" spans="1:25" ht="12.75" customHeight="1">
      <c r="A7" s="254" t="s">
        <v>1805</v>
      </c>
      <c r="B7" s="294">
        <v>2</v>
      </c>
      <c r="C7" s="1064">
        <f>'SA1'!C14</f>
        <v>843631949.83000004</v>
      </c>
      <c r="D7" s="1064">
        <f>'SA1'!D14</f>
        <v>1004638517</v>
      </c>
      <c r="E7" s="1426">
        <f>'SA1'!E14</f>
        <v>839961287</v>
      </c>
      <c r="F7" s="1068">
        <f>'SA1'!F14</f>
        <v>1437891033</v>
      </c>
      <c r="G7" s="1064">
        <f>'SA1'!G14</f>
        <v>1410598933</v>
      </c>
      <c r="H7" s="1151">
        <f>'SA1'!H14</f>
        <v>1410598933</v>
      </c>
      <c r="I7" s="1067">
        <f>'SA1'!I14</f>
        <v>1410598933</v>
      </c>
      <c r="J7" s="1068">
        <f>'SA1'!J14</f>
        <v>1196824246</v>
      </c>
      <c r="K7" s="1064">
        <f>'SA1'!K14</f>
        <v>1292410186</v>
      </c>
      <c r="L7" s="1151">
        <f>'SA1'!L14</f>
        <v>1414222476</v>
      </c>
      <c r="M7" s="195"/>
      <c r="N7" s="196"/>
      <c r="O7" s="196"/>
      <c r="P7" s="196"/>
      <c r="Q7" s="196"/>
      <c r="R7" s="196"/>
      <c r="S7" s="196"/>
      <c r="T7" s="196"/>
      <c r="U7" s="196"/>
      <c r="V7" s="196"/>
      <c r="W7" s="196"/>
      <c r="X7" s="196"/>
      <c r="Y7" s="370"/>
    </row>
    <row r="8" spans="1:25" ht="12.75" customHeight="1">
      <c r="A8" s="254" t="s">
        <v>1806</v>
      </c>
      <c r="B8" s="294">
        <v>2</v>
      </c>
      <c r="C8" s="1064">
        <f>'SA1'!C19</f>
        <v>194498772.46000001</v>
      </c>
      <c r="D8" s="1064">
        <f>'SA1'!D19</f>
        <v>276284388</v>
      </c>
      <c r="E8" s="1426">
        <f>'SA1'!E19</f>
        <v>314049423</v>
      </c>
      <c r="F8" s="1068">
        <f>'SA1'!F19</f>
        <v>320767711</v>
      </c>
      <c r="G8" s="1064">
        <f>'SA1'!G19</f>
        <v>343093875</v>
      </c>
      <c r="H8" s="1151">
        <f>'SA1'!H19</f>
        <v>343093875</v>
      </c>
      <c r="I8" s="1067">
        <f>'SA1'!I19</f>
        <v>343093875</v>
      </c>
      <c r="J8" s="1068">
        <f>'SA1'!J19</f>
        <v>339732131</v>
      </c>
      <c r="K8" s="1064">
        <f>'SA1'!K19</f>
        <v>357143872</v>
      </c>
      <c r="L8" s="1151">
        <f>'SA1'!L19</f>
        <v>395167527</v>
      </c>
      <c r="M8" s="195"/>
      <c r="N8" s="196"/>
      <c r="O8" s="196"/>
      <c r="P8" s="196"/>
      <c r="Q8" s="196"/>
      <c r="R8" s="196"/>
      <c r="S8" s="196"/>
      <c r="T8" s="196"/>
      <c r="U8" s="196"/>
      <c r="V8" s="196"/>
      <c r="W8" s="196"/>
      <c r="X8" s="196"/>
      <c r="Y8" s="370"/>
    </row>
    <row r="9" spans="1:25" ht="12.75" customHeight="1">
      <c r="A9" s="254" t="s">
        <v>935</v>
      </c>
      <c r="B9" s="294">
        <v>2</v>
      </c>
      <c r="C9" s="1064">
        <f>'SA1'!C24</f>
        <v>79212827.579999998</v>
      </c>
      <c r="D9" s="1064">
        <f>'SA1'!D24</f>
        <v>56414320</v>
      </c>
      <c r="E9" s="1426">
        <f>'SA1'!E24</f>
        <v>65542041</v>
      </c>
      <c r="F9" s="1068">
        <f>'SA1'!F24</f>
        <v>164083494</v>
      </c>
      <c r="G9" s="1064">
        <f>'SA1'!G24</f>
        <v>156408251</v>
      </c>
      <c r="H9" s="1151">
        <f>'SA1'!H24</f>
        <v>156408251</v>
      </c>
      <c r="I9" s="1067">
        <f>'SA1'!I24</f>
        <v>156408251</v>
      </c>
      <c r="J9" s="1068">
        <f>'SA1'!J24</f>
        <v>194225012</v>
      </c>
      <c r="K9" s="1064">
        <f>'SA1'!K24</f>
        <v>208835953</v>
      </c>
      <c r="L9" s="1151">
        <f>'SA1'!L24</f>
        <v>257325655</v>
      </c>
      <c r="M9" s="195"/>
      <c r="N9" s="196"/>
      <c r="O9" s="196"/>
      <c r="P9" s="196"/>
      <c r="Q9" s="196"/>
      <c r="R9" s="196"/>
      <c r="S9" s="196"/>
      <c r="T9" s="196"/>
      <c r="U9" s="196"/>
      <c r="V9" s="196"/>
      <c r="W9" s="196"/>
      <c r="X9" s="196"/>
      <c r="Y9" s="370"/>
    </row>
    <row r="10" spans="1:25" ht="12.75" customHeight="1">
      <c r="A10" s="254" t="s">
        <v>1045</v>
      </c>
      <c r="B10" s="294">
        <v>2</v>
      </c>
      <c r="C10" s="207">
        <f>'SA1'!C30</f>
        <v>48138174.630000003</v>
      </c>
      <c r="D10" s="207">
        <f>'SA1'!D30</f>
        <v>64348467</v>
      </c>
      <c r="E10" s="204">
        <f>'SA1'!E30</f>
        <v>71452460</v>
      </c>
      <c r="F10" s="205">
        <f>'SA1'!F30</f>
        <v>73781553</v>
      </c>
      <c r="G10" s="203">
        <f>'SA1'!G30</f>
        <v>70417544</v>
      </c>
      <c r="H10" s="808">
        <f>'SA1'!H30</f>
        <v>70417544</v>
      </c>
      <c r="I10" s="202">
        <f>'SA1'!I30</f>
        <v>70417544</v>
      </c>
      <c r="J10" s="206">
        <f>'SA1'!J30</f>
        <v>71943353</v>
      </c>
      <c r="K10" s="203">
        <f>'SA1'!K30</f>
        <v>79587951</v>
      </c>
      <c r="L10" s="204">
        <f>'SA1'!L30</f>
        <v>88125871</v>
      </c>
      <c r="M10" s="195"/>
      <c r="N10" s="196"/>
      <c r="O10" s="196"/>
      <c r="P10" s="196"/>
      <c r="Q10" s="196"/>
      <c r="R10" s="196"/>
      <c r="S10" s="196"/>
      <c r="T10" s="196"/>
      <c r="U10" s="196"/>
      <c r="V10" s="196"/>
      <c r="W10" s="196"/>
      <c r="X10" s="196"/>
      <c r="Y10" s="370"/>
    </row>
    <row r="11" spans="1:25" ht="12.75" customHeight="1">
      <c r="A11" s="254" t="s">
        <v>937</v>
      </c>
      <c r="B11" s="293"/>
      <c r="C11" s="1635">
        <v>10114883</v>
      </c>
      <c r="D11" s="1635">
        <v>0</v>
      </c>
      <c r="E11" s="1615">
        <v>0</v>
      </c>
      <c r="F11" s="2534">
        <v>1056934</v>
      </c>
      <c r="G11" s="2534">
        <v>1939060</v>
      </c>
      <c r="H11" s="2534">
        <v>1939060</v>
      </c>
      <c r="I11" s="2534">
        <v>1939060</v>
      </c>
      <c r="J11" s="2534">
        <v>2371172</v>
      </c>
      <c r="K11" s="1615">
        <v>2496844</v>
      </c>
      <c r="L11" s="1635">
        <v>2629179</v>
      </c>
      <c r="M11" s="195"/>
      <c r="N11" s="196"/>
      <c r="O11" s="196"/>
      <c r="P11" s="196"/>
      <c r="Q11" s="196"/>
      <c r="R11" s="196"/>
      <c r="S11" s="196"/>
      <c r="T11" s="196"/>
      <c r="U11" s="196"/>
      <c r="V11" s="196"/>
      <c r="W11" s="196"/>
      <c r="X11" s="196"/>
      <c r="Y11" s="370"/>
    </row>
    <row r="12" spans="1:25" ht="12.75" customHeight="1">
      <c r="A12" s="254" t="s">
        <v>1615</v>
      </c>
      <c r="B12" s="293"/>
      <c r="C12" s="1635">
        <v>23030127.59</v>
      </c>
      <c r="D12" s="1635">
        <v>29369443</v>
      </c>
      <c r="E12" s="1615">
        <v>28296697</v>
      </c>
      <c r="F12" s="2534">
        <v>10108888</v>
      </c>
      <c r="G12" s="2534">
        <v>10786025</v>
      </c>
      <c r="H12" s="2534">
        <v>10786025</v>
      </c>
      <c r="I12" s="2534">
        <v>10786025</v>
      </c>
      <c r="J12" s="2534">
        <v>15360460</v>
      </c>
      <c r="K12" s="1615">
        <v>17272595</v>
      </c>
      <c r="L12" s="1635">
        <v>18018869</v>
      </c>
      <c r="M12" s="195"/>
      <c r="N12" s="196"/>
      <c r="O12" s="196"/>
      <c r="P12" s="196"/>
      <c r="Q12" s="196"/>
      <c r="R12" s="196"/>
      <c r="S12" s="196"/>
      <c r="T12" s="196"/>
      <c r="U12" s="196"/>
      <c r="V12" s="196"/>
      <c r="W12" s="196"/>
      <c r="X12" s="196"/>
    </row>
    <row r="13" spans="1:25" ht="12.75" customHeight="1">
      <c r="A13" s="250" t="s">
        <v>472</v>
      </c>
      <c r="B13" s="293"/>
      <c r="C13" s="1635">
        <v>45844566</v>
      </c>
      <c r="D13" s="1635">
        <v>43343622</v>
      </c>
      <c r="E13" s="1615">
        <v>55475086</v>
      </c>
      <c r="F13" s="2534">
        <v>79337660</v>
      </c>
      <c r="G13" s="2534">
        <v>69016660</v>
      </c>
      <c r="H13" s="2534">
        <v>69016660</v>
      </c>
      <c r="I13" s="2534">
        <v>69016660</v>
      </c>
      <c r="J13" s="2534">
        <v>68996411</v>
      </c>
      <c r="K13" s="1615">
        <v>72187520</v>
      </c>
      <c r="L13" s="1635">
        <v>75551937</v>
      </c>
      <c r="M13" s="195"/>
      <c r="N13" s="196"/>
      <c r="O13" s="196"/>
      <c r="P13" s="196"/>
      <c r="Q13" s="196"/>
      <c r="R13" s="196"/>
      <c r="S13" s="196"/>
      <c r="T13" s="196"/>
      <c r="U13" s="196"/>
      <c r="V13" s="196"/>
      <c r="W13" s="196"/>
      <c r="X13" s="196"/>
    </row>
    <row r="14" spans="1:25" ht="12.75" customHeight="1">
      <c r="A14" s="250" t="s">
        <v>473</v>
      </c>
      <c r="B14" s="293"/>
      <c r="C14" s="1635">
        <v>70944790.950000003</v>
      </c>
      <c r="D14" s="1635">
        <v>100187483</v>
      </c>
      <c r="E14" s="1615">
        <v>125550747</v>
      </c>
      <c r="F14" s="2534">
        <v>88598233</v>
      </c>
      <c r="G14" s="2534">
        <v>91798233</v>
      </c>
      <c r="H14" s="2534">
        <v>91798233</v>
      </c>
      <c r="I14" s="2534">
        <v>91798233</v>
      </c>
      <c r="J14" s="2534">
        <v>140090456</v>
      </c>
      <c r="K14" s="1615">
        <v>116373563</v>
      </c>
      <c r="L14" s="1635">
        <v>101314730</v>
      </c>
      <c r="M14" s="195"/>
      <c r="N14" s="196"/>
      <c r="O14" s="196"/>
      <c r="P14" s="196"/>
      <c r="Q14" s="196"/>
      <c r="R14" s="196"/>
      <c r="S14" s="196"/>
      <c r="T14" s="196"/>
      <c r="U14" s="196"/>
      <c r="V14" s="196"/>
      <c r="W14" s="196"/>
      <c r="X14" s="196"/>
    </row>
    <row r="15" spans="1:25" ht="12.75" customHeight="1">
      <c r="A15" s="250" t="s">
        <v>1534</v>
      </c>
      <c r="B15" s="293"/>
      <c r="C15" s="1639">
        <v>13801.84</v>
      </c>
      <c r="D15" s="1639">
        <v>15261</v>
      </c>
      <c r="E15" s="1638">
        <v>17252</v>
      </c>
      <c r="F15" s="1642">
        <v>0</v>
      </c>
      <c r="G15" s="1642">
        <v>0</v>
      </c>
      <c r="H15" s="1642">
        <v>0</v>
      </c>
      <c r="I15" s="1642">
        <v>0</v>
      </c>
      <c r="J15" s="1642">
        <v>0</v>
      </c>
      <c r="K15" s="1638">
        <v>0</v>
      </c>
      <c r="L15" s="1639">
        <v>0</v>
      </c>
      <c r="M15" s="195"/>
      <c r="N15" s="196"/>
      <c r="O15" s="196"/>
      <c r="P15" s="196"/>
      <c r="Q15" s="196"/>
      <c r="R15" s="196"/>
      <c r="S15" s="196"/>
      <c r="T15" s="196"/>
      <c r="U15" s="196"/>
      <c r="V15" s="196"/>
      <c r="W15" s="196"/>
      <c r="X15" s="196"/>
    </row>
    <row r="16" spans="1:25" ht="12.75" customHeight="1">
      <c r="A16" s="250" t="s">
        <v>474</v>
      </c>
      <c r="B16" s="293"/>
      <c r="C16" s="1635">
        <v>1487556</v>
      </c>
      <c r="D16" s="1635">
        <v>2570809</v>
      </c>
      <c r="E16" s="1615">
        <v>5994062</v>
      </c>
      <c r="F16" s="2534">
        <v>7417386</v>
      </c>
      <c r="G16" s="2534">
        <v>7908752</v>
      </c>
      <c r="H16" s="2534">
        <v>7908752</v>
      </c>
      <c r="I16" s="2534">
        <v>7908752</v>
      </c>
      <c r="J16" s="2534">
        <v>9105152</v>
      </c>
      <c r="K16" s="1615">
        <v>9567734</v>
      </c>
      <c r="L16" s="1635">
        <v>10050993</v>
      </c>
      <c r="M16" s="195"/>
      <c r="N16" s="196"/>
      <c r="O16" s="196"/>
      <c r="P16" s="196"/>
      <c r="Q16" s="196"/>
      <c r="R16" s="196"/>
      <c r="S16" s="196"/>
      <c r="T16" s="196"/>
      <c r="U16" s="196"/>
      <c r="V16" s="196"/>
      <c r="W16" s="196"/>
      <c r="X16" s="196"/>
    </row>
    <row r="17" spans="1:24" ht="12.75" customHeight="1">
      <c r="A17" s="250" t="s">
        <v>475</v>
      </c>
      <c r="B17" s="293"/>
      <c r="C17" s="1635">
        <v>7785609.8399999999</v>
      </c>
      <c r="D17" s="1635">
        <v>8649832</v>
      </c>
      <c r="E17" s="1615">
        <v>8957313</v>
      </c>
      <c r="F17" s="2534">
        <v>1844192</v>
      </c>
      <c r="G17" s="2534">
        <v>14392161</v>
      </c>
      <c r="H17" s="2534">
        <v>14392161</v>
      </c>
      <c r="I17" s="2534">
        <v>14392161</v>
      </c>
      <c r="J17" s="2534">
        <v>11780015</v>
      </c>
      <c r="K17" s="1615">
        <v>12075103</v>
      </c>
      <c r="L17" s="1635">
        <v>12378462</v>
      </c>
      <c r="M17" s="195"/>
      <c r="N17" s="196"/>
      <c r="O17" s="196"/>
      <c r="P17" s="196"/>
      <c r="Q17" s="196"/>
      <c r="R17" s="196"/>
      <c r="S17" s="196"/>
      <c r="T17" s="196"/>
      <c r="U17" s="196"/>
      <c r="V17" s="196"/>
      <c r="W17" s="196"/>
      <c r="X17" s="196"/>
    </row>
    <row r="18" spans="1:24" ht="12.75" customHeight="1">
      <c r="A18" s="254" t="s">
        <v>1510</v>
      </c>
      <c r="B18" s="294"/>
      <c r="C18" s="1639">
        <v>13705273.539999999</v>
      </c>
      <c r="D18" s="1639">
        <v>12590558</v>
      </c>
      <c r="E18" s="1638">
        <v>7599099</v>
      </c>
      <c r="F18" s="1642">
        <v>13531222</v>
      </c>
      <c r="G18" s="1642">
        <v>14778091</v>
      </c>
      <c r="H18" s="1642">
        <v>14778091</v>
      </c>
      <c r="I18" s="1642">
        <v>14778091</v>
      </c>
      <c r="J18" s="1642">
        <v>19977078</v>
      </c>
      <c r="K18" s="1638">
        <v>19982864</v>
      </c>
      <c r="L18" s="1639">
        <v>21041955</v>
      </c>
      <c r="M18" s="195"/>
      <c r="N18" s="196"/>
      <c r="O18" s="196"/>
      <c r="P18" s="196"/>
      <c r="Q18" s="196"/>
      <c r="R18" s="196"/>
      <c r="S18" s="196"/>
      <c r="T18" s="196"/>
      <c r="U18" s="196"/>
      <c r="V18" s="196"/>
      <c r="W18" s="196"/>
      <c r="X18" s="196"/>
    </row>
    <row r="19" spans="1:24" ht="12.75" customHeight="1">
      <c r="A19" s="250" t="s">
        <v>35</v>
      </c>
      <c r="B19" s="293"/>
      <c r="C19" s="1635">
        <v>442164247</v>
      </c>
      <c r="D19" s="1635">
        <v>444485451</v>
      </c>
      <c r="E19" s="1615">
        <v>462845808</v>
      </c>
      <c r="F19" s="2534">
        <v>282915139</v>
      </c>
      <c r="G19" s="2534">
        <v>301272885</v>
      </c>
      <c r="H19" s="2534">
        <v>301272885</v>
      </c>
      <c r="I19" s="2534">
        <v>301272885</v>
      </c>
      <c r="J19" s="2534">
        <v>341879800</v>
      </c>
      <c r="K19" s="1615">
        <v>368423220</v>
      </c>
      <c r="L19" s="1635">
        <v>437175249</v>
      </c>
      <c r="M19" s="208"/>
      <c r="N19" s="196"/>
      <c r="O19" s="196"/>
      <c r="P19" s="196"/>
      <c r="Q19" s="196"/>
      <c r="R19" s="196"/>
      <c r="S19" s="196"/>
      <c r="T19" s="196"/>
      <c r="U19" s="196"/>
      <c r="V19" s="196"/>
      <c r="W19" s="196"/>
      <c r="X19" s="196"/>
    </row>
    <row r="20" spans="1:24" ht="12.75" customHeight="1">
      <c r="A20" s="250" t="s">
        <v>1562</v>
      </c>
      <c r="B20" s="293">
        <v>2</v>
      </c>
      <c r="C20" s="207">
        <f>'SA1'!C45</f>
        <v>29198314</v>
      </c>
      <c r="D20" s="207">
        <f>'SA1'!D45</f>
        <v>19763061</v>
      </c>
      <c r="E20" s="204">
        <f>'SA1'!E45</f>
        <v>21439760</v>
      </c>
      <c r="F20" s="205">
        <f>'SA1'!F45</f>
        <v>24768340</v>
      </c>
      <c r="G20" s="203">
        <f>'SA1'!G45</f>
        <v>33226951</v>
      </c>
      <c r="H20" s="204">
        <f>'SA1'!H45</f>
        <v>33226951</v>
      </c>
      <c r="I20" s="202">
        <f>'SA1'!I45</f>
        <v>33226951</v>
      </c>
      <c r="J20" s="206">
        <f>'SA1'!J45</f>
        <v>41075268</v>
      </c>
      <c r="K20" s="203">
        <f>'SA1'!K45</f>
        <v>43160491</v>
      </c>
      <c r="L20" s="204">
        <f>'SA1'!L45</f>
        <v>45254621</v>
      </c>
      <c r="M20" s="208"/>
      <c r="N20" s="196"/>
      <c r="O20" s="196"/>
      <c r="P20" s="196"/>
      <c r="Q20" s="196"/>
      <c r="R20" s="196"/>
      <c r="S20" s="196"/>
      <c r="T20" s="196"/>
      <c r="U20" s="196"/>
      <c r="V20" s="196"/>
      <c r="W20" s="196"/>
      <c r="X20" s="196"/>
    </row>
    <row r="21" spans="1:24" ht="12.75" customHeight="1">
      <c r="A21" s="250" t="s">
        <v>476</v>
      </c>
      <c r="B21" s="293"/>
      <c r="C21" s="1635">
        <v>18871154</v>
      </c>
      <c r="D21" s="1635">
        <v>120815</v>
      </c>
      <c r="E21" s="1615">
        <v>469725</v>
      </c>
      <c r="F21" s="2534">
        <f>4000000+119505800</f>
        <v>123505800</v>
      </c>
      <c r="G21" s="2534">
        <v>63505800</v>
      </c>
      <c r="H21" s="2534">
        <v>63505800</v>
      </c>
      <c r="I21" s="2534">
        <v>63505800</v>
      </c>
      <c r="J21" s="2534">
        <v>100071607</v>
      </c>
      <c r="K21" s="1615">
        <v>50000000</v>
      </c>
      <c r="L21" s="1635">
        <v>0</v>
      </c>
      <c r="M21" s="208"/>
      <c r="N21" s="196"/>
      <c r="O21" s="196"/>
      <c r="P21" s="196"/>
      <c r="Q21" s="196"/>
      <c r="R21" s="196"/>
      <c r="S21" s="196"/>
      <c r="T21" s="196"/>
      <c r="U21" s="196"/>
      <c r="V21" s="196"/>
      <c r="W21" s="196"/>
      <c r="X21" s="196"/>
    </row>
    <row r="22" spans="1:24" ht="24" customHeight="1">
      <c r="A22" s="1379" t="s">
        <v>1046</v>
      </c>
      <c r="B22" s="1380"/>
      <c r="C22" s="1381">
        <f t="shared" ref="C22:X22" si="0">SUM(C5:C21)</f>
        <v>1969006785.5399997</v>
      </c>
      <c r="D22" s="1381">
        <f t="shared" si="0"/>
        <v>2218358433</v>
      </c>
      <c r="E22" s="1382">
        <f t="shared" si="0"/>
        <v>2175110947</v>
      </c>
      <c r="F22" s="1383">
        <f t="shared" si="0"/>
        <v>2809066817</v>
      </c>
      <c r="G22" s="1381">
        <f t="shared" si="0"/>
        <v>2755402453</v>
      </c>
      <c r="H22" s="1382">
        <f t="shared" si="0"/>
        <v>2755402453</v>
      </c>
      <c r="I22" s="1383">
        <f t="shared" si="0"/>
        <v>2755402453</v>
      </c>
      <c r="J22" s="1384">
        <f t="shared" si="0"/>
        <v>2729275535</v>
      </c>
      <c r="K22" s="1381">
        <f t="shared" si="0"/>
        <v>2834221952</v>
      </c>
      <c r="L22" s="1382">
        <f t="shared" si="0"/>
        <v>3072107337</v>
      </c>
      <c r="M22" s="199">
        <f t="shared" si="0"/>
        <v>0</v>
      </c>
      <c r="N22" s="200">
        <f t="shared" si="0"/>
        <v>0</v>
      </c>
      <c r="O22" s="200">
        <f t="shared" si="0"/>
        <v>0</v>
      </c>
      <c r="P22" s="200">
        <f t="shared" si="0"/>
        <v>0</v>
      </c>
      <c r="Q22" s="200">
        <f t="shared" si="0"/>
        <v>0</v>
      </c>
      <c r="R22" s="200">
        <f t="shared" si="0"/>
        <v>0</v>
      </c>
      <c r="S22" s="200">
        <f t="shared" si="0"/>
        <v>0</v>
      </c>
      <c r="T22" s="200">
        <f t="shared" si="0"/>
        <v>0</v>
      </c>
      <c r="U22" s="200">
        <f t="shared" si="0"/>
        <v>0</v>
      </c>
      <c r="V22" s="200">
        <f t="shared" si="0"/>
        <v>0</v>
      </c>
      <c r="W22" s="200">
        <f t="shared" si="0"/>
        <v>0</v>
      </c>
      <c r="X22" s="200">
        <f t="shared" si="0"/>
        <v>0</v>
      </c>
    </row>
    <row r="23" spans="1:24" ht="5" customHeight="1">
      <c r="A23" s="273"/>
      <c r="B23" s="293"/>
      <c r="C23" s="203"/>
      <c r="D23" s="203"/>
      <c r="E23" s="204"/>
      <c r="F23" s="205"/>
      <c r="G23" s="203"/>
      <c r="H23" s="204"/>
      <c r="I23" s="202"/>
      <c r="J23" s="206"/>
      <c r="K23" s="203"/>
      <c r="L23" s="204"/>
      <c r="M23" s="195"/>
      <c r="N23" s="196"/>
      <c r="O23" s="196"/>
      <c r="P23" s="196"/>
      <c r="Q23" s="196"/>
      <c r="R23" s="196"/>
      <c r="S23" s="196"/>
      <c r="T23" s="196"/>
      <c r="U23" s="196"/>
      <c r="V23" s="196"/>
      <c r="W23" s="196"/>
      <c r="X23" s="196"/>
    </row>
    <row r="24" spans="1:24" ht="11.25" customHeight="1">
      <c r="A24" s="249" t="s">
        <v>1650</v>
      </c>
      <c r="B24" s="295"/>
      <c r="C24" s="203"/>
      <c r="D24" s="203"/>
      <c r="E24" s="204"/>
      <c r="F24" s="205"/>
      <c r="G24" s="203"/>
      <c r="H24" s="204"/>
      <c r="I24" s="202"/>
      <c r="J24" s="206"/>
      <c r="K24" s="203"/>
      <c r="L24" s="204"/>
      <c r="M24" s="195"/>
      <c r="N24" s="196"/>
      <c r="O24" s="196"/>
      <c r="P24" s="196"/>
      <c r="Q24" s="196"/>
      <c r="R24" s="196"/>
      <c r="S24" s="196"/>
      <c r="T24" s="196"/>
      <c r="U24" s="196"/>
      <c r="V24" s="196"/>
      <c r="W24" s="196"/>
      <c r="X24" s="196"/>
    </row>
    <row r="25" spans="1:24" ht="11.25" customHeight="1">
      <c r="A25" s="254" t="s">
        <v>477</v>
      </c>
      <c r="B25" s="294">
        <v>2</v>
      </c>
      <c r="C25" s="203">
        <f>'SA1'!C63</f>
        <v>176679399.88999996</v>
      </c>
      <c r="D25" s="207">
        <f>'SA1'!D63</f>
        <v>322647467</v>
      </c>
      <c r="E25" s="204">
        <f>'SA1'!E63</f>
        <v>349932528</v>
      </c>
      <c r="F25" s="205">
        <f>'SA1'!F63</f>
        <v>403054506.24400002</v>
      </c>
      <c r="G25" s="203">
        <f>'SA1'!G63</f>
        <v>412163499</v>
      </c>
      <c r="H25" s="204">
        <f>'SA1'!H63</f>
        <v>412163499</v>
      </c>
      <c r="I25" s="202">
        <f>'SA1'!I63</f>
        <v>412163499</v>
      </c>
      <c r="J25" s="206">
        <f>'SA1'!J63</f>
        <v>462746205</v>
      </c>
      <c r="K25" s="203">
        <f>'SA1'!K63</f>
        <v>498512510</v>
      </c>
      <c r="L25" s="204">
        <f>'SA1'!L63</f>
        <v>532216088</v>
      </c>
      <c r="M25" s="195"/>
      <c r="N25" s="196"/>
      <c r="O25" s="196"/>
      <c r="P25" s="196"/>
      <c r="Q25" s="196"/>
      <c r="R25" s="196"/>
      <c r="S25" s="196"/>
      <c r="T25" s="196"/>
      <c r="U25" s="196"/>
      <c r="V25" s="196"/>
      <c r="W25" s="196"/>
      <c r="X25" s="196"/>
    </row>
    <row r="26" spans="1:24" ht="11.25" customHeight="1">
      <c r="A26" s="254" t="s">
        <v>531</v>
      </c>
      <c r="B26" s="294"/>
      <c r="C26" s="1635">
        <v>16907839.760000002</v>
      </c>
      <c r="D26" s="1635">
        <v>20889362</v>
      </c>
      <c r="E26" s="1615">
        <v>22716784</v>
      </c>
      <c r="F26" s="2534">
        <v>23785390</v>
      </c>
      <c r="G26" s="2534">
        <v>23869882</v>
      </c>
      <c r="H26" s="2534">
        <v>23869882</v>
      </c>
      <c r="I26" s="2534">
        <v>23869882</v>
      </c>
      <c r="J26" s="2534">
        <v>26919289</v>
      </c>
      <c r="K26" s="1615">
        <v>28669045</v>
      </c>
      <c r="L26" s="1635">
        <v>30532534</v>
      </c>
      <c r="M26" s="195"/>
      <c r="N26" s="196"/>
      <c r="O26" s="196"/>
      <c r="P26" s="196"/>
      <c r="Q26" s="196"/>
      <c r="R26" s="196"/>
      <c r="S26" s="196"/>
      <c r="T26" s="196"/>
      <c r="U26" s="196"/>
      <c r="V26" s="196"/>
      <c r="W26" s="196"/>
      <c r="X26" s="196"/>
    </row>
    <row r="27" spans="1:24" ht="11.25" customHeight="1">
      <c r="A27" s="254" t="s">
        <v>1469</v>
      </c>
      <c r="B27" s="294">
        <v>3</v>
      </c>
      <c r="C27" s="1635">
        <v>232829000</v>
      </c>
      <c r="D27" s="1635">
        <v>238277196</v>
      </c>
      <c r="E27" s="1615">
        <v>266279219</v>
      </c>
      <c r="F27" s="2534">
        <v>61781857</v>
      </c>
      <c r="G27" s="2534">
        <v>101375312</v>
      </c>
      <c r="H27" s="2534">
        <v>101375312</v>
      </c>
      <c r="I27" s="2534">
        <v>101375312</v>
      </c>
      <c r="J27" s="2534">
        <v>206379537</v>
      </c>
      <c r="K27" s="1615">
        <v>183247986</v>
      </c>
      <c r="L27" s="1635">
        <v>146452441</v>
      </c>
      <c r="M27" s="195"/>
      <c r="N27" s="196"/>
      <c r="O27" s="196"/>
      <c r="P27" s="196"/>
      <c r="Q27" s="196"/>
      <c r="R27" s="196"/>
      <c r="S27" s="196"/>
      <c r="T27" s="196"/>
      <c r="U27" s="196"/>
      <c r="V27" s="196"/>
      <c r="W27" s="196"/>
      <c r="X27" s="196"/>
    </row>
    <row r="28" spans="1:24" ht="11.25" customHeight="1">
      <c r="A28" s="254" t="s">
        <v>1499</v>
      </c>
      <c r="B28" s="294">
        <v>2</v>
      </c>
      <c r="C28" s="203">
        <f>'SA1'!C79</f>
        <v>109873900</v>
      </c>
      <c r="D28" s="207">
        <f>'SA1'!D79</f>
        <v>403378129</v>
      </c>
      <c r="E28" s="204">
        <f>'SA1'!E79</f>
        <v>403760550</v>
      </c>
      <c r="F28" s="205">
        <f>'SA1'!F79</f>
        <v>124317839</v>
      </c>
      <c r="G28" s="203">
        <f>'SA1'!G79</f>
        <v>124620031</v>
      </c>
      <c r="H28" s="204">
        <f>'SA1'!H79</f>
        <v>124620031</v>
      </c>
      <c r="I28" s="202">
        <f>'SA1'!I79</f>
        <v>124620031</v>
      </c>
      <c r="J28" s="206">
        <f>'SA1'!J79</f>
        <v>286184715</v>
      </c>
      <c r="K28" s="203">
        <f>'SA1'!K79</f>
        <v>303458347</v>
      </c>
      <c r="L28" s="204">
        <f>'SA1'!L79</f>
        <v>320986411</v>
      </c>
      <c r="M28" s="208"/>
      <c r="N28" s="209"/>
      <c r="O28" s="209"/>
      <c r="P28" s="209"/>
      <c r="Q28" s="209"/>
      <c r="R28" s="209"/>
      <c r="S28" s="209"/>
      <c r="T28" s="209"/>
      <c r="U28" s="209"/>
      <c r="V28" s="209"/>
      <c r="W28" s="209"/>
      <c r="X28" s="209"/>
    </row>
    <row r="29" spans="1:24" ht="11.25" customHeight="1">
      <c r="A29" s="254" t="s">
        <v>1561</v>
      </c>
      <c r="B29" s="294"/>
      <c r="C29" s="1635">
        <v>44949815</v>
      </c>
      <c r="D29" s="1635">
        <v>46928079</v>
      </c>
      <c r="E29" s="1615">
        <v>45015020</v>
      </c>
      <c r="F29" s="2534">
        <f>11914202+'[5]Fin performance'!$E$29</f>
        <v>38923014</v>
      </c>
      <c r="G29" s="2534">
        <v>38923014</v>
      </c>
      <c r="H29" s="2534">
        <v>38923014</v>
      </c>
      <c r="I29" s="2534">
        <v>38923014</v>
      </c>
      <c r="J29" s="2534">
        <f>27031876+26200135</f>
        <v>53232011</v>
      </c>
      <c r="K29" s="1615">
        <f>25906621+24247862</f>
        <v>50154483</v>
      </c>
      <c r="L29" s="1635">
        <f>24196470+62047980</f>
        <v>86244450</v>
      </c>
      <c r="M29" s="195"/>
      <c r="N29" s="196"/>
      <c r="O29" s="196"/>
      <c r="P29" s="196"/>
      <c r="Q29" s="196"/>
      <c r="R29" s="196"/>
      <c r="S29" s="196"/>
      <c r="T29" s="196"/>
      <c r="U29" s="196"/>
      <c r="V29" s="196"/>
      <c r="W29" s="196"/>
      <c r="X29" s="196"/>
    </row>
    <row r="30" spans="1:24" ht="11.25" customHeight="1">
      <c r="A30" s="254" t="s">
        <v>479</v>
      </c>
      <c r="B30" s="294">
        <v>2</v>
      </c>
      <c r="C30" s="203">
        <f>'SA1'!C84</f>
        <v>773032403</v>
      </c>
      <c r="D30" s="207">
        <f>'SA1'!D84</f>
        <v>882942984</v>
      </c>
      <c r="E30" s="204">
        <f>'SA1'!E84</f>
        <v>725797345</v>
      </c>
      <c r="F30" s="205">
        <f>'SA1'!F84</f>
        <v>1459247825</v>
      </c>
      <c r="G30" s="203">
        <f>'SA1'!G84</f>
        <v>1307198106</v>
      </c>
      <c r="H30" s="204">
        <f>'SA1'!H84</f>
        <v>1307198106</v>
      </c>
      <c r="I30" s="202">
        <f>'SA1'!I84</f>
        <v>1307198106</v>
      </c>
      <c r="J30" s="206">
        <f>'SA1'!J84</f>
        <v>996736434</v>
      </c>
      <c r="K30" s="203">
        <f>'SA1'!K84</f>
        <v>1080378838</v>
      </c>
      <c r="L30" s="204">
        <f>'SA1'!L84</f>
        <v>1171096784</v>
      </c>
      <c r="M30" s="195"/>
      <c r="N30" s="196"/>
      <c r="O30" s="196"/>
      <c r="P30" s="196"/>
      <c r="Q30" s="196"/>
      <c r="R30" s="196"/>
      <c r="S30" s="196"/>
      <c r="T30" s="196"/>
      <c r="U30" s="196"/>
      <c r="V30" s="196"/>
      <c r="W30" s="196"/>
      <c r="X30" s="196"/>
    </row>
    <row r="31" spans="1:24" ht="11.25" customHeight="1">
      <c r="A31" s="254" t="s">
        <v>1529</v>
      </c>
      <c r="B31" s="294">
        <v>8</v>
      </c>
      <c r="C31" s="1639">
        <v>29611905</v>
      </c>
      <c r="D31" s="1639">
        <v>31128875</v>
      </c>
      <c r="E31" s="1638">
        <v>74244283</v>
      </c>
      <c r="F31" s="1642">
        <f>72892359+55000000</f>
        <v>127892359</v>
      </c>
      <c r="G31" s="1642">
        <v>141670754</v>
      </c>
      <c r="H31" s="1642">
        <v>141670754</v>
      </c>
      <c r="I31" s="1642">
        <v>141670754</v>
      </c>
      <c r="J31" s="1642">
        <v>155289226</v>
      </c>
      <c r="K31" s="1638">
        <v>163199041</v>
      </c>
      <c r="L31" s="1639">
        <v>173275893</v>
      </c>
      <c r="M31" s="195"/>
      <c r="N31" s="196"/>
      <c r="O31" s="196"/>
      <c r="P31" s="196"/>
      <c r="Q31" s="196"/>
      <c r="R31" s="196"/>
      <c r="S31" s="196"/>
      <c r="T31" s="196"/>
      <c r="U31" s="196"/>
      <c r="V31" s="196"/>
      <c r="W31" s="196"/>
      <c r="X31" s="196"/>
    </row>
    <row r="32" spans="1:24" ht="11.25" customHeight="1">
      <c r="A32" s="254" t="s">
        <v>480</v>
      </c>
      <c r="B32" s="294"/>
      <c r="C32" s="203">
        <f>'SA1'!C123</f>
        <v>63540716.850000001</v>
      </c>
      <c r="D32" s="207">
        <f>'SA1'!D123</f>
        <v>85595797</v>
      </c>
      <c r="E32" s="204">
        <f>'SA1'!E123</f>
        <v>114141838</v>
      </c>
      <c r="F32" s="205">
        <f>'SA1'!F123</f>
        <v>186427955</v>
      </c>
      <c r="G32" s="203">
        <f>'SA1'!G123</f>
        <v>209643265</v>
      </c>
      <c r="H32" s="204">
        <f>'SA1'!H123</f>
        <v>209643265</v>
      </c>
      <c r="I32" s="202">
        <f>'SA1'!I123</f>
        <v>209643265</v>
      </c>
      <c r="J32" s="206">
        <f>'SA1'!J123</f>
        <v>224224979</v>
      </c>
      <c r="K32" s="203">
        <f>'SA1'!K123</f>
        <v>229230746</v>
      </c>
      <c r="L32" s="204">
        <f>'SA1'!L123</f>
        <v>241676588</v>
      </c>
      <c r="M32" s="195"/>
      <c r="N32" s="196"/>
      <c r="O32" s="196"/>
      <c r="P32" s="196"/>
      <c r="Q32" s="196"/>
      <c r="R32" s="196"/>
      <c r="S32" s="196"/>
      <c r="T32" s="196"/>
      <c r="U32" s="196"/>
      <c r="V32" s="196"/>
      <c r="W32" s="196"/>
      <c r="X32" s="196"/>
    </row>
    <row r="33" spans="1:24" ht="11.25" customHeight="1">
      <c r="A33" s="254" t="s">
        <v>789</v>
      </c>
      <c r="B33" s="294"/>
      <c r="C33" s="1064">
        <f>'SA1'!C89</f>
        <v>0</v>
      </c>
      <c r="D33" s="1064">
        <f>'SA1'!D89</f>
        <v>0</v>
      </c>
      <c r="E33" s="1065">
        <f>'SA1'!E89</f>
        <v>0</v>
      </c>
      <c r="F33" s="1066">
        <f>'SA1'!F89</f>
        <v>289388</v>
      </c>
      <c r="G33" s="1064">
        <f>'SA1'!G89</f>
        <v>289388</v>
      </c>
      <c r="H33" s="1065">
        <f>'SA1'!H89</f>
        <v>289388</v>
      </c>
      <c r="I33" s="1067">
        <f>'SA1'!I89</f>
        <v>289388</v>
      </c>
      <c r="J33" s="1068">
        <f>'SA1'!J89</f>
        <v>476400</v>
      </c>
      <c r="K33" s="1064">
        <f>'SA1'!K89</f>
        <v>485000</v>
      </c>
      <c r="L33" s="1065">
        <f>'SA1'!L89</f>
        <v>487800</v>
      </c>
      <c r="M33" s="195"/>
      <c r="N33" s="196"/>
      <c r="O33" s="196"/>
      <c r="P33" s="196"/>
      <c r="Q33" s="196"/>
      <c r="R33" s="196"/>
      <c r="S33" s="196"/>
      <c r="T33" s="196"/>
      <c r="U33" s="196"/>
      <c r="V33" s="196"/>
      <c r="W33" s="196"/>
      <c r="X33" s="196"/>
    </row>
    <row r="34" spans="1:24" ht="11.25" customHeight="1">
      <c r="A34" s="254" t="s">
        <v>958</v>
      </c>
      <c r="B34" s="294" t="s">
        <v>653</v>
      </c>
      <c r="C34" s="203">
        <f>'SA1'!C153</f>
        <v>338077038</v>
      </c>
      <c r="D34" s="207">
        <f>'SA1'!D153</f>
        <v>199115751</v>
      </c>
      <c r="E34" s="204">
        <f>'SA1'!E153</f>
        <v>194196282</v>
      </c>
      <c r="F34" s="205">
        <f>'SA1'!F153</f>
        <v>282070897</v>
      </c>
      <c r="G34" s="203">
        <f>'SA1'!G153</f>
        <v>357460876</v>
      </c>
      <c r="H34" s="204">
        <f>'SA1'!H153</f>
        <v>357460876</v>
      </c>
      <c r="I34" s="202">
        <f>'SA1'!I153</f>
        <v>357460876</v>
      </c>
      <c r="J34" s="206">
        <f>'SA1'!J153</f>
        <v>298605403</v>
      </c>
      <c r="K34" s="203">
        <f>'SA1'!K153</f>
        <v>261212651</v>
      </c>
      <c r="L34" s="204">
        <f>'SA1'!L153</f>
        <v>277671689</v>
      </c>
      <c r="M34" s="195"/>
      <c r="N34" s="196"/>
      <c r="O34" s="196"/>
      <c r="P34" s="196"/>
      <c r="Q34" s="196"/>
      <c r="R34" s="196"/>
      <c r="S34" s="196"/>
      <c r="T34" s="196"/>
      <c r="U34" s="196"/>
      <c r="V34" s="196"/>
      <c r="W34" s="196"/>
      <c r="X34" s="196"/>
    </row>
    <row r="35" spans="1:24" ht="11.25" customHeight="1">
      <c r="A35" s="250" t="s">
        <v>405</v>
      </c>
      <c r="B35" s="293"/>
      <c r="C35" s="1638">
        <v>0</v>
      </c>
      <c r="D35" s="1638">
        <v>30121</v>
      </c>
      <c r="E35" s="1635">
        <v>2986521</v>
      </c>
      <c r="F35" s="1640">
        <v>0</v>
      </c>
      <c r="G35" s="1638">
        <v>0</v>
      </c>
      <c r="H35" s="1635">
        <v>0</v>
      </c>
      <c r="I35" s="1637">
        <v>0</v>
      </c>
      <c r="J35" s="1642">
        <v>0</v>
      </c>
      <c r="K35" s="1638">
        <v>0</v>
      </c>
      <c r="L35" s="1639">
        <v>0</v>
      </c>
      <c r="M35" s="195"/>
      <c r="N35" s="196"/>
      <c r="O35" s="196"/>
      <c r="P35" s="196"/>
      <c r="Q35" s="196"/>
      <c r="R35" s="196"/>
      <c r="S35" s="196"/>
      <c r="T35" s="196"/>
      <c r="U35" s="196"/>
      <c r="V35" s="196"/>
      <c r="W35" s="196"/>
      <c r="X35" s="196"/>
    </row>
    <row r="36" spans="1:24" ht="11.25" customHeight="1">
      <c r="A36" s="1385" t="s">
        <v>1651</v>
      </c>
      <c r="B36" s="1380"/>
      <c r="C36" s="1381">
        <f t="shared" ref="C36:L36" si="1">SUM(C25:C35)</f>
        <v>1785502017.5</v>
      </c>
      <c r="D36" s="1381">
        <f>SUM(D25:D35)</f>
        <v>2230933761</v>
      </c>
      <c r="E36" s="1382">
        <f t="shared" si="1"/>
        <v>2199070370</v>
      </c>
      <c r="F36" s="1383">
        <f t="shared" si="1"/>
        <v>2707791030.244</v>
      </c>
      <c r="G36" s="1381">
        <f t="shared" si="1"/>
        <v>2717214127</v>
      </c>
      <c r="H36" s="1382">
        <f t="shared" si="1"/>
        <v>2717214127</v>
      </c>
      <c r="I36" s="1383">
        <f t="shared" si="1"/>
        <v>2717214127</v>
      </c>
      <c r="J36" s="1384">
        <f t="shared" si="1"/>
        <v>2710794199</v>
      </c>
      <c r="K36" s="1381">
        <f t="shared" si="1"/>
        <v>2798548647</v>
      </c>
      <c r="L36" s="1382">
        <f t="shared" si="1"/>
        <v>2980640678</v>
      </c>
      <c r="M36" s="199">
        <f t="shared" ref="M36:X36" si="2">SUM(M25:M35)</f>
        <v>0</v>
      </c>
      <c r="N36" s="200">
        <f t="shared" si="2"/>
        <v>0</v>
      </c>
      <c r="O36" s="200">
        <f t="shared" si="2"/>
        <v>0</v>
      </c>
      <c r="P36" s="200">
        <f t="shared" si="2"/>
        <v>0</v>
      </c>
      <c r="Q36" s="200">
        <f t="shared" si="2"/>
        <v>0</v>
      </c>
      <c r="R36" s="200">
        <f t="shared" si="2"/>
        <v>0</v>
      </c>
      <c r="S36" s="200">
        <f t="shared" si="2"/>
        <v>0</v>
      </c>
      <c r="T36" s="200">
        <f t="shared" si="2"/>
        <v>0</v>
      </c>
      <c r="U36" s="200">
        <f t="shared" si="2"/>
        <v>0</v>
      </c>
      <c r="V36" s="200">
        <f t="shared" si="2"/>
        <v>0</v>
      </c>
      <c r="W36" s="200">
        <f t="shared" si="2"/>
        <v>0</v>
      </c>
      <c r="X36" s="200">
        <f t="shared" si="2"/>
        <v>0</v>
      </c>
    </row>
    <row r="37" spans="1:24" ht="5" customHeight="1">
      <c r="A37" s="273"/>
      <c r="B37" s="293"/>
      <c r="C37" s="213"/>
      <c r="D37" s="213"/>
      <c r="E37" s="214"/>
      <c r="F37" s="215"/>
      <c r="G37" s="213"/>
      <c r="H37" s="214"/>
      <c r="I37" s="215"/>
      <c r="J37" s="216"/>
      <c r="K37" s="213"/>
      <c r="L37" s="214"/>
      <c r="M37" s="222"/>
      <c r="N37" s="223"/>
      <c r="O37" s="223"/>
      <c r="P37" s="223"/>
      <c r="Q37" s="223"/>
      <c r="R37" s="223"/>
      <c r="S37" s="223"/>
      <c r="T37" s="223"/>
      <c r="U37" s="223"/>
      <c r="V37" s="223"/>
      <c r="W37" s="223"/>
      <c r="X37" s="223"/>
    </row>
    <row r="38" spans="1:24" ht="12" customHeight="1">
      <c r="A38" s="265" t="s">
        <v>1721</v>
      </c>
      <c r="B38" s="293"/>
      <c r="C38" s="218">
        <f t="shared" ref="C38:L38" si="3">C22-C36</f>
        <v>183504768.03999972</v>
      </c>
      <c r="D38" s="218">
        <f t="shared" si="3"/>
        <v>-12575328</v>
      </c>
      <c r="E38" s="219">
        <f t="shared" si="3"/>
        <v>-23959423</v>
      </c>
      <c r="F38" s="220">
        <f t="shared" si="3"/>
        <v>101275786.75600004</v>
      </c>
      <c r="G38" s="218">
        <f t="shared" si="3"/>
        <v>38188326</v>
      </c>
      <c r="H38" s="219">
        <f t="shared" si="3"/>
        <v>38188326</v>
      </c>
      <c r="I38" s="220">
        <f t="shared" si="3"/>
        <v>38188326</v>
      </c>
      <c r="J38" s="221">
        <f t="shared" si="3"/>
        <v>18481336</v>
      </c>
      <c r="K38" s="218">
        <f t="shared" si="3"/>
        <v>35673305</v>
      </c>
      <c r="L38" s="219">
        <f t="shared" si="3"/>
        <v>91466659</v>
      </c>
      <c r="M38" s="222">
        <f t="shared" ref="M38:X38" si="4">M22+M36</f>
        <v>0</v>
      </c>
      <c r="N38" s="223">
        <f t="shared" si="4"/>
        <v>0</v>
      </c>
      <c r="O38" s="223">
        <f t="shared" si="4"/>
        <v>0</v>
      </c>
      <c r="P38" s="223">
        <f t="shared" si="4"/>
        <v>0</v>
      </c>
      <c r="Q38" s="223">
        <f t="shared" si="4"/>
        <v>0</v>
      </c>
      <c r="R38" s="223">
        <f t="shared" si="4"/>
        <v>0</v>
      </c>
      <c r="S38" s="223">
        <f t="shared" si="4"/>
        <v>0</v>
      </c>
      <c r="T38" s="223">
        <f t="shared" si="4"/>
        <v>0</v>
      </c>
      <c r="U38" s="223">
        <f t="shared" si="4"/>
        <v>0</v>
      </c>
      <c r="V38" s="223">
        <f t="shared" si="4"/>
        <v>0</v>
      </c>
      <c r="W38" s="223">
        <f t="shared" si="4"/>
        <v>0</v>
      </c>
      <c r="X38" s="223">
        <f t="shared" si="4"/>
        <v>0</v>
      </c>
    </row>
    <row r="39" spans="1:24" ht="11.25" customHeight="1">
      <c r="A39" s="250" t="s">
        <v>1348</v>
      </c>
      <c r="B39" s="293"/>
      <c r="C39" s="1615"/>
      <c r="D39" s="1615"/>
      <c r="E39" s="1635"/>
      <c r="F39" s="1636"/>
      <c r="G39" s="1615"/>
      <c r="H39" s="1635"/>
      <c r="I39" s="1637"/>
      <c r="J39" s="1617"/>
      <c r="K39" s="1615"/>
      <c r="L39" s="1635"/>
      <c r="M39" s="195"/>
      <c r="N39" s="196"/>
      <c r="O39" s="196"/>
      <c r="P39" s="196"/>
      <c r="Q39" s="196"/>
      <c r="R39" s="196"/>
      <c r="S39" s="196"/>
      <c r="T39" s="196"/>
      <c r="U39" s="196"/>
      <c r="V39" s="196"/>
      <c r="W39" s="196"/>
      <c r="X39" s="196"/>
    </row>
    <row r="40" spans="1:24" ht="11.25" customHeight="1">
      <c r="A40" s="250" t="s">
        <v>819</v>
      </c>
      <c r="B40" s="293">
        <v>6</v>
      </c>
      <c r="C40" s="203">
        <f>'SA1'!C72</f>
        <v>-183504768.03999999</v>
      </c>
      <c r="D40" s="207">
        <f>'SA1'!D72</f>
        <v>12575328</v>
      </c>
      <c r="E40" s="204">
        <f>'SA1'!E72</f>
        <v>23959423</v>
      </c>
      <c r="F40" s="205">
        <f>'SA1'!F72</f>
        <v>-101275786.756</v>
      </c>
      <c r="G40" s="203">
        <f>'SA1'!G72</f>
        <v>-38188326</v>
      </c>
      <c r="H40" s="204">
        <f>'SA1'!H72</f>
        <v>-38188326</v>
      </c>
      <c r="I40" s="202">
        <f>'SA1'!I72</f>
        <v>-38188326</v>
      </c>
      <c r="J40" s="206">
        <f>'SA1'!J72</f>
        <v>-18481336</v>
      </c>
      <c r="K40" s="203">
        <f>'SA1'!K72</f>
        <v>-35673305</v>
      </c>
      <c r="L40" s="204">
        <f>'SA1'!L72</f>
        <v>-91466659</v>
      </c>
      <c r="M40" s="195"/>
      <c r="N40" s="196"/>
      <c r="O40" s="196"/>
      <c r="P40" s="196"/>
      <c r="Q40" s="196"/>
      <c r="R40" s="196"/>
      <c r="S40" s="196"/>
      <c r="T40" s="196"/>
      <c r="U40" s="196"/>
      <c r="V40" s="196"/>
      <c r="W40" s="196"/>
      <c r="X40" s="196"/>
    </row>
    <row r="41" spans="1:24" ht="11.25" customHeight="1">
      <c r="A41" s="250" t="s">
        <v>39</v>
      </c>
      <c r="B41" s="293"/>
      <c r="C41" s="1638">
        <v>0</v>
      </c>
      <c r="D41" s="1615"/>
      <c r="E41" s="1635"/>
      <c r="F41" s="1643"/>
      <c r="G41" s="1644"/>
      <c r="H41" s="1645"/>
      <c r="I41" s="1637"/>
      <c r="J41" s="1646"/>
      <c r="K41" s="1644"/>
      <c r="L41" s="1645"/>
      <c r="M41" s="195"/>
      <c r="N41" s="196"/>
      <c r="O41" s="196"/>
      <c r="P41" s="196"/>
      <c r="Q41" s="196"/>
      <c r="R41" s="196"/>
      <c r="S41" s="196"/>
      <c r="T41" s="196"/>
      <c r="U41" s="196"/>
      <c r="V41" s="196"/>
      <c r="W41" s="196"/>
      <c r="X41" s="196"/>
    </row>
    <row r="42" spans="1:24">
      <c r="A42" s="297" t="s">
        <v>437</v>
      </c>
      <c r="B42" s="293"/>
      <c r="C42" s="298">
        <f t="shared" ref="C42:L42" si="5">SUM(C38:C41)</f>
        <v>-2.6822090148925781E-7</v>
      </c>
      <c r="D42" s="298">
        <f t="shared" si="5"/>
        <v>0</v>
      </c>
      <c r="E42" s="300">
        <f t="shared" si="5"/>
        <v>0</v>
      </c>
      <c r="F42" s="301">
        <f t="shared" si="5"/>
        <v>0</v>
      </c>
      <c r="G42" s="298">
        <f t="shared" si="5"/>
        <v>0</v>
      </c>
      <c r="H42" s="300">
        <f t="shared" si="5"/>
        <v>0</v>
      </c>
      <c r="I42" s="301">
        <f t="shared" si="5"/>
        <v>0</v>
      </c>
      <c r="J42" s="302">
        <f t="shared" si="5"/>
        <v>0</v>
      </c>
      <c r="K42" s="298">
        <f t="shared" si="5"/>
        <v>0</v>
      </c>
      <c r="L42" s="300">
        <f t="shared" si="5"/>
        <v>0</v>
      </c>
      <c r="M42" s="195"/>
      <c r="N42" s="196"/>
      <c r="O42" s="196"/>
      <c r="P42" s="196"/>
      <c r="Q42" s="196"/>
      <c r="R42" s="196"/>
      <c r="S42" s="196"/>
      <c r="T42" s="196"/>
      <c r="U42" s="196"/>
      <c r="V42" s="196"/>
      <c r="W42" s="196"/>
      <c r="X42" s="196"/>
    </row>
    <row r="43" spans="1:24" ht="11.25" customHeight="1">
      <c r="A43" s="250" t="s">
        <v>1050</v>
      </c>
      <c r="B43" s="293"/>
      <c r="C43" s="1638"/>
      <c r="D43" s="1638"/>
      <c r="E43" s="1639"/>
      <c r="F43" s="1640"/>
      <c r="G43" s="1638"/>
      <c r="H43" s="1639"/>
      <c r="I43" s="1640"/>
      <c r="J43" s="1642"/>
      <c r="K43" s="1638"/>
      <c r="L43" s="1639"/>
      <c r="M43" s="195"/>
      <c r="N43" s="196"/>
      <c r="O43" s="196"/>
      <c r="P43" s="196"/>
      <c r="Q43" s="196"/>
      <c r="R43" s="196"/>
      <c r="S43" s="196"/>
      <c r="T43" s="196"/>
      <c r="U43" s="196"/>
      <c r="V43" s="196"/>
      <c r="W43" s="196"/>
      <c r="X43" s="196"/>
    </row>
    <row r="44" spans="1:24" ht="11.25" customHeight="1">
      <c r="A44" s="303" t="s">
        <v>1051</v>
      </c>
      <c r="B44" s="293"/>
      <c r="C44" s="213">
        <f t="shared" ref="C44:L44" si="6">C42-C43</f>
        <v>-2.6822090148925781E-7</v>
      </c>
      <c r="D44" s="213">
        <f t="shared" si="6"/>
        <v>0</v>
      </c>
      <c r="E44" s="214">
        <f t="shared" si="6"/>
        <v>0</v>
      </c>
      <c r="F44" s="215">
        <f t="shared" si="6"/>
        <v>0</v>
      </c>
      <c r="G44" s="213">
        <f t="shared" si="6"/>
        <v>0</v>
      </c>
      <c r="H44" s="214">
        <f t="shared" si="6"/>
        <v>0</v>
      </c>
      <c r="I44" s="215">
        <f t="shared" si="6"/>
        <v>0</v>
      </c>
      <c r="J44" s="216">
        <f t="shared" si="6"/>
        <v>0</v>
      </c>
      <c r="K44" s="213">
        <f t="shared" si="6"/>
        <v>0</v>
      </c>
      <c r="L44" s="214">
        <f t="shared" si="6"/>
        <v>0</v>
      </c>
      <c r="M44" s="195"/>
      <c r="N44" s="196"/>
      <c r="O44" s="196"/>
      <c r="P44" s="196"/>
      <c r="Q44" s="196"/>
      <c r="R44" s="196"/>
      <c r="S44" s="196"/>
      <c r="T44" s="196"/>
      <c r="U44" s="196"/>
      <c r="V44" s="196"/>
      <c r="W44" s="196"/>
      <c r="X44" s="196"/>
    </row>
    <row r="45" spans="1:24" ht="11.25" customHeight="1">
      <c r="A45" s="250" t="s">
        <v>1117</v>
      </c>
      <c r="B45" s="293"/>
      <c r="C45" s="1638"/>
      <c r="D45" s="1638"/>
      <c r="E45" s="1639"/>
      <c r="F45" s="1640"/>
      <c r="G45" s="1638"/>
      <c r="H45" s="1639"/>
      <c r="I45" s="1640"/>
      <c r="J45" s="1642"/>
      <c r="K45" s="1638"/>
      <c r="L45" s="1639"/>
      <c r="M45" s="195"/>
      <c r="N45" s="196"/>
      <c r="O45" s="196"/>
      <c r="P45" s="196"/>
      <c r="Q45" s="196"/>
      <c r="R45" s="196"/>
      <c r="S45" s="196"/>
      <c r="T45" s="196"/>
      <c r="U45" s="196"/>
      <c r="V45" s="196"/>
      <c r="W45" s="196"/>
      <c r="X45" s="196"/>
    </row>
    <row r="46" spans="1:24">
      <c r="A46" s="303" t="s">
        <v>191</v>
      </c>
      <c r="B46" s="293"/>
      <c r="C46" s="298">
        <f t="shared" ref="C46:L46" si="7">SUM(C44:C45)</f>
        <v>-2.6822090148925781E-7</v>
      </c>
      <c r="D46" s="298">
        <f t="shared" si="7"/>
        <v>0</v>
      </c>
      <c r="E46" s="300">
        <f t="shared" si="7"/>
        <v>0</v>
      </c>
      <c r="F46" s="301">
        <f t="shared" si="7"/>
        <v>0</v>
      </c>
      <c r="G46" s="298">
        <f t="shared" si="7"/>
        <v>0</v>
      </c>
      <c r="H46" s="300">
        <f t="shared" si="7"/>
        <v>0</v>
      </c>
      <c r="I46" s="301">
        <f t="shared" si="7"/>
        <v>0</v>
      </c>
      <c r="J46" s="302">
        <f t="shared" si="7"/>
        <v>0</v>
      </c>
      <c r="K46" s="298">
        <f t="shared" si="7"/>
        <v>0</v>
      </c>
      <c r="L46" s="300">
        <f t="shared" si="7"/>
        <v>0</v>
      </c>
      <c r="M46" s="195"/>
      <c r="N46" s="196"/>
      <c r="O46" s="196"/>
      <c r="P46" s="196"/>
      <c r="Q46" s="196"/>
      <c r="R46" s="196"/>
      <c r="S46" s="196"/>
      <c r="T46" s="196"/>
      <c r="U46" s="196"/>
      <c r="V46" s="196"/>
      <c r="W46" s="196"/>
      <c r="X46" s="196"/>
    </row>
    <row r="47" spans="1:24">
      <c r="A47" s="304" t="s">
        <v>460</v>
      </c>
      <c r="B47" s="293">
        <v>7</v>
      </c>
      <c r="C47" s="1638"/>
      <c r="D47" s="1638"/>
      <c r="E47" s="1639"/>
      <c r="F47" s="1636"/>
      <c r="G47" s="1615"/>
      <c r="H47" s="1635"/>
      <c r="I47" s="1636"/>
      <c r="J47" s="1617"/>
      <c r="K47" s="1615"/>
      <c r="L47" s="1635"/>
      <c r="M47" s="195"/>
      <c r="N47" s="196"/>
      <c r="O47" s="196"/>
      <c r="P47" s="196"/>
      <c r="Q47" s="196"/>
      <c r="R47" s="196"/>
      <c r="S47" s="196"/>
      <c r="T47" s="196"/>
      <c r="U47" s="196"/>
      <c r="V47" s="196"/>
      <c r="W47" s="196"/>
      <c r="X47" s="196"/>
    </row>
    <row r="48" spans="1:24" ht="11" thickBot="1">
      <c r="A48" s="305" t="str">
        <f>result</f>
        <v>Surplus/(Deficit) for the year</v>
      </c>
      <c r="B48" s="306"/>
      <c r="C48" s="227">
        <f t="shared" ref="C48:L48" si="8">SUM(C46:C47)</f>
        <v>-2.6822090148925781E-7</v>
      </c>
      <c r="D48" s="230">
        <f t="shared" si="8"/>
        <v>0</v>
      </c>
      <c r="E48" s="352">
        <f t="shared" si="8"/>
        <v>0</v>
      </c>
      <c r="F48" s="353">
        <f t="shared" si="8"/>
        <v>0</v>
      </c>
      <c r="G48" s="230">
        <f t="shared" si="8"/>
        <v>0</v>
      </c>
      <c r="H48" s="228">
        <f t="shared" si="8"/>
        <v>0</v>
      </c>
      <c r="I48" s="229">
        <f t="shared" si="8"/>
        <v>0</v>
      </c>
      <c r="J48" s="232">
        <f t="shared" si="8"/>
        <v>0</v>
      </c>
      <c r="K48" s="230">
        <f t="shared" si="8"/>
        <v>0</v>
      </c>
      <c r="L48" s="228">
        <f t="shared" si="8"/>
        <v>0</v>
      </c>
      <c r="M48" s="233">
        <f t="shared" ref="M48:X48" si="9">M26+M47</f>
        <v>0</v>
      </c>
      <c r="N48" s="234">
        <f t="shared" si="9"/>
        <v>0</v>
      </c>
      <c r="O48" s="234">
        <f t="shared" si="9"/>
        <v>0</v>
      </c>
      <c r="P48" s="234">
        <f t="shared" si="9"/>
        <v>0</v>
      </c>
      <c r="Q48" s="234">
        <f t="shared" si="9"/>
        <v>0</v>
      </c>
      <c r="R48" s="234">
        <f t="shared" si="9"/>
        <v>0</v>
      </c>
      <c r="S48" s="234">
        <f t="shared" si="9"/>
        <v>0</v>
      </c>
      <c r="T48" s="234">
        <f t="shared" si="9"/>
        <v>0</v>
      </c>
      <c r="U48" s="234">
        <f t="shared" si="9"/>
        <v>0</v>
      </c>
      <c r="V48" s="234">
        <f t="shared" si="9"/>
        <v>0</v>
      </c>
      <c r="W48" s="234">
        <f t="shared" si="9"/>
        <v>0</v>
      </c>
      <c r="X48" s="234">
        <f t="shared" si="9"/>
        <v>0</v>
      </c>
    </row>
    <row r="49" spans="1:24" ht="11" thickTop="1">
      <c r="A49" s="1262" t="str">
        <f>head27a</f>
        <v>References</v>
      </c>
      <c r="B49" s="1234"/>
      <c r="C49" s="1238"/>
      <c r="D49" s="1238"/>
      <c r="E49" s="1238"/>
      <c r="F49" s="1238"/>
      <c r="G49" s="1238"/>
      <c r="H49" s="1238"/>
      <c r="I49" s="1238"/>
      <c r="J49" s="1238"/>
      <c r="K49" s="1238"/>
      <c r="L49" s="1238"/>
      <c r="M49" s="241"/>
      <c r="N49" s="241"/>
      <c r="O49" s="241"/>
      <c r="P49" s="241"/>
      <c r="Q49" s="241"/>
      <c r="R49" s="241"/>
      <c r="S49" s="241"/>
      <c r="T49" s="241"/>
      <c r="U49" s="241"/>
      <c r="V49" s="241"/>
      <c r="W49" s="241"/>
      <c r="X49" s="241"/>
    </row>
    <row r="50" spans="1:24" ht="11.25" customHeight="1">
      <c r="A50" s="287" t="s">
        <v>192</v>
      </c>
      <c r="B50" s="1234"/>
      <c r="C50" s="1237"/>
      <c r="D50" s="1237"/>
      <c r="E50" s="1238"/>
      <c r="F50" s="1238"/>
      <c r="G50" s="1238"/>
      <c r="H50" s="1238"/>
      <c r="I50" s="1238"/>
      <c r="J50" s="1238"/>
      <c r="K50" s="1238"/>
      <c r="L50" s="1238"/>
    </row>
    <row r="51" spans="1:24" ht="11.25" customHeight="1">
      <c r="A51" s="1263" t="s">
        <v>790</v>
      </c>
      <c r="B51" s="1234"/>
      <c r="C51" s="1238"/>
      <c r="D51" s="1237"/>
      <c r="E51" s="1238"/>
      <c r="F51" s="1238"/>
      <c r="G51" s="1238"/>
      <c r="H51" s="1238"/>
      <c r="I51" s="1238"/>
      <c r="J51" s="1238"/>
      <c r="K51" s="1238"/>
      <c r="L51" s="1238"/>
    </row>
    <row r="52" spans="1:24" ht="11.25" customHeight="1">
      <c r="A52" s="1263" t="s">
        <v>581</v>
      </c>
      <c r="B52" s="1234"/>
      <c r="C52" s="1238"/>
      <c r="D52" s="1237"/>
      <c r="E52" s="1238"/>
      <c r="F52" s="1238"/>
      <c r="G52" s="1238"/>
      <c r="H52" s="1238"/>
      <c r="I52" s="1238"/>
      <c r="J52" s="1238"/>
      <c r="K52" s="1238"/>
      <c r="L52" s="1238"/>
    </row>
    <row r="53" spans="1:24" ht="11.25" customHeight="1">
      <c r="A53" s="1263" t="s">
        <v>582</v>
      </c>
      <c r="B53" s="1234"/>
      <c r="C53" s="1238"/>
      <c r="D53" s="1237"/>
      <c r="E53" s="1238"/>
      <c r="F53" s="1238"/>
      <c r="G53" s="1238"/>
      <c r="H53" s="1238"/>
      <c r="I53" s="1238"/>
      <c r="J53" s="1238"/>
      <c r="K53" s="1238"/>
      <c r="L53" s="1238"/>
    </row>
    <row r="54" spans="1:24" ht="11.25" customHeight="1">
      <c r="A54" s="1263" t="s">
        <v>1260</v>
      </c>
      <c r="B54" s="1234"/>
      <c r="C54" s="1238"/>
      <c r="D54" s="1237"/>
      <c r="E54" s="1238"/>
      <c r="F54" s="1238"/>
      <c r="G54" s="1238"/>
      <c r="H54" s="1238"/>
      <c r="I54" s="1238"/>
      <c r="J54" s="1238"/>
      <c r="K54" s="1238"/>
      <c r="L54" s="1238"/>
    </row>
    <row r="55" spans="1:24" ht="11.25" customHeight="1">
      <c r="A55" s="1263" t="s">
        <v>193</v>
      </c>
      <c r="B55" s="1234"/>
      <c r="C55" s="1238"/>
      <c r="D55" s="1237"/>
      <c r="E55" s="1238"/>
      <c r="F55" s="1238"/>
      <c r="G55" s="1238"/>
      <c r="H55" s="1238"/>
      <c r="I55" s="1238"/>
      <c r="J55" s="1238"/>
      <c r="K55" s="1238"/>
      <c r="L55" s="1238"/>
    </row>
    <row r="56" spans="1:24" ht="11.25" customHeight="1">
      <c r="A56" s="1263" t="s">
        <v>1209</v>
      </c>
      <c r="B56" s="1234"/>
      <c r="C56" s="1238"/>
      <c r="D56" s="1237"/>
      <c r="E56" s="1238"/>
      <c r="F56" s="1238"/>
      <c r="G56" s="1238"/>
      <c r="H56" s="1238"/>
      <c r="I56" s="1238"/>
      <c r="J56" s="1238"/>
      <c r="K56" s="1238"/>
      <c r="L56" s="1238"/>
    </row>
    <row r="57" spans="1:24" ht="11.25" customHeight="1">
      <c r="A57" s="1263" t="s">
        <v>908</v>
      </c>
      <c r="B57" s="1234"/>
      <c r="C57" s="1238"/>
      <c r="D57" s="1237"/>
      <c r="E57" s="1238"/>
      <c r="F57" s="1238"/>
      <c r="G57" s="1238"/>
      <c r="H57" s="1238"/>
      <c r="I57" s="1238"/>
      <c r="J57" s="1238"/>
      <c r="K57" s="1238"/>
      <c r="L57" s="1238"/>
    </row>
    <row r="58" spans="1:24" ht="11.25" customHeight="1">
      <c r="A58" s="1264" t="s">
        <v>296</v>
      </c>
      <c r="B58" s="1194"/>
      <c r="C58" s="1241">
        <f>C46-'A3-FinPerf V'!C39</f>
        <v>-183256906.33000019</v>
      </c>
      <c r="D58" s="1241">
        <f>D46-'A3-FinPerf V'!D39</f>
        <v>12918320</v>
      </c>
      <c r="E58" s="1241">
        <f>E46-'A3-FinPerf V'!E39</f>
        <v>24546647</v>
      </c>
      <c r="F58" s="1241">
        <f>F46-'A3-FinPerf V'!F39</f>
        <v>-101275787.04400015</v>
      </c>
      <c r="G58" s="1241">
        <f>G46-'A3-FinPerf V'!G39</f>
        <v>-38188328</v>
      </c>
      <c r="H58" s="1241">
        <f>H46-'A3-FinPerf V'!H39</f>
        <v>-38188328</v>
      </c>
      <c r="I58" s="1241"/>
      <c r="J58" s="1241">
        <f>J46-'A3-FinPerf V'!I39</f>
        <v>-18481336</v>
      </c>
      <c r="K58" s="1241">
        <f>K46-'A3-FinPerf V'!J39</f>
        <v>-35673304</v>
      </c>
      <c r="L58" s="1241">
        <f>L46-'A3-FinPerf V'!K39</f>
        <v>-91466155.5</v>
      </c>
    </row>
    <row r="59" spans="1:24" ht="11.25" customHeight="1">
      <c r="A59" s="1240"/>
      <c r="B59" s="1194"/>
      <c r="C59" s="1241"/>
      <c r="D59" s="1241"/>
      <c r="E59" s="1241"/>
      <c r="F59" s="1241"/>
      <c r="G59" s="1241"/>
      <c r="H59" s="1241"/>
      <c r="I59" s="1241"/>
      <c r="J59" s="1241"/>
      <c r="K59" s="1241"/>
      <c r="L59" s="1241"/>
    </row>
    <row r="60" spans="1:24" ht="11.25" customHeight="1">
      <c r="A60" s="1240" t="s">
        <v>8</v>
      </c>
      <c r="B60" s="1265"/>
      <c r="C60" s="1266">
        <f t="shared" ref="C60:L60" si="10">C22+SUM(C39:C41)</f>
        <v>1785502017.4999998</v>
      </c>
      <c r="D60" s="1266">
        <f t="shared" si="10"/>
        <v>2230933761</v>
      </c>
      <c r="E60" s="1266">
        <f t="shared" si="10"/>
        <v>2199070370</v>
      </c>
      <c r="F60" s="1266">
        <f t="shared" si="10"/>
        <v>2707791030.244</v>
      </c>
      <c r="G60" s="1266">
        <f t="shared" si="10"/>
        <v>2717214127</v>
      </c>
      <c r="H60" s="1266">
        <f t="shared" si="10"/>
        <v>2717214127</v>
      </c>
      <c r="I60" s="1266">
        <f t="shared" si="10"/>
        <v>2717214127</v>
      </c>
      <c r="J60" s="1266">
        <f t="shared" si="10"/>
        <v>2710794199</v>
      </c>
      <c r="K60" s="1266">
        <f t="shared" si="10"/>
        <v>2798548647</v>
      </c>
      <c r="L60" s="1266">
        <f t="shared" si="10"/>
        <v>2980640678</v>
      </c>
      <c r="M60" s="310"/>
    </row>
    <row r="61" spans="1:24" ht="11.25" customHeight="1">
      <c r="A61" s="246"/>
      <c r="B61" s="246"/>
      <c r="C61" s="241"/>
      <c r="D61" s="241"/>
      <c r="E61" s="246"/>
      <c r="F61" s="246"/>
      <c r="G61" s="241"/>
      <c r="M61" s="310"/>
    </row>
    <row r="62" spans="1:24" ht="11.25" customHeight="1">
      <c r="A62" s="246"/>
      <c r="B62" s="246"/>
      <c r="C62" s="241"/>
      <c r="D62" s="241"/>
      <c r="E62" s="246"/>
      <c r="F62" s="246"/>
      <c r="G62" s="241"/>
    </row>
    <row r="63" spans="1:24" ht="11.25" customHeight="1">
      <c r="A63" s="246"/>
      <c r="B63" s="246"/>
      <c r="C63" s="241"/>
      <c r="D63" s="241"/>
      <c r="E63" s="246"/>
      <c r="F63" s="246"/>
      <c r="G63" s="241"/>
    </row>
    <row r="64" spans="1:24" ht="11.25" customHeight="1">
      <c r="A64" s="246"/>
      <c r="B64" s="246"/>
      <c r="C64" s="246"/>
      <c r="D64" s="309"/>
      <c r="E64" s="246"/>
      <c r="F64" s="246"/>
      <c r="G64" s="246"/>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ht="11.25" customHeight="1">
      <c r="B78" s="149"/>
    </row>
    <row r="79" spans="2:2" ht="11.25" customHeight="1">
      <c r="B79" s="149"/>
    </row>
    <row r="80" spans="2:2" ht="11.25" customHeight="1">
      <c r="B80" s="149"/>
    </row>
    <row r="81" spans="2:2" ht="11.25" customHeight="1">
      <c r="B81" s="149"/>
    </row>
    <row r="82" spans="2:2" ht="11.25" customHeight="1">
      <c r="B82" s="149"/>
    </row>
    <row r="83" spans="2:2" ht="11.25" customHeight="1">
      <c r="B83" s="149"/>
    </row>
    <row r="84" spans="2:2" ht="11.25" customHeight="1"/>
    <row r="85" spans="2:2" ht="11.25" customHeight="1"/>
    <row r="86" spans="2:2" ht="11.25" customHeight="1"/>
    <row r="87" spans="2:2" ht="11.25" customHeight="1"/>
    <row r="88" spans="2:2" ht="11.25" customHeight="1"/>
    <row r="89" spans="2:2" ht="11.25" customHeight="1"/>
    <row r="90" spans="2:2" ht="11.25" customHeight="1"/>
    <row r="91" spans="2:2" ht="11.25" customHeight="1"/>
    <row r="92" spans="2:2" ht="11.25" customHeight="1"/>
  </sheetData>
  <sheetProtection password="C646" sheet="1" objects="1" scenarios="1"/>
  <mergeCells count="3">
    <mergeCell ref="M2:X2"/>
    <mergeCell ref="J2:L2"/>
    <mergeCell ref="F2:I2"/>
  </mergeCells>
  <phoneticPr fontId="5" type="noConversion"/>
  <printOptions horizontalCentered="1"/>
  <pageMargins left="0.37" right="0.2" top="0.6" bottom="0.5" header="0.511811023622047" footer="0.39370078740157499"/>
  <headerFooter alignWithMargins="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4"/>
    <pageSetUpPr fitToPage="1"/>
  </sheetPr>
  <dimension ref="A1:R120"/>
  <sheetViews>
    <sheetView showGridLines="0" workbookViewId="0">
      <pane xSplit="2" ySplit="3" topLeftCell="C44" activePane="bottomRight" state="frozen"/>
      <selection pane="topRight"/>
      <selection pane="bottomLeft"/>
      <selection pane="bottomRight" sqref="A1:L3"/>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11.6640625" style="149" bestFit="1"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3" s="179" customFormat="1" ht="12">
      <c r="A1" s="147" t="str">
        <f>muni&amp;" - "&amp;Approve5</f>
        <v>NW373 Rustenburg - Table A5 Consolidated Budgeted Capital Expenditure by vote, standard classification and funding</v>
      </c>
      <c r="B1" s="147"/>
      <c r="C1" s="147"/>
      <c r="D1" s="147"/>
      <c r="E1" s="147"/>
      <c r="F1" s="147"/>
      <c r="G1" s="147"/>
      <c r="H1" s="147"/>
      <c r="I1" s="147"/>
      <c r="J1" s="147"/>
      <c r="K1" s="147"/>
      <c r="L1" s="147"/>
    </row>
    <row r="2" spans="1:13" ht="28.5" customHeight="1">
      <c r="A2" s="975" t="str">
        <f>Vdesc</f>
        <v>Vote 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3" ht="20">
      <c r="A3" s="180" t="s">
        <v>667</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3">
      <c r="A4" s="181" t="s">
        <v>517</v>
      </c>
      <c r="B4" s="291"/>
      <c r="C4" s="311"/>
      <c r="D4" s="311"/>
      <c r="E4" s="312"/>
      <c r="F4" s="313"/>
      <c r="G4" s="311"/>
      <c r="H4" s="314"/>
      <c r="I4" s="312"/>
      <c r="J4" s="313"/>
      <c r="K4" s="311"/>
      <c r="L4" s="314"/>
    </row>
    <row r="5" spans="1:13" ht="11.25" customHeight="1">
      <c r="A5" s="181" t="s">
        <v>1037</v>
      </c>
      <c r="B5" s="293">
        <v>2</v>
      </c>
      <c r="C5" s="315"/>
      <c r="D5" s="315"/>
      <c r="E5" s="316"/>
      <c r="F5" s="317"/>
      <c r="G5" s="315"/>
      <c r="H5" s="318"/>
      <c r="I5" s="316"/>
      <c r="J5" s="317"/>
      <c r="K5" s="315"/>
      <c r="L5" s="318"/>
    </row>
    <row r="6" spans="1:13" ht="11.25" customHeight="1">
      <c r="A6" s="190" t="str">
        <f>A5A!A6</f>
        <v>Vote 1 - EXECUTIVE MAYOR</v>
      </c>
      <c r="B6" s="293"/>
      <c r="C6" s="192">
        <f>A5A!C6</f>
        <v>4661275</v>
      </c>
      <c r="D6" s="192">
        <f>A5A!D6</f>
        <v>19987839</v>
      </c>
      <c r="E6" s="193">
        <f>A5A!E6</f>
        <v>79817</v>
      </c>
      <c r="F6" s="194">
        <f>A5A!F6</f>
        <v>2807857</v>
      </c>
      <c r="G6" s="192">
        <f>A5A!G6</f>
        <v>1137374</v>
      </c>
      <c r="H6" s="193">
        <f>A5A!H6</f>
        <v>1137374</v>
      </c>
      <c r="I6" s="939">
        <f>A5A!I6</f>
        <v>1137374</v>
      </c>
      <c r="J6" s="194">
        <f>A5A!J6</f>
        <v>211000</v>
      </c>
      <c r="K6" s="192">
        <f>A5A!K6</f>
        <v>100000</v>
      </c>
      <c r="L6" s="193">
        <f>A5A!L6</f>
        <v>100000</v>
      </c>
      <c r="M6" s="319"/>
    </row>
    <row r="7" spans="1:13" ht="11.25" customHeight="1">
      <c r="A7" s="190" t="str">
        <f>A5A!A17</f>
        <v>Vote 2 - MUNICIPAL MANAGER</v>
      </c>
      <c r="B7" s="293"/>
      <c r="C7" s="192">
        <f>A5A!C17</f>
        <v>6544555</v>
      </c>
      <c r="D7" s="192">
        <f>A5A!D17</f>
        <v>0</v>
      </c>
      <c r="E7" s="193">
        <f>A5A!E17</f>
        <v>412601</v>
      </c>
      <c r="F7" s="194">
        <f>A5A!F17</f>
        <v>323800</v>
      </c>
      <c r="G7" s="192">
        <f>A5A!G17</f>
        <v>483800</v>
      </c>
      <c r="H7" s="193">
        <f>A5A!H17</f>
        <v>483800</v>
      </c>
      <c r="I7" s="191">
        <f>A5A!I17</f>
        <v>483800</v>
      </c>
      <c r="J7" s="194">
        <f>A5A!J17</f>
        <v>452650</v>
      </c>
      <c r="K7" s="192">
        <f>A5A!K17</f>
        <v>142200</v>
      </c>
      <c r="L7" s="193">
        <f>A5A!L17</f>
        <v>100000</v>
      </c>
      <c r="M7" s="321"/>
    </row>
    <row r="8" spans="1:13" ht="11.25" customHeight="1">
      <c r="A8" s="190" t="str">
        <f>A5A!A29</f>
        <v>Vote 3 - CORPORATE SUPPORT SERVICES</v>
      </c>
      <c r="B8" s="293"/>
      <c r="C8" s="192">
        <f>A5A!C29</f>
        <v>282521</v>
      </c>
      <c r="D8" s="192">
        <f>A5A!D29</f>
        <v>1136647</v>
      </c>
      <c r="E8" s="193">
        <f>A5A!E29</f>
        <v>14851949</v>
      </c>
      <c r="F8" s="194">
        <f>A5A!F29</f>
        <v>28850871</v>
      </c>
      <c r="G8" s="192">
        <f>A5A!G29</f>
        <v>29110871</v>
      </c>
      <c r="H8" s="193">
        <f>A5A!H29</f>
        <v>29110871</v>
      </c>
      <c r="I8" s="191">
        <f>A5A!I29</f>
        <v>29110871</v>
      </c>
      <c r="J8" s="194">
        <f>A5A!J29</f>
        <v>4785431</v>
      </c>
      <c r="K8" s="192">
        <f>A5A!K29</f>
        <v>4333648</v>
      </c>
      <c r="L8" s="193">
        <f>A5A!L29</f>
        <v>2525000</v>
      </c>
      <c r="M8" s="320"/>
    </row>
    <row r="9" spans="1:13" ht="11.25" customHeight="1">
      <c r="A9" s="190" t="str">
        <f>A5A!A40</f>
        <v>Vote 4 - BUDGET AND TREASURY OFFICE</v>
      </c>
      <c r="B9" s="293"/>
      <c r="C9" s="192">
        <f>A5A!C40</f>
        <v>595548</v>
      </c>
      <c r="D9" s="192">
        <f>A5A!D40</f>
        <v>1877660</v>
      </c>
      <c r="E9" s="193">
        <f>A5A!E40</f>
        <v>978966</v>
      </c>
      <c r="F9" s="322">
        <f>A5A!F40</f>
        <v>256000</v>
      </c>
      <c r="G9" s="192">
        <f>A5A!G40</f>
        <v>2069708</v>
      </c>
      <c r="H9" s="193">
        <f>A5A!H40</f>
        <v>2069708</v>
      </c>
      <c r="I9" s="191">
        <f>A5A!I40</f>
        <v>2069708</v>
      </c>
      <c r="J9" s="194">
        <f>A5A!J40</f>
        <v>380730</v>
      </c>
      <c r="K9" s="192">
        <f>A5A!K40</f>
        <v>320000</v>
      </c>
      <c r="L9" s="323">
        <f>A5A!L40</f>
        <v>310000</v>
      </c>
      <c r="M9" s="320"/>
    </row>
    <row r="10" spans="1:13" ht="11.25" customHeight="1">
      <c r="A10" s="190" t="str">
        <f>A5A!A51</f>
        <v>Vote 5 - PUBLIC SAFETY</v>
      </c>
      <c r="B10" s="293"/>
      <c r="C10" s="192">
        <f>A5A!C51</f>
        <v>9242400</v>
      </c>
      <c r="D10" s="192">
        <f>A5A!D51</f>
        <v>4759411</v>
      </c>
      <c r="E10" s="193">
        <f>A5A!E51</f>
        <v>13800581</v>
      </c>
      <c r="F10" s="194">
        <f>A5A!F51</f>
        <v>8070000</v>
      </c>
      <c r="G10" s="192">
        <f>A5A!G51</f>
        <v>16830333</v>
      </c>
      <c r="H10" s="193">
        <f>A5A!H51</f>
        <v>16830333</v>
      </c>
      <c r="I10" s="191">
        <f>A5A!I51</f>
        <v>16830333</v>
      </c>
      <c r="J10" s="194">
        <f>A5A!J51</f>
        <v>9342550</v>
      </c>
      <c r="K10" s="192">
        <f>A5A!K51</f>
        <v>5854300</v>
      </c>
      <c r="L10" s="193">
        <f>A5A!L51</f>
        <v>374000</v>
      </c>
      <c r="M10" s="320"/>
    </row>
    <row r="11" spans="1:13" ht="11.25" customHeight="1">
      <c r="A11" s="190" t="str">
        <f>A5A!A62</f>
        <v>Vote 6 - PLANNING &amp; HUMAN SETTLEMENT</v>
      </c>
      <c r="B11" s="293"/>
      <c r="C11" s="192">
        <f>A5A!C62</f>
        <v>1450153</v>
      </c>
      <c r="D11" s="192">
        <f>A5A!D62</f>
        <v>272597</v>
      </c>
      <c r="E11" s="193">
        <f>A5A!E62</f>
        <v>82654</v>
      </c>
      <c r="F11" s="194">
        <f>A5A!F62</f>
        <v>28523229</v>
      </c>
      <c r="G11" s="192">
        <f>A5A!G62</f>
        <v>27929671</v>
      </c>
      <c r="H11" s="193">
        <f>A5A!H62</f>
        <v>27929671</v>
      </c>
      <c r="I11" s="191">
        <f>A5A!I62</f>
        <v>27929671</v>
      </c>
      <c r="J11" s="194">
        <f>A5A!J62</f>
        <v>77080000</v>
      </c>
      <c r="K11" s="192">
        <f>A5A!K62</f>
        <v>36000000</v>
      </c>
      <c r="L11" s="193">
        <f>A5A!L62</f>
        <v>16000000</v>
      </c>
      <c r="M11" s="320"/>
    </row>
    <row r="12" spans="1:13" ht="11.25" customHeight="1">
      <c r="A12" s="190" t="str">
        <f>A5A!A73</f>
        <v xml:space="preserve">Vote 7 - LOCAL ECONOMIC DEVELOPMENT </v>
      </c>
      <c r="B12" s="293"/>
      <c r="C12" s="192">
        <f>A5A!C73</f>
        <v>2100693</v>
      </c>
      <c r="D12" s="192">
        <f>A5A!D73</f>
        <v>479329</v>
      </c>
      <c r="E12" s="193">
        <f>A5A!E73</f>
        <v>1164819</v>
      </c>
      <c r="F12" s="194">
        <f>A5A!F73</f>
        <v>11131800</v>
      </c>
      <c r="G12" s="192">
        <f>A5A!G73</f>
        <v>11131800</v>
      </c>
      <c r="H12" s="193">
        <f>A5A!H73</f>
        <v>11131800</v>
      </c>
      <c r="I12" s="191">
        <f>A5A!I73</f>
        <v>11131800</v>
      </c>
      <c r="J12" s="194">
        <f>A5A!J73</f>
        <v>5164000</v>
      </c>
      <c r="K12" s="192">
        <f>A5A!K73</f>
        <v>4080000</v>
      </c>
      <c r="L12" s="193">
        <f>A5A!L73</f>
        <v>4515000</v>
      </c>
      <c r="M12" s="320"/>
    </row>
    <row r="13" spans="1:13" ht="11.25" customHeight="1">
      <c r="A13" s="190" t="str">
        <f>A5A!A84</f>
        <v>Vote 8 - COMMUNITY DEVELOPMENT</v>
      </c>
      <c r="B13" s="293"/>
      <c r="C13" s="192">
        <f>A5A!C84</f>
        <v>7198416</v>
      </c>
      <c r="D13" s="192">
        <f>A5A!D84</f>
        <v>7453704</v>
      </c>
      <c r="E13" s="191">
        <f>A5A!E84</f>
        <v>1008628</v>
      </c>
      <c r="F13" s="194">
        <f>A5A!F84</f>
        <v>13724000</v>
      </c>
      <c r="G13" s="192">
        <f>A5A!G84</f>
        <v>13112000</v>
      </c>
      <c r="H13" s="193">
        <f>A5A!H84</f>
        <v>13112000</v>
      </c>
      <c r="I13" s="191">
        <f>A5A!I84</f>
        <v>13112000</v>
      </c>
      <c r="J13" s="194">
        <f>A5A!J84</f>
        <v>12293500</v>
      </c>
      <c r="K13" s="192">
        <f>A5A!K84</f>
        <v>3938500</v>
      </c>
      <c r="L13" s="193">
        <f>A5A!L84</f>
        <v>3683000</v>
      </c>
      <c r="M13" s="320"/>
    </row>
    <row r="14" spans="1:13" ht="11.25" customHeight="1">
      <c r="A14" s="190" t="str">
        <f>A5A!A95</f>
        <v>Vote 9 - TECHNICAL AND INFRASTRUCTURE</v>
      </c>
      <c r="B14" s="293"/>
      <c r="C14" s="192">
        <f>A5A!C95</f>
        <v>209915838</v>
      </c>
      <c r="D14" s="192">
        <f>A5A!D95</f>
        <v>173043648</v>
      </c>
      <c r="E14" s="191">
        <f>A5A!E95</f>
        <v>275267904</v>
      </c>
      <c r="F14" s="194">
        <f>A5A!F95</f>
        <v>795085427</v>
      </c>
      <c r="G14" s="192">
        <f>A5A!G95</f>
        <v>847943297</v>
      </c>
      <c r="H14" s="193">
        <f>A5A!H95</f>
        <v>847943297</v>
      </c>
      <c r="I14" s="191">
        <f>A5A!I95</f>
        <v>847943297</v>
      </c>
      <c r="J14" s="194">
        <f>A5A!J95</f>
        <v>1103949320</v>
      </c>
      <c r="K14" s="192">
        <f>A5A!K95</f>
        <v>1065653000</v>
      </c>
      <c r="L14" s="193">
        <f>A5A!L95</f>
        <v>1014273000</v>
      </c>
      <c r="M14" s="1552"/>
    </row>
    <row r="15" spans="1:13" ht="11.25" customHeight="1">
      <c r="A15" s="190" t="str">
        <f>A5A!A106</f>
        <v>Vote 10 - RUSTENBURG WATER SERVICE TRUST</v>
      </c>
      <c r="B15" s="293"/>
      <c r="C15" s="192">
        <f>A5A!C106</f>
        <v>0</v>
      </c>
      <c r="D15" s="192">
        <f>A5A!D106</f>
        <v>0</v>
      </c>
      <c r="E15" s="191">
        <f>A5A!E106</f>
        <v>0</v>
      </c>
      <c r="F15" s="194">
        <f>A5A!F106</f>
        <v>25900000</v>
      </c>
      <c r="G15" s="192">
        <f>A5A!G106</f>
        <v>25900000</v>
      </c>
      <c r="H15" s="193">
        <f>A5A!H106</f>
        <v>25900000</v>
      </c>
      <c r="I15" s="191">
        <f>A5A!I106</f>
        <v>25900000</v>
      </c>
      <c r="J15" s="194">
        <f>A5A!J106</f>
        <v>100000000</v>
      </c>
      <c r="K15" s="192">
        <f>A5A!K106</f>
        <v>690000000</v>
      </c>
      <c r="L15" s="193">
        <f>A5A!L106</f>
        <v>0</v>
      </c>
      <c r="M15" s="1552"/>
    </row>
    <row r="16" spans="1:13" ht="11.25" customHeight="1">
      <c r="A16" s="190" t="str">
        <f>A5A!A117</f>
        <v>Vote 11 - [NAME OF VOTE 11]</v>
      </c>
      <c r="B16" s="293"/>
      <c r="C16" s="192">
        <f>A5A!C117</f>
        <v>0</v>
      </c>
      <c r="D16" s="192">
        <f>A5A!D117</f>
        <v>0</v>
      </c>
      <c r="E16" s="191">
        <f>A5A!E117</f>
        <v>0</v>
      </c>
      <c r="F16" s="194">
        <f>A5A!F117</f>
        <v>0</v>
      </c>
      <c r="G16" s="192">
        <f>A5A!G117</f>
        <v>0</v>
      </c>
      <c r="H16" s="193">
        <f>A5A!H117</f>
        <v>0</v>
      </c>
      <c r="I16" s="191">
        <f>A5A!I117</f>
        <v>0</v>
      </c>
      <c r="J16" s="194">
        <f>A5A!J117</f>
        <v>0</v>
      </c>
      <c r="K16" s="192">
        <f>A5A!K117</f>
        <v>0</v>
      </c>
      <c r="L16" s="193">
        <f>A5A!L117</f>
        <v>0</v>
      </c>
      <c r="M16" s="370"/>
    </row>
    <row r="17" spans="1:13" ht="11.25" customHeight="1">
      <c r="A17" s="190" t="str">
        <f>A5A!A128</f>
        <v>Vote 12 - [NAME OF VOTE 12]</v>
      </c>
      <c r="B17" s="293"/>
      <c r="C17" s="192">
        <f>A5A!C128</f>
        <v>0</v>
      </c>
      <c r="D17" s="192">
        <f>A5A!D128</f>
        <v>0</v>
      </c>
      <c r="E17" s="191">
        <f>A5A!E128</f>
        <v>0</v>
      </c>
      <c r="F17" s="194">
        <f>A5A!F128</f>
        <v>0</v>
      </c>
      <c r="G17" s="192">
        <f>A5A!G128</f>
        <v>0</v>
      </c>
      <c r="H17" s="193">
        <f>A5A!H128</f>
        <v>0</v>
      </c>
      <c r="I17" s="191">
        <f>A5A!I128</f>
        <v>0</v>
      </c>
      <c r="J17" s="194">
        <f>A5A!J128</f>
        <v>0</v>
      </c>
      <c r="K17" s="192">
        <f>A5A!K128</f>
        <v>0</v>
      </c>
      <c r="L17" s="193">
        <f>A5A!L128</f>
        <v>0</v>
      </c>
      <c r="M17" s="1552"/>
    </row>
    <row r="18" spans="1:13" ht="11.25" customHeight="1">
      <c r="A18" s="190" t="str">
        <f>A5A!A139</f>
        <v>Vote 13 - [NAME OF VOTE 13]</v>
      </c>
      <c r="B18" s="293"/>
      <c r="C18" s="192">
        <f>A5A!C139</f>
        <v>0</v>
      </c>
      <c r="D18" s="192">
        <f>A5A!D139</f>
        <v>0</v>
      </c>
      <c r="E18" s="191">
        <f>A5A!E139</f>
        <v>0</v>
      </c>
      <c r="F18" s="194">
        <f>A5A!F139</f>
        <v>0</v>
      </c>
      <c r="G18" s="192">
        <f>A5A!G139</f>
        <v>0</v>
      </c>
      <c r="H18" s="193">
        <f>A5A!H139</f>
        <v>0</v>
      </c>
      <c r="I18" s="191">
        <f>A5A!I139</f>
        <v>0</v>
      </c>
      <c r="J18" s="194">
        <f>A5A!J139</f>
        <v>0</v>
      </c>
      <c r="K18" s="192">
        <f>A5A!K139</f>
        <v>0</v>
      </c>
      <c r="L18" s="193">
        <f>A5A!L139</f>
        <v>0</v>
      </c>
      <c r="M18" s="1552"/>
    </row>
    <row r="19" spans="1:13" ht="11.25" customHeight="1">
      <c r="A19" s="190" t="str">
        <f>A5A!A150</f>
        <v>Vote 14 - [NAME OF VOTE 14]</v>
      </c>
      <c r="B19" s="293"/>
      <c r="C19" s="192">
        <f>A5A!C150</f>
        <v>0</v>
      </c>
      <c r="D19" s="192">
        <f>A5A!D150</f>
        <v>0</v>
      </c>
      <c r="E19" s="191">
        <f>A5A!E150</f>
        <v>0</v>
      </c>
      <c r="F19" s="194">
        <f>A5A!F150</f>
        <v>0</v>
      </c>
      <c r="G19" s="192">
        <f>A5A!G150</f>
        <v>0</v>
      </c>
      <c r="H19" s="193">
        <f>A5A!H150</f>
        <v>0</v>
      </c>
      <c r="I19" s="191">
        <f>A5A!I150</f>
        <v>0</v>
      </c>
      <c r="J19" s="194">
        <f>A5A!J150</f>
        <v>0</v>
      </c>
      <c r="K19" s="192">
        <f>A5A!K150</f>
        <v>0</v>
      </c>
      <c r="L19" s="193">
        <f>A5A!L150</f>
        <v>0</v>
      </c>
      <c r="M19" s="1552"/>
    </row>
    <row r="20" spans="1:13" ht="11.25" customHeight="1">
      <c r="A20" s="190" t="str">
        <f>A5A!A161</f>
        <v>Vote 15 - [NAME OF VOTE 15]</v>
      </c>
      <c r="B20" s="293"/>
      <c r="C20" s="192">
        <f>A5A!C161</f>
        <v>0</v>
      </c>
      <c r="D20" s="192">
        <f>A5A!D161</f>
        <v>0</v>
      </c>
      <c r="E20" s="191">
        <f>A5A!E161</f>
        <v>0</v>
      </c>
      <c r="F20" s="194">
        <f>A5A!F161</f>
        <v>0</v>
      </c>
      <c r="G20" s="192">
        <f>A5A!G161</f>
        <v>0</v>
      </c>
      <c r="H20" s="193">
        <f>A5A!H161</f>
        <v>0</v>
      </c>
      <c r="I20" s="191">
        <f>A5A!I161</f>
        <v>0</v>
      </c>
      <c r="J20" s="194">
        <f>A5A!J161</f>
        <v>0</v>
      </c>
      <c r="K20" s="192">
        <f>A5A!K161</f>
        <v>0</v>
      </c>
      <c r="L20" s="193">
        <f>A5A!L161</f>
        <v>0</v>
      </c>
      <c r="M20" s="1552"/>
    </row>
    <row r="21" spans="1:13">
      <c r="A21" s="197" t="s">
        <v>197</v>
      </c>
      <c r="B21" s="293">
        <v>7</v>
      </c>
      <c r="C21" s="1353">
        <f>SUM(C6:C20)</f>
        <v>241991399</v>
      </c>
      <c r="D21" s="1353">
        <f t="shared" ref="D21:L21" si="0">SUM(D6:D20)</f>
        <v>209010835</v>
      </c>
      <c r="E21" s="266">
        <f t="shared" si="0"/>
        <v>307647919</v>
      </c>
      <c r="F21" s="269">
        <f t="shared" si="0"/>
        <v>914672984</v>
      </c>
      <c r="G21" s="267">
        <f t="shared" si="0"/>
        <v>975648854</v>
      </c>
      <c r="H21" s="268">
        <f>SUM(H6:H20)</f>
        <v>975648854</v>
      </c>
      <c r="I21" s="266">
        <f t="shared" si="0"/>
        <v>975648854</v>
      </c>
      <c r="J21" s="269">
        <f t="shared" si="0"/>
        <v>1313659181</v>
      </c>
      <c r="K21" s="267">
        <f t="shared" si="0"/>
        <v>1810421648</v>
      </c>
      <c r="L21" s="268">
        <f t="shared" si="0"/>
        <v>1041880000</v>
      </c>
      <c r="M21" s="370"/>
    </row>
    <row r="22" spans="1:13" ht="5" customHeight="1">
      <c r="A22" s="201"/>
      <c r="B22" s="293"/>
      <c r="C22" s="203"/>
      <c r="D22" s="259"/>
      <c r="E22" s="202"/>
      <c r="F22" s="205"/>
      <c r="G22" s="203"/>
      <c r="H22" s="204"/>
      <c r="I22" s="202"/>
      <c r="J22" s="205"/>
      <c r="K22" s="203"/>
      <c r="L22" s="204"/>
      <c r="M22" s="370"/>
    </row>
    <row r="23" spans="1:13" ht="11.25" customHeight="1">
      <c r="A23" s="181" t="s">
        <v>1038</v>
      </c>
      <c r="B23" s="293">
        <v>2</v>
      </c>
      <c r="C23" s="324"/>
      <c r="D23" s="324"/>
      <c r="E23" s="193"/>
      <c r="F23" s="194"/>
      <c r="G23" s="192"/>
      <c r="H23" s="193"/>
      <c r="I23" s="191"/>
      <c r="J23" s="194"/>
      <c r="K23" s="192"/>
      <c r="L23" s="193"/>
      <c r="M23" s="370"/>
    </row>
    <row r="24" spans="1:13" ht="11.25" customHeight="1">
      <c r="A24" s="190" t="str">
        <f>A6</f>
        <v>Vote 1 - EXECUTIVE MAYOR</v>
      </c>
      <c r="B24" s="293"/>
      <c r="C24" s="324">
        <f>A5A!C176</f>
        <v>0</v>
      </c>
      <c r="D24" s="324">
        <f>A5A!D176</f>
        <v>0</v>
      </c>
      <c r="E24" s="193">
        <f>A5A!E176</f>
        <v>0</v>
      </c>
      <c r="F24" s="194">
        <f>A5A!F176</f>
        <v>0</v>
      </c>
      <c r="G24" s="192">
        <f>A5A!G176</f>
        <v>0</v>
      </c>
      <c r="H24" s="193">
        <f>A5A!H176</f>
        <v>0</v>
      </c>
      <c r="I24" s="191">
        <f>A5A!I176</f>
        <v>0</v>
      </c>
      <c r="J24" s="194">
        <f>A5A!J176</f>
        <v>0</v>
      </c>
      <c r="K24" s="192">
        <f>A5A!K176</f>
        <v>0</v>
      </c>
      <c r="L24" s="193">
        <f>A5A!L176</f>
        <v>0</v>
      </c>
      <c r="M24" s="370"/>
    </row>
    <row r="25" spans="1:13" ht="11.25" customHeight="1">
      <c r="A25" s="190" t="str">
        <f t="shared" ref="A25:A37" si="1">A7</f>
        <v>Vote 2 - MUNICIPAL MANAGER</v>
      </c>
      <c r="B25" s="293"/>
      <c r="C25" s="324">
        <f>A5A!C187</f>
        <v>0</v>
      </c>
      <c r="D25" s="324">
        <f>A5A!D187</f>
        <v>0</v>
      </c>
      <c r="E25" s="193">
        <f>A5A!E187</f>
        <v>0</v>
      </c>
      <c r="F25" s="194">
        <f>A5A!F187</f>
        <v>0</v>
      </c>
      <c r="G25" s="192">
        <f>A5A!G187</f>
        <v>0</v>
      </c>
      <c r="H25" s="193">
        <f>A5A!H187</f>
        <v>0</v>
      </c>
      <c r="I25" s="191">
        <f>A5A!I187</f>
        <v>0</v>
      </c>
      <c r="J25" s="194">
        <f>A5A!J187</f>
        <v>0</v>
      </c>
      <c r="K25" s="192">
        <f>A5A!K187</f>
        <v>0</v>
      </c>
      <c r="L25" s="193">
        <f>A5A!L187</f>
        <v>0</v>
      </c>
      <c r="M25" s="370"/>
    </row>
    <row r="26" spans="1:13" ht="11.25" customHeight="1">
      <c r="A26" s="190" t="str">
        <f t="shared" si="1"/>
        <v>Vote 3 - CORPORATE SUPPORT SERVICES</v>
      </c>
      <c r="B26" s="293"/>
      <c r="C26" s="324">
        <f>A5A!C200</f>
        <v>0</v>
      </c>
      <c r="D26" s="324">
        <f>A5A!D200</f>
        <v>0</v>
      </c>
      <c r="E26" s="193">
        <f>A5A!E200</f>
        <v>0</v>
      </c>
      <c r="F26" s="194">
        <f>A5A!F200</f>
        <v>0</v>
      </c>
      <c r="G26" s="192">
        <f>A5A!G200</f>
        <v>0</v>
      </c>
      <c r="H26" s="193">
        <f>A5A!H200</f>
        <v>0</v>
      </c>
      <c r="I26" s="191">
        <f>A5A!I200</f>
        <v>0</v>
      </c>
      <c r="J26" s="194">
        <f>A5A!J200</f>
        <v>0</v>
      </c>
      <c r="K26" s="192">
        <f>A5A!K200</f>
        <v>0</v>
      </c>
      <c r="L26" s="193">
        <f>A5A!L200</f>
        <v>0</v>
      </c>
      <c r="M26" s="370"/>
    </row>
    <row r="27" spans="1:13" ht="11.25" customHeight="1">
      <c r="A27" s="190" t="str">
        <f t="shared" si="1"/>
        <v>Vote 4 - BUDGET AND TREASURY OFFICE</v>
      </c>
      <c r="B27" s="293"/>
      <c r="C27" s="324">
        <f>A5A!C211</f>
        <v>0</v>
      </c>
      <c r="D27" s="324">
        <f>A5A!D211</f>
        <v>0</v>
      </c>
      <c r="E27" s="193">
        <f>A5A!E211</f>
        <v>0</v>
      </c>
      <c r="F27" s="194">
        <f>A5A!F211</f>
        <v>0</v>
      </c>
      <c r="G27" s="192">
        <f>A5A!G211</f>
        <v>0</v>
      </c>
      <c r="H27" s="193">
        <f>A5A!H211</f>
        <v>0</v>
      </c>
      <c r="I27" s="191">
        <f>A5A!I211</f>
        <v>0</v>
      </c>
      <c r="J27" s="194">
        <f>A5A!J211</f>
        <v>0</v>
      </c>
      <c r="K27" s="192">
        <f>A5A!K211</f>
        <v>0</v>
      </c>
      <c r="L27" s="193">
        <f>A5A!L211</f>
        <v>0</v>
      </c>
      <c r="M27" s="370"/>
    </row>
    <row r="28" spans="1:13" ht="11.25" customHeight="1">
      <c r="A28" s="190" t="str">
        <f t="shared" si="1"/>
        <v>Vote 5 - PUBLIC SAFETY</v>
      </c>
      <c r="B28" s="293"/>
      <c r="C28" s="324">
        <f>A5A!C222</f>
        <v>0</v>
      </c>
      <c r="D28" s="324">
        <f>A5A!D222</f>
        <v>0</v>
      </c>
      <c r="E28" s="193">
        <f>A5A!E222</f>
        <v>0</v>
      </c>
      <c r="F28" s="194">
        <f>A5A!F222</f>
        <v>0</v>
      </c>
      <c r="G28" s="192">
        <f>A5A!G222</f>
        <v>0</v>
      </c>
      <c r="H28" s="193">
        <f>A5A!H222</f>
        <v>0</v>
      </c>
      <c r="I28" s="191">
        <f>A5A!I222</f>
        <v>0</v>
      </c>
      <c r="J28" s="194">
        <f>A5A!J222</f>
        <v>0</v>
      </c>
      <c r="K28" s="192">
        <f>A5A!K222</f>
        <v>0</v>
      </c>
      <c r="L28" s="193">
        <f>A5A!L222</f>
        <v>0</v>
      </c>
      <c r="M28" s="370"/>
    </row>
    <row r="29" spans="1:13" ht="11.25" customHeight="1">
      <c r="A29" s="190" t="str">
        <f t="shared" si="1"/>
        <v>Vote 6 - PLANNING &amp; HUMAN SETTLEMENT</v>
      </c>
      <c r="B29" s="293"/>
      <c r="C29" s="324">
        <f>A5A!C233</f>
        <v>0</v>
      </c>
      <c r="D29" s="324">
        <f>A5A!D233</f>
        <v>0</v>
      </c>
      <c r="E29" s="193">
        <f>A5A!E233</f>
        <v>0</v>
      </c>
      <c r="F29" s="194">
        <f>A5A!F233</f>
        <v>0</v>
      </c>
      <c r="G29" s="192">
        <f>A5A!G233</f>
        <v>0</v>
      </c>
      <c r="H29" s="193">
        <f>A5A!H233</f>
        <v>0</v>
      </c>
      <c r="I29" s="191">
        <f>A5A!I233</f>
        <v>0</v>
      </c>
      <c r="J29" s="194">
        <f>A5A!J233</f>
        <v>0</v>
      </c>
      <c r="K29" s="192">
        <f>A5A!K233</f>
        <v>0</v>
      </c>
      <c r="L29" s="193">
        <f>A5A!L233</f>
        <v>0</v>
      </c>
      <c r="M29" s="370"/>
    </row>
    <row r="30" spans="1:13" ht="11.25" customHeight="1">
      <c r="A30" s="190" t="str">
        <f t="shared" si="1"/>
        <v xml:space="preserve">Vote 7 - LOCAL ECONOMIC DEVELOPMENT </v>
      </c>
      <c r="B30" s="293"/>
      <c r="C30" s="324">
        <f>A5A!C244</f>
        <v>0</v>
      </c>
      <c r="D30" s="324">
        <f>A5A!D244</f>
        <v>0</v>
      </c>
      <c r="E30" s="193">
        <f>A5A!E244</f>
        <v>0</v>
      </c>
      <c r="F30" s="194">
        <f>A5A!F244</f>
        <v>0</v>
      </c>
      <c r="G30" s="192">
        <f>A5A!G244</f>
        <v>0</v>
      </c>
      <c r="H30" s="193">
        <f>A5A!H244</f>
        <v>0</v>
      </c>
      <c r="I30" s="191">
        <f>A5A!I244</f>
        <v>0</v>
      </c>
      <c r="J30" s="194">
        <f>A5A!J244</f>
        <v>0</v>
      </c>
      <c r="K30" s="192">
        <f>A5A!K244</f>
        <v>0</v>
      </c>
      <c r="L30" s="193">
        <f>A5A!L244</f>
        <v>0</v>
      </c>
      <c r="M30" s="370"/>
    </row>
    <row r="31" spans="1:13" ht="11.25" customHeight="1">
      <c r="A31" s="190" t="str">
        <f t="shared" si="1"/>
        <v>Vote 8 - COMMUNITY DEVELOPMENT</v>
      </c>
      <c r="B31" s="293"/>
      <c r="C31" s="324">
        <f>A5A!C255</f>
        <v>0</v>
      </c>
      <c r="D31" s="324">
        <f>A5A!D255</f>
        <v>0</v>
      </c>
      <c r="E31" s="193">
        <f>A5A!E255</f>
        <v>0</v>
      </c>
      <c r="F31" s="194">
        <f>A5A!F255</f>
        <v>0</v>
      </c>
      <c r="G31" s="192">
        <f>A5A!G255</f>
        <v>0</v>
      </c>
      <c r="H31" s="193">
        <f>A5A!H255</f>
        <v>0</v>
      </c>
      <c r="I31" s="191">
        <f>A5A!I255</f>
        <v>0</v>
      </c>
      <c r="J31" s="194">
        <f>A5A!J255</f>
        <v>0</v>
      </c>
      <c r="K31" s="192">
        <f>A5A!K255</f>
        <v>0</v>
      </c>
      <c r="L31" s="193">
        <f>A5A!L255</f>
        <v>0</v>
      </c>
      <c r="M31" s="370"/>
    </row>
    <row r="32" spans="1:13" ht="11.25" customHeight="1">
      <c r="A32" s="190" t="str">
        <f t="shared" si="1"/>
        <v>Vote 9 - TECHNICAL AND INFRASTRUCTURE</v>
      </c>
      <c r="B32" s="293"/>
      <c r="C32" s="324">
        <f>A5A!C266</f>
        <v>0</v>
      </c>
      <c r="D32" s="324">
        <f>A5A!D266</f>
        <v>0</v>
      </c>
      <c r="E32" s="193">
        <f>A5A!E266</f>
        <v>0</v>
      </c>
      <c r="F32" s="194">
        <f>A5A!F266</f>
        <v>0</v>
      </c>
      <c r="G32" s="192">
        <f>A5A!G266</f>
        <v>0</v>
      </c>
      <c r="H32" s="193">
        <f>A5A!H266</f>
        <v>0</v>
      </c>
      <c r="I32" s="191">
        <f>A5A!I266</f>
        <v>0</v>
      </c>
      <c r="J32" s="194">
        <f>A5A!J266</f>
        <v>0</v>
      </c>
      <c r="K32" s="192">
        <f>A5A!K266</f>
        <v>0</v>
      </c>
      <c r="L32" s="193">
        <f>A5A!L266</f>
        <v>0</v>
      </c>
      <c r="M32" s="370"/>
    </row>
    <row r="33" spans="1:18" ht="11.25" customHeight="1">
      <c r="A33" s="190" t="str">
        <f t="shared" si="1"/>
        <v>Vote 10 - RUSTENBURG WATER SERVICE TRUST</v>
      </c>
      <c r="B33" s="293"/>
      <c r="C33" s="324">
        <f>A5A!C277</f>
        <v>0</v>
      </c>
      <c r="D33" s="324">
        <f>A5A!D277</f>
        <v>0</v>
      </c>
      <c r="E33" s="193">
        <f>A5A!E277</f>
        <v>0</v>
      </c>
      <c r="F33" s="194">
        <f>A5A!F277</f>
        <v>0</v>
      </c>
      <c r="G33" s="192">
        <f>A5A!G277</f>
        <v>0</v>
      </c>
      <c r="H33" s="193">
        <f>A5A!H277</f>
        <v>0</v>
      </c>
      <c r="I33" s="191">
        <f>A5A!I277</f>
        <v>0</v>
      </c>
      <c r="J33" s="194">
        <f>A5A!J277</f>
        <v>0</v>
      </c>
      <c r="K33" s="192">
        <f>A5A!K277</f>
        <v>0</v>
      </c>
      <c r="L33" s="193">
        <f>A5A!L277</f>
        <v>0</v>
      </c>
      <c r="M33" s="370"/>
    </row>
    <row r="34" spans="1:18" ht="11.25" customHeight="1">
      <c r="A34" s="190" t="str">
        <f t="shared" si="1"/>
        <v>Vote 11 - [NAME OF VOTE 11]</v>
      </c>
      <c r="B34" s="293"/>
      <c r="C34" s="324">
        <f>A5A!C288</f>
        <v>0</v>
      </c>
      <c r="D34" s="324">
        <f>A5A!D288</f>
        <v>0</v>
      </c>
      <c r="E34" s="193">
        <f>A5A!E288</f>
        <v>0</v>
      </c>
      <c r="F34" s="194">
        <f>A5A!F288</f>
        <v>0</v>
      </c>
      <c r="G34" s="192">
        <f>A5A!G288</f>
        <v>0</v>
      </c>
      <c r="H34" s="193">
        <f>A5A!H288</f>
        <v>0</v>
      </c>
      <c r="I34" s="191">
        <f>A5A!I288</f>
        <v>0</v>
      </c>
      <c r="J34" s="194">
        <f>A5A!J288</f>
        <v>0</v>
      </c>
      <c r="K34" s="192">
        <f>A5A!K288</f>
        <v>0</v>
      </c>
      <c r="L34" s="193">
        <f>A5A!L288</f>
        <v>0</v>
      </c>
      <c r="M34" s="370"/>
    </row>
    <row r="35" spans="1:18" ht="11.25" customHeight="1">
      <c r="A35" s="190" t="str">
        <f t="shared" si="1"/>
        <v>Vote 12 - [NAME OF VOTE 12]</v>
      </c>
      <c r="B35" s="293"/>
      <c r="C35" s="324">
        <f>A5A!C299</f>
        <v>0</v>
      </c>
      <c r="D35" s="324">
        <f>A5A!D299</f>
        <v>0</v>
      </c>
      <c r="E35" s="193">
        <f>A5A!E299</f>
        <v>0</v>
      </c>
      <c r="F35" s="194">
        <f>A5A!F299</f>
        <v>0</v>
      </c>
      <c r="G35" s="192">
        <f>A5A!G299</f>
        <v>0</v>
      </c>
      <c r="H35" s="193">
        <f>A5A!H299</f>
        <v>0</v>
      </c>
      <c r="I35" s="191">
        <f>A5A!I299</f>
        <v>0</v>
      </c>
      <c r="J35" s="194">
        <f>A5A!J299</f>
        <v>0</v>
      </c>
      <c r="K35" s="192">
        <f>A5A!K299</f>
        <v>0</v>
      </c>
      <c r="L35" s="193">
        <f>A5A!L299</f>
        <v>0</v>
      </c>
      <c r="M35" s="370"/>
    </row>
    <row r="36" spans="1:18" ht="11.25" customHeight="1">
      <c r="A36" s="190" t="str">
        <f t="shared" si="1"/>
        <v>Vote 13 - [NAME OF VOTE 13]</v>
      </c>
      <c r="B36" s="293"/>
      <c r="C36" s="1513">
        <f>A5A!C310</f>
        <v>0</v>
      </c>
      <c r="D36" s="1513">
        <f>A5A!D310</f>
        <v>0</v>
      </c>
      <c r="E36" s="1514">
        <f>A5A!E310</f>
        <v>0</v>
      </c>
      <c r="F36" s="1515">
        <f>A5A!F310</f>
        <v>0</v>
      </c>
      <c r="G36" s="1473">
        <f>A5A!G310</f>
        <v>0</v>
      </c>
      <c r="H36" s="1514">
        <f>A5A!H310</f>
        <v>0</v>
      </c>
      <c r="I36" s="1474">
        <f>A5A!I310</f>
        <v>0</v>
      </c>
      <c r="J36" s="1515">
        <f>A5A!J310</f>
        <v>0</v>
      </c>
      <c r="K36" s="1473">
        <f>A5A!K310</f>
        <v>0</v>
      </c>
      <c r="L36" s="1514">
        <f>A5A!L310</f>
        <v>0</v>
      </c>
      <c r="M36" s="370"/>
    </row>
    <row r="37" spans="1:18" ht="11.25" customHeight="1">
      <c r="A37" s="190" t="str">
        <f t="shared" si="1"/>
        <v>Vote 14 - [NAME OF VOTE 14]</v>
      </c>
      <c r="B37" s="293"/>
      <c r="C37" s="1513">
        <f>A5A!C321</f>
        <v>0</v>
      </c>
      <c r="D37" s="1513">
        <f>A5A!D321</f>
        <v>0</v>
      </c>
      <c r="E37" s="1514">
        <f>A5A!E321</f>
        <v>0</v>
      </c>
      <c r="F37" s="1515">
        <f>A5A!F321</f>
        <v>0</v>
      </c>
      <c r="G37" s="1473">
        <f>A5A!G321</f>
        <v>0</v>
      </c>
      <c r="H37" s="1514">
        <f>A5A!H321</f>
        <v>0</v>
      </c>
      <c r="I37" s="1474">
        <f>A5A!I321</f>
        <v>0</v>
      </c>
      <c r="J37" s="1515">
        <f>A5A!J321</f>
        <v>0</v>
      </c>
      <c r="K37" s="1473">
        <f>A5A!K321</f>
        <v>0</v>
      </c>
      <c r="L37" s="1514">
        <f>A5A!L321</f>
        <v>0</v>
      </c>
      <c r="M37" s="370"/>
    </row>
    <row r="38" spans="1:18" ht="11.25" customHeight="1">
      <c r="A38" s="190" t="str">
        <f>A20</f>
        <v>Vote 15 - [NAME OF VOTE 15]</v>
      </c>
      <c r="B38" s="293"/>
      <c r="C38" s="1513">
        <f>A5A!C332</f>
        <v>0</v>
      </c>
      <c r="D38" s="1513">
        <f>A5A!D332</f>
        <v>0</v>
      </c>
      <c r="E38" s="1514">
        <f>A5A!E332</f>
        <v>0</v>
      </c>
      <c r="F38" s="1515">
        <f>A5A!F332</f>
        <v>0</v>
      </c>
      <c r="G38" s="1473">
        <f>A5A!G332</f>
        <v>0</v>
      </c>
      <c r="H38" s="1514">
        <f>A5A!H332</f>
        <v>0</v>
      </c>
      <c r="I38" s="1474">
        <f>A5A!I332</f>
        <v>0</v>
      </c>
      <c r="J38" s="1515">
        <f>A5A!J332</f>
        <v>0</v>
      </c>
      <c r="K38" s="1473">
        <f>A5A!K332</f>
        <v>0</v>
      </c>
      <c r="L38" s="1514">
        <f>A5A!L332</f>
        <v>0</v>
      </c>
      <c r="M38" s="370"/>
    </row>
    <row r="39" spans="1:18" ht="11.25" customHeight="1">
      <c r="A39" s="326" t="s">
        <v>1330</v>
      </c>
      <c r="B39" s="293"/>
      <c r="C39" s="1350">
        <f>SUM(C24:C38)</f>
        <v>0</v>
      </c>
      <c r="D39" s="1350">
        <f t="shared" ref="D39:L39" si="2">SUM(D24:D38)</f>
        <v>0</v>
      </c>
      <c r="E39" s="1351">
        <f t="shared" si="2"/>
        <v>0</v>
      </c>
      <c r="F39" s="1352">
        <f t="shared" si="2"/>
        <v>0</v>
      </c>
      <c r="G39" s="1353">
        <f t="shared" si="2"/>
        <v>0</v>
      </c>
      <c r="H39" s="1351">
        <f t="shared" si="2"/>
        <v>0</v>
      </c>
      <c r="I39" s="1354">
        <f t="shared" si="2"/>
        <v>0</v>
      </c>
      <c r="J39" s="1352">
        <f t="shared" si="2"/>
        <v>0</v>
      </c>
      <c r="K39" s="1353">
        <f t="shared" si="2"/>
        <v>0</v>
      </c>
      <c r="L39" s="1351">
        <f t="shared" si="2"/>
        <v>0</v>
      </c>
      <c r="M39" s="370"/>
    </row>
    <row r="40" spans="1:18">
      <c r="A40" s="224" t="s">
        <v>1039</v>
      </c>
      <c r="B40" s="306"/>
      <c r="C40" s="327">
        <f>C39+C21</f>
        <v>241991399</v>
      </c>
      <c r="D40" s="327">
        <f t="shared" ref="D40:L40" si="3">D39+D21</f>
        <v>209010835</v>
      </c>
      <c r="E40" s="328">
        <f t="shared" si="3"/>
        <v>307647919</v>
      </c>
      <c r="F40" s="329">
        <f t="shared" si="3"/>
        <v>914672984</v>
      </c>
      <c r="G40" s="330">
        <f t="shared" si="3"/>
        <v>975648854</v>
      </c>
      <c r="H40" s="328">
        <f t="shared" si="3"/>
        <v>975648854</v>
      </c>
      <c r="I40" s="331">
        <f t="shared" si="3"/>
        <v>975648854</v>
      </c>
      <c r="J40" s="329">
        <f t="shared" si="3"/>
        <v>1313659181</v>
      </c>
      <c r="K40" s="330">
        <f t="shared" si="3"/>
        <v>1810421648</v>
      </c>
      <c r="L40" s="328">
        <f t="shared" si="3"/>
        <v>1041880000</v>
      </c>
      <c r="M40" s="370"/>
    </row>
    <row r="41" spans="1:18" ht="5" customHeight="1">
      <c r="A41" s="201"/>
      <c r="B41" s="293"/>
      <c r="C41" s="324"/>
      <c r="D41" s="324"/>
      <c r="E41" s="193"/>
      <c r="F41" s="194"/>
      <c r="G41" s="192"/>
      <c r="H41" s="193"/>
      <c r="I41" s="191"/>
      <c r="J41" s="194"/>
      <c r="K41" s="192"/>
      <c r="L41" s="193"/>
      <c r="M41" s="370"/>
    </row>
    <row r="42" spans="1:18" ht="11.25" customHeight="1">
      <c r="A42" s="181" t="s">
        <v>1241</v>
      </c>
      <c r="B42" s="293"/>
      <c r="C42" s="324"/>
      <c r="D42" s="324"/>
      <c r="E42" s="193"/>
      <c r="F42" s="194"/>
      <c r="G42" s="192"/>
      <c r="H42" s="193"/>
      <c r="I42" s="191"/>
      <c r="J42" s="1273"/>
      <c r="K42" s="192"/>
      <c r="L42" s="1274"/>
      <c r="M42" s="370"/>
    </row>
    <row r="43" spans="1:18" ht="11.25" customHeight="1">
      <c r="A43" s="1271" t="s">
        <v>1131</v>
      </c>
      <c r="B43" s="1188"/>
      <c r="C43" s="1131">
        <f>SUM(C44:C46)</f>
        <v>7539753</v>
      </c>
      <c r="D43" s="1131">
        <f t="shared" ref="D43:L43" si="4">SUM(D44:D46)</f>
        <v>7674970</v>
      </c>
      <c r="E43" s="1411">
        <f t="shared" si="4"/>
        <v>75744594</v>
      </c>
      <c r="F43" s="1135">
        <f>SUM(F44:F46)</f>
        <v>32238528</v>
      </c>
      <c r="G43" s="1131">
        <f t="shared" si="4"/>
        <v>32801753</v>
      </c>
      <c r="H43" s="1412">
        <f t="shared" si="4"/>
        <v>32801753</v>
      </c>
      <c r="I43" s="1134">
        <f t="shared" si="4"/>
        <v>32801753</v>
      </c>
      <c r="J43" s="1135">
        <f>SUM(J44:J46)</f>
        <v>5829811</v>
      </c>
      <c r="K43" s="1131">
        <f t="shared" si="4"/>
        <v>4895648</v>
      </c>
      <c r="L43" s="1412">
        <f t="shared" si="4"/>
        <v>3035000</v>
      </c>
      <c r="M43" s="370"/>
      <c r="Q43" s="252"/>
      <c r="R43" s="253"/>
    </row>
    <row r="44" spans="1:18" ht="11.25" customHeight="1">
      <c r="A44" s="1272" t="s">
        <v>142</v>
      </c>
      <c r="B44" s="1188"/>
      <c r="C44" s="1635">
        <v>6884396</v>
      </c>
      <c r="D44" s="1635">
        <v>5596516</v>
      </c>
      <c r="E44" s="1615">
        <v>73449325</v>
      </c>
      <c r="F44" s="1057">
        <f>330479104-300184947</f>
        <v>30294157</v>
      </c>
      <c r="G44" s="1057">
        <v>29213674</v>
      </c>
      <c r="H44" s="1057">
        <v>29213674</v>
      </c>
      <c r="I44" s="1057">
        <v>29213674</v>
      </c>
      <c r="J44" s="1057">
        <v>663650</v>
      </c>
      <c r="K44" s="1053">
        <v>242000</v>
      </c>
      <c r="L44" s="1618">
        <v>200000</v>
      </c>
      <c r="M44" s="370"/>
      <c r="Q44" s="252"/>
      <c r="R44" s="253"/>
    </row>
    <row r="45" spans="1:18" ht="11.25" customHeight="1">
      <c r="A45" s="1272" t="s">
        <v>143</v>
      </c>
      <c r="B45" s="1188"/>
      <c r="C45" s="1639">
        <v>595549</v>
      </c>
      <c r="D45" s="1639">
        <v>1877661</v>
      </c>
      <c r="E45" s="1638">
        <v>978966</v>
      </c>
      <c r="F45" s="1051">
        <v>256000</v>
      </c>
      <c r="G45" s="1051">
        <v>2069708</v>
      </c>
      <c r="H45" s="1051">
        <v>2069708</v>
      </c>
      <c r="I45" s="1051">
        <v>2069708</v>
      </c>
      <c r="J45" s="1051">
        <v>380730</v>
      </c>
      <c r="K45" s="1049">
        <v>320000</v>
      </c>
      <c r="L45" s="1050">
        <v>310000</v>
      </c>
      <c r="M45" s="370"/>
      <c r="Q45" s="252"/>
      <c r="R45" s="253"/>
    </row>
    <row r="46" spans="1:18" ht="11.25" customHeight="1">
      <c r="A46" s="1272" t="s">
        <v>144</v>
      </c>
      <c r="B46" s="1188"/>
      <c r="C46" s="1635">
        <v>59808</v>
      </c>
      <c r="D46" s="1635">
        <v>200793</v>
      </c>
      <c r="E46" s="1615">
        <v>1316303</v>
      </c>
      <c r="F46" s="1057">
        <v>1688371</v>
      </c>
      <c r="G46" s="1057">
        <v>1518371</v>
      </c>
      <c r="H46" s="1057">
        <v>1518371</v>
      </c>
      <c r="I46" s="1057">
        <v>1518371</v>
      </c>
      <c r="J46" s="1057">
        <v>4785431</v>
      </c>
      <c r="K46" s="1053">
        <v>4333648</v>
      </c>
      <c r="L46" s="1618">
        <v>2525000</v>
      </c>
      <c r="M46" s="370"/>
      <c r="Q46" s="252"/>
      <c r="R46" s="253"/>
    </row>
    <row r="47" spans="1:18" ht="11.25" customHeight="1">
      <c r="A47" s="1271" t="s">
        <v>145</v>
      </c>
      <c r="B47" s="1188"/>
      <c r="C47" s="1131">
        <f>SUM(C48:C52)</f>
        <v>16438950</v>
      </c>
      <c r="D47" s="1131">
        <f t="shared" ref="D47:L47" si="5">SUM(D48:D52)</f>
        <v>12213113</v>
      </c>
      <c r="E47" s="1132">
        <f t="shared" si="5"/>
        <v>14809209</v>
      </c>
      <c r="F47" s="1133">
        <f t="shared" si="5"/>
        <v>22134233</v>
      </c>
      <c r="G47" s="1131">
        <f t="shared" si="5"/>
        <v>29092333</v>
      </c>
      <c r="H47" s="1134">
        <f t="shared" si="5"/>
        <v>29092333</v>
      </c>
      <c r="I47" s="1133">
        <f t="shared" si="5"/>
        <v>29092333</v>
      </c>
      <c r="J47" s="1135">
        <f t="shared" si="5"/>
        <v>54636050</v>
      </c>
      <c r="K47" s="1131">
        <f t="shared" si="5"/>
        <v>9793800</v>
      </c>
      <c r="L47" s="1412">
        <f t="shared" si="5"/>
        <v>4057000</v>
      </c>
      <c r="M47" s="370"/>
      <c r="Q47" s="252"/>
      <c r="R47" s="253"/>
    </row>
    <row r="48" spans="1:18" ht="11.25" customHeight="1">
      <c r="A48" s="1272" t="s">
        <v>146</v>
      </c>
      <c r="B48" s="1188"/>
      <c r="C48" s="1635">
        <v>4599182</v>
      </c>
      <c r="D48" s="1635">
        <v>3995155</v>
      </c>
      <c r="E48" s="1615">
        <v>1008628</v>
      </c>
      <c r="F48" s="1057">
        <v>4074000</v>
      </c>
      <c r="G48" s="1057">
        <v>6162000</v>
      </c>
      <c r="H48" s="1057">
        <v>6162000</v>
      </c>
      <c r="I48" s="1057">
        <v>6162000</v>
      </c>
      <c r="J48" s="1057">
        <v>5365500</v>
      </c>
      <c r="K48" s="1053">
        <v>2996500</v>
      </c>
      <c r="L48" s="1618">
        <v>1763000</v>
      </c>
      <c r="M48" s="370"/>
      <c r="Q48" s="252"/>
      <c r="R48" s="253"/>
    </row>
    <row r="49" spans="1:18" ht="11.25" customHeight="1">
      <c r="A49" s="1272" t="s">
        <v>147</v>
      </c>
      <c r="B49" s="1188"/>
      <c r="C49" s="1635">
        <v>2262318</v>
      </c>
      <c r="D49" s="1635">
        <v>3458548</v>
      </c>
      <c r="E49" s="1615">
        <v>0</v>
      </c>
      <c r="F49" s="1057">
        <f>1650000+8000000</f>
        <v>9650000</v>
      </c>
      <c r="G49" s="1057">
        <v>6950000</v>
      </c>
      <c r="H49" s="1057">
        <v>6950000</v>
      </c>
      <c r="I49" s="1057">
        <v>6950000</v>
      </c>
      <c r="J49" s="1057">
        <v>6928000</v>
      </c>
      <c r="K49" s="1053">
        <v>942000</v>
      </c>
      <c r="L49" s="1618">
        <v>1920000</v>
      </c>
      <c r="M49" s="370"/>
      <c r="Q49" s="252"/>
      <c r="R49" s="253"/>
    </row>
    <row r="50" spans="1:18" ht="11.25" customHeight="1">
      <c r="A50" s="1272" t="s">
        <v>148</v>
      </c>
      <c r="B50" s="1188"/>
      <c r="C50" s="1635">
        <v>9242401</v>
      </c>
      <c r="D50" s="1635">
        <v>4759410</v>
      </c>
      <c r="E50" s="1615">
        <v>13800581</v>
      </c>
      <c r="F50" s="1057">
        <f>6470000+1600000</f>
        <v>8070000</v>
      </c>
      <c r="G50" s="1057">
        <v>15830333</v>
      </c>
      <c r="H50" s="1057">
        <v>15830333</v>
      </c>
      <c r="I50" s="1057">
        <v>15830333</v>
      </c>
      <c r="J50" s="1057">
        <v>9342550</v>
      </c>
      <c r="K50" s="1053">
        <v>5855300</v>
      </c>
      <c r="L50" s="1618">
        <v>374000</v>
      </c>
      <c r="M50" s="370"/>
      <c r="Q50" s="252"/>
      <c r="R50" s="253"/>
    </row>
    <row r="51" spans="1:18" ht="11.25" customHeight="1">
      <c r="A51" s="1272" t="s">
        <v>1718</v>
      </c>
      <c r="B51" s="1188"/>
      <c r="C51" s="1635">
        <v>0</v>
      </c>
      <c r="D51" s="1635"/>
      <c r="E51" s="1615">
        <v>0</v>
      </c>
      <c r="F51" s="1057">
        <v>340233</v>
      </c>
      <c r="G51" s="1057">
        <v>150000</v>
      </c>
      <c r="H51" s="1057">
        <v>150000</v>
      </c>
      <c r="I51" s="1057">
        <v>150000</v>
      </c>
      <c r="J51" s="1057">
        <v>33000000</v>
      </c>
      <c r="K51" s="1053">
        <v>0</v>
      </c>
      <c r="L51" s="1618">
        <v>0</v>
      </c>
      <c r="M51" s="370"/>
      <c r="Q51" s="252"/>
      <c r="R51" s="253"/>
    </row>
    <row r="52" spans="1:18" ht="11.25" customHeight="1">
      <c r="A52" s="1272" t="s">
        <v>1798</v>
      </c>
      <c r="B52" s="1188"/>
      <c r="C52" s="1639">
        <v>335049</v>
      </c>
      <c r="D52" s="1639">
        <v>0</v>
      </c>
      <c r="E52" s="1638">
        <v>0</v>
      </c>
      <c r="F52" s="1642">
        <v>0</v>
      </c>
      <c r="G52" s="1642">
        <v>0</v>
      </c>
      <c r="H52" s="1642">
        <v>0</v>
      </c>
      <c r="I52" s="1642">
        <v>0</v>
      </c>
      <c r="J52" s="1642">
        <v>0</v>
      </c>
      <c r="K52" s="1638">
        <v>0</v>
      </c>
      <c r="L52" s="1647">
        <v>0</v>
      </c>
      <c r="M52" s="370"/>
      <c r="Q52" s="252"/>
      <c r="R52" s="253"/>
    </row>
    <row r="53" spans="1:18" ht="11.25" customHeight="1">
      <c r="A53" s="1271" t="s">
        <v>149</v>
      </c>
      <c r="B53" s="1130"/>
      <c r="C53" s="1131">
        <f>SUM(C54:C56)</f>
        <v>23533350</v>
      </c>
      <c r="D53" s="1131">
        <f t="shared" ref="D53:L53" si="6">SUM(D54:D56)</f>
        <v>96573691</v>
      </c>
      <c r="E53" s="1132">
        <f t="shared" si="6"/>
        <v>107955990</v>
      </c>
      <c r="F53" s="1133">
        <f t="shared" si="6"/>
        <v>502624143</v>
      </c>
      <c r="G53" s="1131">
        <f t="shared" si="6"/>
        <v>567082681</v>
      </c>
      <c r="H53" s="1134">
        <f t="shared" si="6"/>
        <v>567082681</v>
      </c>
      <c r="I53" s="1133">
        <f t="shared" si="6"/>
        <v>567082681</v>
      </c>
      <c r="J53" s="1135">
        <f t="shared" si="6"/>
        <v>704265000</v>
      </c>
      <c r="K53" s="1131">
        <f t="shared" si="6"/>
        <v>804580000</v>
      </c>
      <c r="L53" s="1412">
        <f t="shared" si="6"/>
        <v>810515000</v>
      </c>
      <c r="M53" s="370"/>
      <c r="Q53" s="252"/>
      <c r="R53" s="253"/>
    </row>
    <row r="54" spans="1:18" ht="11.25" customHeight="1">
      <c r="A54" s="1272" t="s">
        <v>150</v>
      </c>
      <c r="B54" s="1188"/>
      <c r="C54" s="1635">
        <v>1183211</v>
      </c>
      <c r="D54" s="1635">
        <v>403396</v>
      </c>
      <c r="E54" s="1615">
        <v>1234539</v>
      </c>
      <c r="F54" s="1057">
        <v>39114796</v>
      </c>
      <c r="G54" s="1057">
        <v>38911471</v>
      </c>
      <c r="H54" s="1057">
        <v>38911471</v>
      </c>
      <c r="I54" s="1057">
        <v>38911471</v>
      </c>
      <c r="J54" s="1057">
        <v>48614000</v>
      </c>
      <c r="K54" s="1053">
        <v>40080000</v>
      </c>
      <c r="L54" s="1618">
        <v>20515000</v>
      </c>
      <c r="M54" s="370"/>
      <c r="Q54" s="252"/>
      <c r="R54" s="253"/>
    </row>
    <row r="55" spans="1:18" ht="11.25" customHeight="1">
      <c r="A55" s="1272" t="s">
        <v>151</v>
      </c>
      <c r="B55" s="1188"/>
      <c r="C55" s="1635">
        <v>22350139</v>
      </c>
      <c r="D55" s="1635">
        <v>95986921</v>
      </c>
      <c r="E55" s="1049">
        <v>106721451</v>
      </c>
      <c r="F55" s="1051">
        <f>105124400+50000000+8000000+300184947</f>
        <v>463309347</v>
      </c>
      <c r="G55" s="1051">
        <v>528171210</v>
      </c>
      <c r="H55" s="1051">
        <v>528171210</v>
      </c>
      <c r="I55" s="1051">
        <v>528171210</v>
      </c>
      <c r="J55" s="1051">
        <v>655021000</v>
      </c>
      <c r="K55" s="1049">
        <v>764500000</v>
      </c>
      <c r="L55" s="1050">
        <v>790000000</v>
      </c>
      <c r="M55" s="370"/>
      <c r="Q55" s="252"/>
      <c r="R55" s="253"/>
    </row>
    <row r="56" spans="1:18" ht="11.25" customHeight="1">
      <c r="A56" s="1272" t="s">
        <v>152</v>
      </c>
      <c r="B56" s="1188"/>
      <c r="C56" s="1635">
        <v>0</v>
      </c>
      <c r="D56" s="1635">
        <v>183374</v>
      </c>
      <c r="E56" s="1049">
        <v>0</v>
      </c>
      <c r="F56" s="1057">
        <v>200000</v>
      </c>
      <c r="G56" s="1057">
        <v>0</v>
      </c>
      <c r="H56" s="1057">
        <v>0</v>
      </c>
      <c r="I56" s="1057">
        <v>0</v>
      </c>
      <c r="J56" s="1057">
        <v>630000</v>
      </c>
      <c r="K56" s="1053">
        <v>0</v>
      </c>
      <c r="L56" s="1618">
        <v>0</v>
      </c>
      <c r="M56" s="370"/>
      <c r="Q56" s="252"/>
      <c r="R56" s="253"/>
    </row>
    <row r="57" spans="1:18" ht="11.25" customHeight="1">
      <c r="A57" s="1271" t="s">
        <v>153</v>
      </c>
      <c r="B57" s="1130"/>
      <c r="C57" s="1131">
        <f>SUM(C58:C61)</f>
        <v>180143181</v>
      </c>
      <c r="D57" s="1131">
        <f t="shared" ref="D57:L57" si="7">SUM(D58:D61)</f>
        <v>88910426</v>
      </c>
      <c r="E57" s="1132">
        <f t="shared" si="7"/>
        <v>94177888</v>
      </c>
      <c r="F57" s="1133">
        <f t="shared" si="7"/>
        <v>341267000</v>
      </c>
      <c r="G57" s="1131">
        <f t="shared" si="7"/>
        <v>312258712</v>
      </c>
      <c r="H57" s="1134">
        <f t="shared" si="7"/>
        <v>312258712</v>
      </c>
      <c r="I57" s="1133">
        <f t="shared" si="7"/>
        <v>312258712</v>
      </c>
      <c r="J57" s="1135">
        <f t="shared" si="7"/>
        <v>532493000</v>
      </c>
      <c r="K57" s="1131">
        <f t="shared" si="7"/>
        <v>975153000</v>
      </c>
      <c r="L57" s="1412">
        <f t="shared" si="7"/>
        <v>209273000</v>
      </c>
      <c r="M57" s="370"/>
      <c r="Q57" s="252"/>
      <c r="R57" s="253"/>
    </row>
    <row r="58" spans="1:18" ht="11.25" customHeight="1">
      <c r="A58" s="1272" t="s">
        <v>654</v>
      </c>
      <c r="B58" s="1188"/>
      <c r="C58" s="1635">
        <f>102698473+1872</f>
        <v>102700345</v>
      </c>
      <c r="D58" s="1635">
        <f>50380102-177</f>
        <v>50379925</v>
      </c>
      <c r="E58" s="1615">
        <f>61788596+540</f>
        <v>61789136</v>
      </c>
      <c r="F58" s="1051">
        <v>83957000</v>
      </c>
      <c r="G58" s="1051">
        <v>72990252</v>
      </c>
      <c r="H58" s="1051">
        <v>72990252</v>
      </c>
      <c r="I58" s="1051">
        <v>72990252</v>
      </c>
      <c r="J58" s="1051">
        <v>198755000</v>
      </c>
      <c r="K58" s="1049">
        <v>42965000</v>
      </c>
      <c r="L58" s="1050">
        <v>38760000</v>
      </c>
      <c r="M58" s="370"/>
      <c r="Q58" s="252"/>
      <c r="R58" s="253"/>
    </row>
    <row r="59" spans="1:18" ht="11.25" customHeight="1">
      <c r="A59" s="1272" t="s">
        <v>956</v>
      </c>
      <c r="B59" s="1188"/>
      <c r="C59" s="1635">
        <v>14643305</v>
      </c>
      <c r="D59" s="1635">
        <v>11709729</v>
      </c>
      <c r="E59" s="1049">
        <v>10911904</v>
      </c>
      <c r="F59" s="1051">
        <v>85420000</v>
      </c>
      <c r="G59" s="1051">
        <v>103903223</v>
      </c>
      <c r="H59" s="1051">
        <v>103903223</v>
      </c>
      <c r="I59" s="1051">
        <v>103903223</v>
      </c>
      <c r="J59" s="1051">
        <v>119515600.98898906</v>
      </c>
      <c r="K59" s="1049">
        <v>229807644.44968611</v>
      </c>
      <c r="L59" s="1050">
        <v>51500000</v>
      </c>
      <c r="M59" s="370"/>
      <c r="Q59" s="252"/>
      <c r="R59" s="253"/>
    </row>
    <row r="60" spans="1:18" ht="11.25" customHeight="1">
      <c r="A60" s="1272" t="s">
        <v>1133</v>
      </c>
      <c r="B60" s="1188"/>
      <c r="C60" s="1639">
        <v>36676281</v>
      </c>
      <c r="D60" s="1639">
        <v>4924372</v>
      </c>
      <c r="E60" s="1049">
        <v>13098874</v>
      </c>
      <c r="F60" s="1051">
        <f>60700000+31000000+15000000+25900000</f>
        <v>132600000</v>
      </c>
      <c r="G60" s="1051">
        <f>75175237+25900000</f>
        <v>101075237</v>
      </c>
      <c r="H60" s="1051">
        <f>75175237+25900000</f>
        <v>101075237</v>
      </c>
      <c r="I60" s="1051">
        <f>75175237+25900000</f>
        <v>101075237</v>
      </c>
      <c r="J60" s="1051">
        <v>145049399.01101094</v>
      </c>
      <c r="K60" s="1049">
        <v>628892355.55031383</v>
      </c>
      <c r="L60" s="1050">
        <v>64838000</v>
      </c>
      <c r="M60" s="370"/>
      <c r="Q60" s="252"/>
      <c r="R60" s="253"/>
    </row>
    <row r="61" spans="1:18" ht="11.25" customHeight="1">
      <c r="A61" s="1272" t="s">
        <v>1134</v>
      </c>
      <c r="B61" s="1188"/>
      <c r="C61" s="1635">
        <v>26123250</v>
      </c>
      <c r="D61" s="1635">
        <v>21896400</v>
      </c>
      <c r="E61" s="1049">
        <v>8377974</v>
      </c>
      <c r="F61" s="1051">
        <v>39290000</v>
      </c>
      <c r="G61" s="1051">
        <v>34290000</v>
      </c>
      <c r="H61" s="1051">
        <v>34290000</v>
      </c>
      <c r="I61" s="1051">
        <v>34290000</v>
      </c>
      <c r="J61" s="1051">
        <v>69173000</v>
      </c>
      <c r="K61" s="1049">
        <v>73488000</v>
      </c>
      <c r="L61" s="1050">
        <v>54175000</v>
      </c>
      <c r="M61" s="370"/>
      <c r="Q61" s="252"/>
      <c r="R61" s="253"/>
    </row>
    <row r="62" spans="1:18" ht="11.25" customHeight="1">
      <c r="A62" s="1271" t="s">
        <v>293</v>
      </c>
      <c r="B62" s="1130"/>
      <c r="C62" s="1649">
        <v>14336167</v>
      </c>
      <c r="D62" s="1649">
        <v>3638458</v>
      </c>
      <c r="E62" s="1648">
        <v>14960221</v>
      </c>
      <c r="F62" s="2541">
        <v>16409080</v>
      </c>
      <c r="G62" s="2541">
        <v>34413335</v>
      </c>
      <c r="H62" s="2541">
        <v>34413335</v>
      </c>
      <c r="I62" s="2541">
        <v>34413335</v>
      </c>
      <c r="J62" s="2541">
        <v>16435500</v>
      </c>
      <c r="K62" s="1656">
        <v>16000000</v>
      </c>
      <c r="L62" s="1660">
        <v>15000000</v>
      </c>
      <c r="M62" s="370"/>
      <c r="Q62" s="252"/>
      <c r="R62" s="253"/>
    </row>
    <row r="63" spans="1:18">
      <c r="A63" s="332" t="s">
        <v>1242</v>
      </c>
      <c r="B63" s="306">
        <v>3</v>
      </c>
      <c r="C63" s="227">
        <f>C43+C47+C53+C57+C62</f>
        <v>241991401</v>
      </c>
      <c r="D63" s="227">
        <f t="shared" ref="D63:K63" si="8">D43+D47+D53+D57+D62</f>
        <v>209010658</v>
      </c>
      <c r="E63" s="352">
        <f t="shared" si="8"/>
        <v>307647902</v>
      </c>
      <c r="F63" s="353">
        <f t="shared" si="8"/>
        <v>914672984</v>
      </c>
      <c r="G63" s="227">
        <f t="shared" si="8"/>
        <v>975648814</v>
      </c>
      <c r="H63" s="352">
        <f t="shared" si="8"/>
        <v>975648814</v>
      </c>
      <c r="I63" s="226">
        <f t="shared" si="8"/>
        <v>975648814</v>
      </c>
      <c r="J63" s="353">
        <f t="shared" si="8"/>
        <v>1313659361</v>
      </c>
      <c r="K63" s="227">
        <f t="shared" si="8"/>
        <v>1810422448</v>
      </c>
      <c r="L63" s="352">
        <f>L43+L47+L53+L57+L62</f>
        <v>1041880000</v>
      </c>
      <c r="M63" s="370"/>
    </row>
    <row r="64" spans="1:18" ht="5" customHeight="1">
      <c r="A64" s="197"/>
      <c r="B64" s="293"/>
      <c r="C64" s="218"/>
      <c r="D64" s="218"/>
      <c r="E64" s="217"/>
      <c r="F64" s="220"/>
      <c r="G64" s="218"/>
      <c r="H64" s="219"/>
      <c r="I64" s="217"/>
      <c r="J64" s="220"/>
      <c r="K64" s="218"/>
      <c r="L64" s="219"/>
      <c r="M64" s="370"/>
    </row>
    <row r="65" spans="1:13" ht="11.25" customHeight="1">
      <c r="A65" s="181" t="s">
        <v>492</v>
      </c>
      <c r="B65" s="293"/>
      <c r="C65" s="203"/>
      <c r="D65" s="203"/>
      <c r="E65" s="202"/>
      <c r="F65" s="205"/>
      <c r="G65" s="203"/>
      <c r="H65" s="204"/>
      <c r="I65" s="202"/>
      <c r="J65" s="205"/>
      <c r="K65" s="203"/>
      <c r="L65" s="204"/>
      <c r="M65" s="370"/>
    </row>
    <row r="66" spans="1:13" ht="11.25" customHeight="1">
      <c r="A66" s="418" t="s">
        <v>1557</v>
      </c>
      <c r="B66" s="293"/>
      <c r="C66" s="1637">
        <v>141327862</v>
      </c>
      <c r="D66" s="1637">
        <v>126565838</v>
      </c>
      <c r="E66" s="1615">
        <v>206215739</v>
      </c>
      <c r="F66" s="1057">
        <v>515482861</v>
      </c>
      <c r="G66" s="1057">
        <v>625216559</v>
      </c>
      <c r="H66" s="1057">
        <v>625216559</v>
      </c>
      <c r="I66" s="1057">
        <v>625216559</v>
      </c>
      <c r="J66" s="1057">
        <v>693293000</v>
      </c>
      <c r="K66" s="1053">
        <v>811728000</v>
      </c>
      <c r="L66" s="1054">
        <v>879838000</v>
      </c>
      <c r="M66" s="370"/>
    </row>
    <row r="67" spans="1:13" ht="11.25" customHeight="1">
      <c r="A67" s="418" t="s">
        <v>544</v>
      </c>
      <c r="B67" s="293"/>
      <c r="C67" s="1637">
        <v>9335712</v>
      </c>
      <c r="D67" s="1637">
        <v>3122194</v>
      </c>
      <c r="E67" s="1615">
        <v>602947</v>
      </c>
      <c r="F67" s="1055">
        <v>5782086</v>
      </c>
      <c r="G67" s="1055">
        <v>343000</v>
      </c>
      <c r="H67" s="1055">
        <v>343000</v>
      </c>
      <c r="I67" s="1055">
        <v>343000</v>
      </c>
      <c r="J67" s="1055">
        <v>967500</v>
      </c>
      <c r="K67" s="1053">
        <v>349500</v>
      </c>
      <c r="L67" s="1054">
        <v>170000</v>
      </c>
      <c r="M67" s="370"/>
    </row>
    <row r="68" spans="1:13" ht="11.25" customHeight="1">
      <c r="A68" s="418" t="s">
        <v>545</v>
      </c>
      <c r="B68" s="293"/>
      <c r="C68" s="1638">
        <v>0</v>
      </c>
      <c r="D68" s="1638">
        <v>376756</v>
      </c>
      <c r="E68" s="1638">
        <v>889340</v>
      </c>
      <c r="F68" s="1640">
        <v>0</v>
      </c>
      <c r="G68" s="1640">
        <v>200000</v>
      </c>
      <c r="H68" s="1640">
        <v>200000</v>
      </c>
      <c r="I68" s="1640">
        <v>200000</v>
      </c>
      <c r="J68" s="1640">
        <v>0</v>
      </c>
      <c r="K68" s="1638">
        <v>0</v>
      </c>
      <c r="L68" s="1639">
        <v>0</v>
      </c>
      <c r="M68" s="370"/>
    </row>
    <row r="69" spans="1:13" ht="11.25" customHeight="1">
      <c r="A69" s="1281" t="s">
        <v>1040</v>
      </c>
      <c r="B69" s="293"/>
      <c r="C69" s="1641">
        <v>0</v>
      </c>
      <c r="D69" s="1641">
        <v>996229</v>
      </c>
      <c r="E69" s="1638">
        <v>0</v>
      </c>
      <c r="F69" s="1640">
        <v>0</v>
      </c>
      <c r="G69" s="1640">
        <v>0</v>
      </c>
      <c r="H69" s="1640">
        <v>0</v>
      </c>
      <c r="I69" s="1640">
        <v>0</v>
      </c>
      <c r="J69" s="1640">
        <v>0</v>
      </c>
      <c r="K69" s="1638">
        <v>0</v>
      </c>
      <c r="L69" s="1639">
        <v>0</v>
      </c>
      <c r="M69" s="370"/>
    </row>
    <row r="70" spans="1:13" ht="11.25" customHeight="1">
      <c r="A70" s="1548" t="s">
        <v>1348</v>
      </c>
      <c r="B70" s="293">
        <v>4</v>
      </c>
      <c r="C70" s="213">
        <f t="shared" ref="C70:L70" si="9">SUM(C66:C69)</f>
        <v>150663574</v>
      </c>
      <c r="D70" s="213">
        <f t="shared" si="9"/>
        <v>131061017</v>
      </c>
      <c r="E70" s="212">
        <f t="shared" si="9"/>
        <v>207708026</v>
      </c>
      <c r="F70" s="215">
        <f t="shared" si="9"/>
        <v>521264947</v>
      </c>
      <c r="G70" s="213">
        <f t="shared" si="9"/>
        <v>625759559</v>
      </c>
      <c r="H70" s="214">
        <f t="shared" si="9"/>
        <v>625759559</v>
      </c>
      <c r="I70" s="212">
        <f t="shared" si="9"/>
        <v>625759559</v>
      </c>
      <c r="J70" s="215">
        <f t="shared" si="9"/>
        <v>694260500</v>
      </c>
      <c r="K70" s="213">
        <f t="shared" si="9"/>
        <v>812077500</v>
      </c>
      <c r="L70" s="214">
        <f t="shared" si="9"/>
        <v>880008000</v>
      </c>
      <c r="M70" s="1553"/>
    </row>
    <row r="71" spans="1:13" ht="11.25" customHeight="1">
      <c r="A71" s="417" t="s">
        <v>459</v>
      </c>
      <c r="B71" s="293">
        <v>5</v>
      </c>
      <c r="C71" s="1637">
        <v>6355092</v>
      </c>
      <c r="D71" s="1637">
        <v>8878383</v>
      </c>
      <c r="E71" s="1637">
        <v>0</v>
      </c>
      <c r="F71" s="1055">
        <v>0</v>
      </c>
      <c r="G71" s="1055">
        <v>0</v>
      </c>
      <c r="H71" s="1055">
        <v>0</v>
      </c>
      <c r="I71" s="1055">
        <v>0</v>
      </c>
      <c r="J71" s="1055">
        <v>30000000</v>
      </c>
      <c r="K71" s="1053">
        <v>307500000</v>
      </c>
      <c r="L71" s="1054">
        <v>0</v>
      </c>
      <c r="M71" s="370"/>
    </row>
    <row r="72" spans="1:13" ht="11.25" customHeight="1">
      <c r="A72" s="417" t="s">
        <v>1284</v>
      </c>
      <c r="B72" s="293">
        <v>6</v>
      </c>
      <c r="C72" s="1637">
        <v>0</v>
      </c>
      <c r="D72" s="1637">
        <v>0</v>
      </c>
      <c r="E72" s="1637">
        <v>0</v>
      </c>
      <c r="F72" s="1055">
        <v>0</v>
      </c>
      <c r="G72" s="1055">
        <v>0</v>
      </c>
      <c r="H72" s="1055">
        <v>0</v>
      </c>
      <c r="I72" s="1055">
        <v>0</v>
      </c>
      <c r="J72" s="1055">
        <v>349325000</v>
      </c>
      <c r="K72" s="1053">
        <v>462500000</v>
      </c>
      <c r="L72" s="1054">
        <v>27500000</v>
      </c>
      <c r="M72" s="370"/>
    </row>
    <row r="73" spans="1:13" ht="11.25" customHeight="1">
      <c r="A73" s="417" t="s">
        <v>493</v>
      </c>
      <c r="B73" s="293"/>
      <c r="C73" s="1637">
        <f>84970861+1872</f>
        <v>84972733</v>
      </c>
      <c r="D73" s="1637">
        <f>69071612-177</f>
        <v>69071435</v>
      </c>
      <c r="E73" s="1615">
        <f>99939353+540</f>
        <v>99939893</v>
      </c>
      <c r="F73" s="1055">
        <f>367508037+25900000</f>
        <v>393408037</v>
      </c>
      <c r="G73" s="1055">
        <f>323989295+25900000</f>
        <v>349889295</v>
      </c>
      <c r="H73" s="1055">
        <f>323989295+25900000</f>
        <v>349889295</v>
      </c>
      <c r="I73" s="1055">
        <f>323989295+25900000</f>
        <v>349889295</v>
      </c>
      <c r="J73" s="1055">
        <v>240073681</v>
      </c>
      <c r="K73" s="1053">
        <v>228344148</v>
      </c>
      <c r="L73" s="1054">
        <v>134372000</v>
      </c>
      <c r="M73" s="370"/>
    </row>
    <row r="74" spans="1:13">
      <c r="A74" s="224" t="s">
        <v>783</v>
      </c>
      <c r="B74" s="306">
        <v>7</v>
      </c>
      <c r="C74" s="230">
        <f t="shared" ref="C74:L74" si="10">SUM(C70:C73)</f>
        <v>241991399</v>
      </c>
      <c r="D74" s="230">
        <f t="shared" si="10"/>
        <v>209010835</v>
      </c>
      <c r="E74" s="231">
        <f t="shared" si="10"/>
        <v>307647919</v>
      </c>
      <c r="F74" s="229">
        <f t="shared" si="10"/>
        <v>914672984</v>
      </c>
      <c r="G74" s="230">
        <f t="shared" si="10"/>
        <v>975648854</v>
      </c>
      <c r="H74" s="228">
        <f t="shared" si="10"/>
        <v>975648854</v>
      </c>
      <c r="I74" s="231">
        <f t="shared" si="10"/>
        <v>975648854</v>
      </c>
      <c r="J74" s="229">
        <f t="shared" si="10"/>
        <v>1313659181</v>
      </c>
      <c r="K74" s="230">
        <f t="shared" si="10"/>
        <v>1810421648</v>
      </c>
      <c r="L74" s="228">
        <f t="shared" si="10"/>
        <v>1041880000</v>
      </c>
      <c r="M74" s="370"/>
    </row>
    <row r="75" spans="1:13" s="709" customFormat="1">
      <c r="A75" s="1233" t="str">
        <f>head27a</f>
        <v>References</v>
      </c>
      <c r="B75" s="1194"/>
      <c r="C75" s="1197"/>
      <c r="D75" s="1197"/>
      <c r="E75" s="1197"/>
      <c r="F75" s="1197"/>
      <c r="G75" s="1197"/>
      <c r="H75" s="1197"/>
      <c r="I75" s="1197"/>
      <c r="J75" s="1197"/>
      <c r="K75" s="1197"/>
      <c r="L75" s="1197"/>
      <c r="M75" s="1087"/>
    </row>
    <row r="76" spans="1:13" s="709" customFormat="1" ht="12" customHeight="1">
      <c r="A76" s="1195" t="s">
        <v>194</v>
      </c>
      <c r="B76" s="1194"/>
      <c r="C76" s="1196"/>
      <c r="D76" s="1196"/>
      <c r="E76" s="1197"/>
      <c r="F76" s="1197"/>
      <c r="G76" s="1197"/>
      <c r="H76" s="1197"/>
      <c r="I76" s="1197"/>
      <c r="J76" s="1197"/>
      <c r="K76" s="1197"/>
      <c r="L76" s="1197"/>
      <c r="M76" s="1087"/>
    </row>
    <row r="77" spans="1:13" s="709" customFormat="1" ht="12" customHeight="1">
      <c r="A77" s="2782" t="s">
        <v>1041</v>
      </c>
      <c r="B77" s="2782"/>
      <c r="C77" s="2782"/>
      <c r="D77" s="2782"/>
      <c r="E77" s="2782"/>
      <c r="F77" s="2782"/>
      <c r="G77" s="2782"/>
      <c r="H77" s="2782"/>
      <c r="I77" s="2782"/>
      <c r="J77" s="2782"/>
      <c r="K77" s="2782"/>
      <c r="L77" s="2782"/>
      <c r="M77" s="1087"/>
    </row>
    <row r="78" spans="1:13" s="709" customFormat="1" ht="12" customHeight="1">
      <c r="A78" s="2782" t="s">
        <v>1042</v>
      </c>
      <c r="B78" s="2782"/>
      <c r="C78" s="2782"/>
      <c r="D78" s="2782"/>
      <c r="E78" s="2782"/>
      <c r="F78" s="2782"/>
      <c r="G78" s="2782"/>
      <c r="H78" s="2782"/>
      <c r="I78" s="2782"/>
      <c r="J78" s="2782"/>
      <c r="K78" s="2782"/>
      <c r="L78" s="2782"/>
      <c r="M78" s="1087"/>
    </row>
    <row r="79" spans="1:13" s="709" customFormat="1" ht="12" customHeight="1">
      <c r="A79" s="2783" t="s">
        <v>1043</v>
      </c>
      <c r="B79" s="2783"/>
      <c r="C79" s="2783"/>
      <c r="D79" s="2783"/>
      <c r="E79" s="2783"/>
      <c r="F79" s="2783"/>
      <c r="G79" s="2783"/>
      <c r="H79" s="2783"/>
      <c r="I79" s="2783"/>
      <c r="J79" s="2783"/>
      <c r="K79" s="2783"/>
      <c r="L79" s="2783"/>
      <c r="M79" s="1087"/>
    </row>
    <row r="80" spans="1:13" s="709" customFormat="1" ht="12" customHeight="1">
      <c r="A80" s="1195" t="s">
        <v>195</v>
      </c>
      <c r="B80" s="1267"/>
      <c r="C80" s="1267"/>
      <c r="D80" s="1267"/>
      <c r="E80" s="1267"/>
      <c r="F80" s="1267"/>
      <c r="G80" s="1267"/>
      <c r="H80" s="1267"/>
      <c r="I80" s="1267"/>
      <c r="J80" s="1267"/>
      <c r="K80" s="1267"/>
      <c r="L80" s="1267"/>
      <c r="M80" s="1087"/>
    </row>
    <row r="81" spans="1:13" s="709" customFormat="1" ht="12" customHeight="1">
      <c r="A81" s="1195" t="s">
        <v>1044</v>
      </c>
      <c r="B81" s="1267"/>
      <c r="C81" s="1267"/>
      <c r="D81" s="1267"/>
      <c r="E81" s="1267"/>
      <c r="F81" s="1267"/>
      <c r="G81" s="1267"/>
      <c r="H81" s="1267"/>
      <c r="I81" s="1267"/>
      <c r="J81" s="1267"/>
      <c r="K81" s="1267"/>
      <c r="L81" s="1267"/>
      <c r="M81" s="1087"/>
    </row>
    <row r="82" spans="1:13" s="709" customFormat="1" ht="12" customHeight="1">
      <c r="A82" s="1195" t="s">
        <v>196</v>
      </c>
      <c r="B82" s="1194"/>
      <c r="C82" s="1196"/>
      <c r="D82" s="1196"/>
      <c r="E82" s="1197"/>
      <c r="F82" s="1197"/>
      <c r="G82" s="1197"/>
      <c r="H82" s="1197"/>
      <c r="I82" s="1197"/>
      <c r="J82" s="1197"/>
      <c r="K82" s="1197"/>
      <c r="L82" s="1197"/>
      <c r="M82" s="1087"/>
    </row>
    <row r="83" spans="1:13" s="1061" customFormat="1" ht="12" customHeight="1">
      <c r="A83" s="2781" t="s">
        <v>1454</v>
      </c>
      <c r="B83" s="2781"/>
      <c r="C83" s="2781"/>
      <c r="D83" s="2781"/>
      <c r="E83" s="2781"/>
      <c r="F83" s="2781"/>
      <c r="G83" s="2781"/>
      <c r="H83" s="2781"/>
      <c r="I83" s="2781"/>
      <c r="J83" s="2781"/>
      <c r="K83" s="2781"/>
      <c r="L83" s="2781"/>
      <c r="M83" s="1554"/>
    </row>
    <row r="84" spans="1:13" s="1061" customFormat="1" ht="11.25" customHeight="1">
      <c r="M84" s="1554"/>
    </row>
    <row r="85" spans="1:13" ht="11.25" customHeight="1">
      <c r="A85" s="288" t="s">
        <v>296</v>
      </c>
      <c r="B85" s="243"/>
      <c r="C85" s="338">
        <f>C40-C74</f>
        <v>0</v>
      </c>
      <c r="D85" s="338">
        <f t="shared" ref="D85:L85" si="11">D40-D74</f>
        <v>0</v>
      </c>
      <c r="E85" s="339">
        <f t="shared" si="11"/>
        <v>0</v>
      </c>
      <c r="F85" s="340">
        <f t="shared" si="11"/>
        <v>0</v>
      </c>
      <c r="G85" s="339">
        <f t="shared" si="11"/>
        <v>0</v>
      </c>
      <c r="H85" s="339">
        <f t="shared" si="11"/>
        <v>0</v>
      </c>
      <c r="I85" s="339">
        <f t="shared" si="11"/>
        <v>0</v>
      </c>
      <c r="J85" s="339">
        <f t="shared" si="11"/>
        <v>0</v>
      </c>
      <c r="K85" s="339">
        <f t="shared" si="11"/>
        <v>0</v>
      </c>
      <c r="L85" s="339">
        <f t="shared" si="11"/>
        <v>0</v>
      </c>
    </row>
    <row r="86" spans="1:13" ht="11.25" customHeight="1">
      <c r="A86" s="288"/>
      <c r="C86" s="338"/>
      <c r="D86" s="338"/>
      <c r="E86" s="339"/>
      <c r="F86" s="340"/>
      <c r="G86" s="339"/>
      <c r="H86" s="339"/>
      <c r="I86" s="339"/>
      <c r="J86" s="339"/>
      <c r="K86" s="339"/>
      <c r="L86" s="339"/>
    </row>
    <row r="87" spans="1:13" ht="11.25" customHeight="1"/>
    <row r="88" spans="1:13" ht="11.25" customHeight="1"/>
    <row r="89" spans="1:13" ht="11.25" customHeight="1"/>
    <row r="90" spans="1:13" ht="11.25" customHeight="1"/>
    <row r="91" spans="1:13" ht="11.25" customHeight="1"/>
    <row r="92" spans="1:13" ht="11.25" customHeight="1"/>
    <row r="93" spans="1:13" ht="11.25" customHeight="1"/>
    <row r="94" spans="1:13" ht="11.25" customHeight="1"/>
    <row r="95" spans="1:13" ht="11.25" customHeight="1"/>
    <row r="96" spans="1:13"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sheetData>
  <sheetProtection password="C646" sheet="1" objects="1" scenarios="1"/>
  <mergeCells count="6">
    <mergeCell ref="J2:L2"/>
    <mergeCell ref="F2:I2"/>
    <mergeCell ref="A83:L83"/>
    <mergeCell ref="A78:L78"/>
    <mergeCell ref="A77:L77"/>
    <mergeCell ref="A79:L79"/>
  </mergeCells>
  <phoneticPr fontId="5" type="noConversion"/>
  <printOptions horizontalCentered="1"/>
  <pageMargins left="0" right="0" top="0.78740157480314965" bottom="0.59055118110236227" header="0.51181102362204722" footer="0.43307086614173229"/>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4"/>
    <pageSetUpPr fitToPage="1"/>
  </sheetPr>
  <dimension ref="A1:X345"/>
  <sheetViews>
    <sheetView showGridLines="0" showZeros="0" topLeftCell="A80" workbookViewId="0">
      <selection activeCell="V101" sqref="V101"/>
    </sheetView>
  </sheetViews>
  <sheetFormatPr baseColWidth="10" defaultColWidth="8.83203125" defaultRowHeight="10" x14ac:dyDescent="0"/>
  <cols>
    <col min="1" max="1" width="30.6640625" style="149" customWidth="1"/>
    <col min="2" max="2" width="5.5" style="247" customWidth="1"/>
    <col min="3" max="8" width="9.33203125" style="149" customWidth="1"/>
    <col min="9" max="9" width="9.1640625" style="149" customWidth="1"/>
    <col min="10" max="12" width="9.33203125" style="149" customWidth="1"/>
    <col min="13" max="13" width="3.5" style="149" customWidth="1"/>
    <col min="14" max="14" width="10.1640625" style="149" hidden="1" customWidth="1"/>
    <col min="15" max="15" width="9.83203125" style="149" hidden="1" customWidth="1"/>
    <col min="16" max="16" width="9.5" style="149" hidden="1" customWidth="1"/>
    <col min="17" max="17" width="10" style="149" hidden="1" customWidth="1"/>
    <col min="18" max="18" width="10.1640625" style="149" hidden="1" customWidth="1"/>
    <col min="19" max="19" width="9.83203125" style="149" hidden="1" customWidth="1"/>
    <col min="20" max="20" width="9.5" style="149" hidden="1" customWidth="1"/>
    <col min="21" max="21" width="10" style="149" hidden="1" customWidth="1"/>
    <col min="22" max="22" width="9.5" style="149" customWidth="1"/>
    <col min="23" max="24" width="9.83203125" style="149" customWidth="1"/>
    <col min="25" max="16384" width="8.83203125" style="149"/>
  </cols>
  <sheetData>
    <row r="1" spans="1:24" s="179" customFormat="1" ht="12">
      <c r="A1" s="147" t="str">
        <f>muni&amp;" - "&amp;Approve5</f>
        <v>NW373 Rustenburg - Table A5 Consolidated Budgeted Capital Expenditure by vote, standard classification and funding</v>
      </c>
      <c r="B1" s="147"/>
      <c r="C1" s="147"/>
      <c r="D1" s="147"/>
      <c r="E1" s="147"/>
      <c r="F1" s="147"/>
      <c r="G1" s="147"/>
      <c r="H1" s="147"/>
      <c r="I1" s="147"/>
      <c r="J1" s="147"/>
      <c r="K1" s="147"/>
      <c r="L1" s="147"/>
    </row>
    <row r="2" spans="1:24" ht="28.5" customHeight="1">
      <c r="A2" s="975" t="str">
        <f>Vdesc</f>
        <v>Vote 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c r="N2" s="2762" t="s">
        <v>2222</v>
      </c>
      <c r="O2" s="2763"/>
      <c r="P2" s="2763"/>
      <c r="Q2" s="2764"/>
      <c r="R2" s="2762" t="s">
        <v>2223</v>
      </c>
      <c r="S2" s="2763"/>
      <c r="T2" s="2763"/>
      <c r="U2" s="2764"/>
      <c r="V2" s="2762" t="s">
        <v>2224</v>
      </c>
      <c r="W2" s="2763"/>
      <c r="X2" s="2764"/>
    </row>
    <row r="3" spans="1:24" ht="30">
      <c r="A3" s="180" t="s">
        <v>667</v>
      </c>
      <c r="B3" s="290">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c r="N3" s="299" t="s">
        <v>2225</v>
      </c>
      <c r="O3" s="390" t="s">
        <v>2226</v>
      </c>
      <c r="P3" s="391" t="s">
        <v>2231</v>
      </c>
      <c r="Q3" s="389" t="s">
        <v>2227</v>
      </c>
      <c r="R3" s="299" t="s">
        <v>2225</v>
      </c>
      <c r="S3" s="390" t="s">
        <v>2226</v>
      </c>
      <c r="T3" s="389" t="s">
        <v>2231</v>
      </c>
      <c r="U3" s="2200" t="s">
        <v>2227</v>
      </c>
      <c r="V3" s="389" t="str">
        <f>Head9</f>
        <v>Budget Year 2013/14</v>
      </c>
      <c r="W3" s="390" t="str">
        <f>Head10</f>
        <v>Budget Year +1 2014/15</v>
      </c>
      <c r="X3" s="391" t="str">
        <f>Head11</f>
        <v>Budget Year +2 2015/16</v>
      </c>
    </row>
    <row r="4" spans="1:24">
      <c r="A4" s="181" t="s">
        <v>1817</v>
      </c>
      <c r="B4" s="291"/>
      <c r="C4" s="311"/>
      <c r="D4" s="311"/>
      <c r="E4" s="312"/>
      <c r="F4" s="313"/>
      <c r="G4" s="311"/>
      <c r="H4" s="314"/>
      <c r="I4" s="312"/>
      <c r="J4" s="341"/>
      <c r="K4" s="311"/>
      <c r="L4" s="863"/>
      <c r="N4" s="313"/>
      <c r="O4" s="311"/>
      <c r="P4" s="314"/>
      <c r="Q4" s="312"/>
      <c r="R4" s="313"/>
      <c r="S4" s="311"/>
      <c r="T4" s="312"/>
      <c r="U4" s="420"/>
      <c r="V4" s="312"/>
      <c r="W4" s="311"/>
      <c r="X4" s="863"/>
    </row>
    <row r="5" spans="1:24" ht="11.25" customHeight="1">
      <c r="A5" s="181" t="s">
        <v>387</v>
      </c>
      <c r="B5" s="293">
        <v>2</v>
      </c>
      <c r="C5" s="315"/>
      <c r="D5" s="315"/>
      <c r="E5" s="316"/>
      <c r="F5" s="317"/>
      <c r="G5" s="315"/>
      <c r="H5" s="318"/>
      <c r="I5" s="316"/>
      <c r="J5" s="406"/>
      <c r="K5" s="315"/>
      <c r="L5" s="993"/>
      <c r="N5" s="317"/>
      <c r="O5" s="315"/>
      <c r="P5" s="318"/>
      <c r="Q5" s="316"/>
      <c r="R5" s="317"/>
      <c r="S5" s="315"/>
      <c r="T5" s="316"/>
      <c r="U5" s="932"/>
      <c r="V5" s="316"/>
      <c r="W5" s="315"/>
      <c r="X5" s="993"/>
    </row>
    <row r="6" spans="1:24" ht="15" customHeight="1">
      <c r="A6" s="1169" t="str">
        <f>'Org structure'!A2</f>
        <v>Vote 1 - EXECUTIVE MAYOR</v>
      </c>
      <c r="B6" s="981"/>
      <c r="C6" s="976">
        <f>SUM(C7:C16)</f>
        <v>4661275</v>
      </c>
      <c r="D6" s="976">
        <f t="shared" ref="D6:L6" si="0">SUM(D7:D16)</f>
        <v>19987839</v>
      </c>
      <c r="E6" s="977">
        <f t="shared" si="0"/>
        <v>79817</v>
      </c>
      <c r="F6" s="978">
        <f t="shared" si="0"/>
        <v>2807857</v>
      </c>
      <c r="G6" s="976">
        <f t="shared" si="0"/>
        <v>1137374</v>
      </c>
      <c r="H6" s="977">
        <f t="shared" si="0"/>
        <v>1137374</v>
      </c>
      <c r="I6" s="943">
        <f>SUM(I7:I16)</f>
        <v>1137374</v>
      </c>
      <c r="J6" s="980">
        <f t="shared" si="0"/>
        <v>211000</v>
      </c>
      <c r="K6" s="976">
        <f t="shared" si="0"/>
        <v>100000</v>
      </c>
      <c r="L6" s="2465">
        <f t="shared" si="0"/>
        <v>100000</v>
      </c>
      <c r="M6" s="1172"/>
      <c r="N6" s="978">
        <f t="shared" ref="N6:U6" si="1">SUM(N7:N16)</f>
        <v>0</v>
      </c>
      <c r="O6" s="976">
        <f t="shared" si="1"/>
        <v>0</v>
      </c>
      <c r="P6" s="977">
        <f t="shared" si="1"/>
        <v>0</v>
      </c>
      <c r="Q6" s="977">
        <f t="shared" si="1"/>
        <v>0</v>
      </c>
      <c r="R6" s="978">
        <f t="shared" si="1"/>
        <v>0</v>
      </c>
      <c r="S6" s="976">
        <f t="shared" si="1"/>
        <v>0</v>
      </c>
      <c r="T6" s="2463">
        <f t="shared" si="1"/>
        <v>0</v>
      </c>
      <c r="U6" s="2459">
        <f t="shared" si="1"/>
        <v>0</v>
      </c>
      <c r="V6" s="979">
        <f>SUM(V7:V16)</f>
        <v>211000</v>
      </c>
      <c r="W6" s="976">
        <f>SUM(W7:W16)</f>
        <v>100000</v>
      </c>
      <c r="X6" s="2465">
        <f>SUM(X7:X16)</f>
        <v>100000</v>
      </c>
    </row>
    <row r="7" spans="1:24" ht="11.25" customHeight="1">
      <c r="A7" s="1170" t="str">
        <f>'Org structure'!E3</f>
        <v>1.1 - 001 - OFFICE OF THE EXECUTIVE MAYOR</v>
      </c>
      <c r="B7" s="293"/>
      <c r="C7" s="1052">
        <v>0</v>
      </c>
      <c r="D7" s="1635">
        <v>0</v>
      </c>
      <c r="E7" s="1051">
        <v>0</v>
      </c>
      <c r="F7" s="1051">
        <v>0</v>
      </c>
      <c r="G7" s="1628">
        <v>0</v>
      </c>
      <c r="H7" s="1629"/>
      <c r="I7" s="2537"/>
      <c r="J7" s="2466">
        <f>Q7+V7</f>
        <v>0</v>
      </c>
      <c r="K7" s="942">
        <f>U7+W7</f>
        <v>0</v>
      </c>
      <c r="L7" s="2467">
        <f>X7</f>
        <v>0</v>
      </c>
      <c r="M7" s="1171"/>
      <c r="N7" s="1630"/>
      <c r="O7" s="1628"/>
      <c r="P7" s="1629"/>
      <c r="Q7" s="978">
        <f>SUM(N7:P7)</f>
        <v>0</v>
      </c>
      <c r="R7" s="1051">
        <v>0</v>
      </c>
      <c r="S7" s="1049">
        <v>0</v>
      </c>
      <c r="T7" s="1050">
        <v>0</v>
      </c>
      <c r="U7" s="2459">
        <f>SUM(R7:T7)</f>
        <v>0</v>
      </c>
      <c r="V7" s="1051">
        <v>0</v>
      </c>
      <c r="W7" s="1049">
        <v>0</v>
      </c>
      <c r="X7" s="1050">
        <v>0</v>
      </c>
    </row>
    <row r="8" spans="1:24" ht="11.25" customHeight="1">
      <c r="A8" s="1170" t="str">
        <f>'Org structure'!E4</f>
        <v>1.2 - 002 - OFFICE OF THE SPEAKER</v>
      </c>
      <c r="B8" s="293"/>
      <c r="C8" s="1052">
        <v>0</v>
      </c>
      <c r="D8" s="1629">
        <v>0</v>
      </c>
      <c r="E8" s="1051">
        <v>0</v>
      </c>
      <c r="F8" s="1051">
        <v>0</v>
      </c>
      <c r="G8" s="1628">
        <v>0</v>
      </c>
      <c r="H8" s="1629"/>
      <c r="I8" s="2537"/>
      <c r="J8" s="2466">
        <f>Q8+V8</f>
        <v>0</v>
      </c>
      <c r="K8" s="942">
        <f>U8+W8</f>
        <v>0</v>
      </c>
      <c r="L8" s="2467">
        <f t="shared" ref="L8:L16" si="2">X8</f>
        <v>0</v>
      </c>
      <c r="M8" s="1171"/>
      <c r="N8" s="1630"/>
      <c r="O8" s="1628"/>
      <c r="P8" s="1629"/>
      <c r="Q8" s="978">
        <f t="shared" ref="Q8:Q16" si="3">SUM(N8:P8)</f>
        <v>0</v>
      </c>
      <c r="R8" s="1051">
        <v>0</v>
      </c>
      <c r="S8" s="1049">
        <v>0</v>
      </c>
      <c r="T8" s="1050">
        <v>0</v>
      </c>
      <c r="U8" s="2459">
        <f t="shared" ref="U8:U72" si="4">SUM(R8:T8)</f>
        <v>0</v>
      </c>
      <c r="V8" s="1051">
        <v>0</v>
      </c>
      <c r="W8" s="1049">
        <v>0</v>
      </c>
      <c r="X8" s="1050">
        <v>0</v>
      </c>
    </row>
    <row r="9" spans="1:24" ht="11.25" customHeight="1">
      <c r="A9" s="1170" t="str">
        <f>'Org structure'!E5</f>
        <v>1.3 - 003 - MAYORAL COMMITTEE</v>
      </c>
      <c r="B9" s="293"/>
      <c r="C9" s="1052">
        <v>0</v>
      </c>
      <c r="D9" s="1629">
        <v>0</v>
      </c>
      <c r="E9" s="1051">
        <v>0</v>
      </c>
      <c r="F9" s="1051">
        <v>0</v>
      </c>
      <c r="G9" s="1628">
        <v>0</v>
      </c>
      <c r="H9" s="1629"/>
      <c r="I9" s="2537"/>
      <c r="J9" s="2466">
        <f t="shared" ref="J9:J16" si="5">Q9+V9</f>
        <v>0</v>
      </c>
      <c r="K9" s="942">
        <f t="shared" ref="K9:K16" si="6">U9+W9</f>
        <v>0</v>
      </c>
      <c r="L9" s="2467">
        <f t="shared" si="2"/>
        <v>0</v>
      </c>
      <c r="M9" s="1171"/>
      <c r="N9" s="1630"/>
      <c r="O9" s="1628"/>
      <c r="P9" s="1629"/>
      <c r="Q9" s="978">
        <f t="shared" si="3"/>
        <v>0</v>
      </c>
      <c r="R9" s="1051">
        <v>0</v>
      </c>
      <c r="S9" s="1049">
        <v>0</v>
      </c>
      <c r="T9" s="1050">
        <v>0</v>
      </c>
      <c r="U9" s="2459">
        <f t="shared" si="4"/>
        <v>0</v>
      </c>
      <c r="V9" s="1051">
        <v>0</v>
      </c>
      <c r="W9" s="1049">
        <v>0</v>
      </c>
      <c r="X9" s="1050">
        <v>0</v>
      </c>
    </row>
    <row r="10" spans="1:24" ht="11.25" customHeight="1">
      <c r="A10" s="1170" t="str">
        <f>'Org structure'!E6</f>
        <v>1.4 - 004 - COUNCIL GENERAL</v>
      </c>
      <c r="B10" s="293"/>
      <c r="C10" s="1052">
        <v>4661275</v>
      </c>
      <c r="D10" s="1629">
        <v>19987839</v>
      </c>
      <c r="E10" s="1051">
        <v>79817</v>
      </c>
      <c r="F10" s="1051">
        <v>2807857</v>
      </c>
      <c r="G10" s="1628">
        <v>1137374</v>
      </c>
      <c r="H10" s="1628">
        <v>1137374</v>
      </c>
      <c r="I10" s="1628">
        <v>1137374</v>
      </c>
      <c r="J10" s="2466">
        <f t="shared" si="5"/>
        <v>211000</v>
      </c>
      <c r="K10" s="942">
        <f t="shared" si="6"/>
        <v>100000</v>
      </c>
      <c r="L10" s="2467">
        <f t="shared" si="2"/>
        <v>100000</v>
      </c>
      <c r="M10" s="1171"/>
      <c r="N10" s="1630"/>
      <c r="O10" s="1628"/>
      <c r="P10" s="1629"/>
      <c r="Q10" s="978">
        <f t="shared" si="3"/>
        <v>0</v>
      </c>
      <c r="R10" s="1051">
        <v>0</v>
      </c>
      <c r="S10" s="1049">
        <v>0</v>
      </c>
      <c r="T10" s="1050">
        <v>0</v>
      </c>
      <c r="U10" s="2459">
        <f t="shared" si="4"/>
        <v>0</v>
      </c>
      <c r="V10" s="1051">
        <v>211000</v>
      </c>
      <c r="W10" s="1049">
        <v>100000</v>
      </c>
      <c r="X10" s="1050">
        <v>100000</v>
      </c>
    </row>
    <row r="11" spans="1:24" ht="11.25" customHeight="1">
      <c r="A11" s="1170" t="str">
        <f>'Org structure'!E7</f>
        <v>1.5 - 005 - OFFICE OF THE CHIEF WHIP</v>
      </c>
      <c r="B11" s="293"/>
      <c r="C11" s="1052">
        <v>0</v>
      </c>
      <c r="D11" s="1629">
        <v>0</v>
      </c>
      <c r="E11" s="1051">
        <v>0</v>
      </c>
      <c r="F11" s="1051">
        <v>0</v>
      </c>
      <c r="G11" s="1628">
        <v>0</v>
      </c>
      <c r="H11" s="1629"/>
      <c r="I11" s="2537"/>
      <c r="J11" s="2466">
        <f t="shared" si="5"/>
        <v>0</v>
      </c>
      <c r="K11" s="942">
        <f t="shared" si="6"/>
        <v>0</v>
      </c>
      <c r="L11" s="2467">
        <f>X11</f>
        <v>0</v>
      </c>
      <c r="M11" s="1171"/>
      <c r="N11" s="1630"/>
      <c r="O11" s="1628"/>
      <c r="P11" s="1629"/>
      <c r="Q11" s="978">
        <f t="shared" si="3"/>
        <v>0</v>
      </c>
      <c r="R11" s="1051">
        <v>0</v>
      </c>
      <c r="S11" s="1049">
        <v>0</v>
      </c>
      <c r="T11" s="1050">
        <v>0</v>
      </c>
      <c r="U11" s="2459">
        <f t="shared" si="4"/>
        <v>0</v>
      </c>
      <c r="V11" s="1051">
        <v>0</v>
      </c>
      <c r="W11" s="1049">
        <v>0</v>
      </c>
      <c r="X11" s="1050">
        <v>0</v>
      </c>
    </row>
    <row r="12" spans="1:24" ht="11.25" customHeight="1">
      <c r="A12" s="1170" t="str">
        <f>'Org structure'!E8</f>
        <v>1.6 - 006 - INTERGOVERNMENTAL RELATIONS</v>
      </c>
      <c r="B12" s="293"/>
      <c r="C12" s="1052">
        <v>0</v>
      </c>
      <c r="D12" s="1629">
        <v>0</v>
      </c>
      <c r="E12" s="1051">
        <v>0</v>
      </c>
      <c r="F12" s="1051">
        <v>0</v>
      </c>
      <c r="G12" s="1628">
        <v>0</v>
      </c>
      <c r="H12" s="1629"/>
      <c r="I12" s="2537"/>
      <c r="J12" s="2466">
        <f t="shared" si="5"/>
        <v>0</v>
      </c>
      <c r="K12" s="942">
        <f t="shared" si="6"/>
        <v>0</v>
      </c>
      <c r="L12" s="2467">
        <f t="shared" si="2"/>
        <v>0</v>
      </c>
      <c r="M12" s="1171"/>
      <c r="N12" s="1630"/>
      <c r="O12" s="1628"/>
      <c r="P12" s="1629"/>
      <c r="Q12" s="978">
        <f t="shared" si="3"/>
        <v>0</v>
      </c>
      <c r="R12" s="1051">
        <v>0</v>
      </c>
      <c r="S12" s="1049">
        <v>0</v>
      </c>
      <c r="T12" s="1050">
        <v>0</v>
      </c>
      <c r="U12" s="2459">
        <f t="shared" si="4"/>
        <v>0</v>
      </c>
      <c r="V12" s="1051">
        <v>0</v>
      </c>
      <c r="W12" s="1049">
        <v>0</v>
      </c>
      <c r="X12" s="1050">
        <v>0</v>
      </c>
    </row>
    <row r="13" spans="1:24" ht="11.25" customHeight="1">
      <c r="A13" s="1170" t="str">
        <f>'Org structure'!E9</f>
        <v>1.7 - 007 - OFFICE OF THE MUNICIPAL PUBLIC ACCOUNTS</v>
      </c>
      <c r="B13" s="293"/>
      <c r="C13" s="1628"/>
      <c r="D13" s="1629"/>
      <c r="E13" s="1630"/>
      <c r="F13" s="1630"/>
      <c r="G13" s="1628"/>
      <c r="H13" s="1629"/>
      <c r="I13" s="2537"/>
      <c r="J13" s="2466">
        <f t="shared" si="5"/>
        <v>0</v>
      </c>
      <c r="K13" s="942">
        <f t="shared" si="6"/>
        <v>0</v>
      </c>
      <c r="L13" s="2467">
        <f t="shared" si="2"/>
        <v>0</v>
      </c>
      <c r="M13" s="1171"/>
      <c r="N13" s="1630"/>
      <c r="O13" s="1628"/>
      <c r="P13" s="1629"/>
      <c r="Q13" s="978">
        <f t="shared" si="3"/>
        <v>0</v>
      </c>
      <c r="R13" s="1630"/>
      <c r="S13" s="1628"/>
      <c r="T13" s="1631"/>
      <c r="U13" s="2459">
        <f t="shared" si="4"/>
        <v>0</v>
      </c>
      <c r="V13" s="1630"/>
      <c r="W13" s="1628"/>
      <c r="X13" s="1629"/>
    </row>
    <row r="14" spans="1:24" ht="11.25" customHeight="1">
      <c r="A14" s="1170">
        <f>'Org structure'!E10</f>
        <v>0</v>
      </c>
      <c r="B14" s="293"/>
      <c r="C14" s="1628"/>
      <c r="D14" s="1628"/>
      <c r="E14" s="1629"/>
      <c r="F14" s="1630"/>
      <c r="G14" s="1628"/>
      <c r="H14" s="1629"/>
      <c r="I14" s="1631"/>
      <c r="J14" s="2466">
        <f t="shared" si="5"/>
        <v>0</v>
      </c>
      <c r="K14" s="942">
        <f t="shared" si="6"/>
        <v>0</v>
      </c>
      <c r="L14" s="2467">
        <f t="shared" si="2"/>
        <v>0</v>
      </c>
      <c r="M14" s="1171"/>
      <c r="N14" s="1630"/>
      <c r="O14" s="1628"/>
      <c r="P14" s="1629"/>
      <c r="Q14" s="978">
        <f t="shared" si="3"/>
        <v>0</v>
      </c>
      <c r="R14" s="1630"/>
      <c r="S14" s="1628"/>
      <c r="T14" s="1631"/>
      <c r="U14" s="2459">
        <f t="shared" si="4"/>
        <v>0</v>
      </c>
      <c r="V14" s="1631"/>
      <c r="W14" s="1628"/>
      <c r="X14" s="1633"/>
    </row>
    <row r="15" spans="1:24" ht="11.25" customHeight="1">
      <c r="A15" s="1170">
        <f>'Org structure'!E11</f>
        <v>0</v>
      </c>
      <c r="B15" s="293"/>
      <c r="C15" s="1628"/>
      <c r="D15" s="1628"/>
      <c r="E15" s="1629"/>
      <c r="F15" s="1630"/>
      <c r="G15" s="1628"/>
      <c r="H15" s="1629"/>
      <c r="I15" s="1631"/>
      <c r="J15" s="2466">
        <f t="shared" si="5"/>
        <v>0</v>
      </c>
      <c r="K15" s="942">
        <f t="shared" si="6"/>
        <v>0</v>
      </c>
      <c r="L15" s="2467">
        <f t="shared" si="2"/>
        <v>0</v>
      </c>
      <c r="M15" s="1171"/>
      <c r="N15" s="1630"/>
      <c r="O15" s="1628"/>
      <c r="P15" s="1629"/>
      <c r="Q15" s="978">
        <f t="shared" si="3"/>
        <v>0</v>
      </c>
      <c r="R15" s="1630"/>
      <c r="S15" s="1628"/>
      <c r="T15" s="1631"/>
      <c r="U15" s="2459">
        <f t="shared" si="4"/>
        <v>0</v>
      </c>
      <c r="V15" s="1631"/>
      <c r="W15" s="1628"/>
      <c r="X15" s="1633"/>
    </row>
    <row r="16" spans="1:24" ht="11.25" customHeight="1">
      <c r="A16" s="1170">
        <f>'Org structure'!E12</f>
        <v>0</v>
      </c>
      <c r="B16" s="293"/>
      <c r="C16" s="1628"/>
      <c r="D16" s="1628"/>
      <c r="E16" s="1629"/>
      <c r="F16" s="1630"/>
      <c r="G16" s="1628"/>
      <c r="H16" s="1629"/>
      <c r="I16" s="1631"/>
      <c r="J16" s="2466">
        <f t="shared" si="5"/>
        <v>0</v>
      </c>
      <c r="K16" s="942">
        <f t="shared" si="6"/>
        <v>0</v>
      </c>
      <c r="L16" s="2467">
        <f t="shared" si="2"/>
        <v>0</v>
      </c>
      <c r="M16" s="320"/>
      <c r="N16" s="1630"/>
      <c r="O16" s="1628"/>
      <c r="P16" s="1629"/>
      <c r="Q16" s="978">
        <f t="shared" si="3"/>
        <v>0</v>
      </c>
      <c r="R16" s="1630"/>
      <c r="S16" s="1628"/>
      <c r="T16" s="1631"/>
      <c r="U16" s="2459">
        <f t="shared" si="4"/>
        <v>0</v>
      </c>
      <c r="V16" s="1631"/>
      <c r="W16" s="1628"/>
      <c r="X16" s="1633"/>
    </row>
    <row r="17" spans="1:24" ht="15" customHeight="1">
      <c r="A17" s="1169" t="str">
        <f>'Org structure'!A3</f>
        <v>Vote 2 - MUNICIPAL MANAGER</v>
      </c>
      <c r="B17" s="981"/>
      <c r="C17" s="976">
        <f t="shared" ref="C17:I17" si="7">SUM(C18:C27)</f>
        <v>6544555</v>
      </c>
      <c r="D17" s="976">
        <f t="shared" si="7"/>
        <v>0</v>
      </c>
      <c r="E17" s="977">
        <f t="shared" si="7"/>
        <v>412601</v>
      </c>
      <c r="F17" s="978">
        <f t="shared" si="7"/>
        <v>323800</v>
      </c>
      <c r="G17" s="976">
        <f t="shared" si="7"/>
        <v>483800</v>
      </c>
      <c r="H17" s="977">
        <f t="shared" si="7"/>
        <v>483800</v>
      </c>
      <c r="I17" s="979">
        <f t="shared" si="7"/>
        <v>483800</v>
      </c>
      <c r="J17" s="2466">
        <f>SUM(J18:J28)</f>
        <v>452650</v>
      </c>
      <c r="K17" s="2466">
        <f>SUM(K18:K28)</f>
        <v>142200</v>
      </c>
      <c r="L17" s="2466">
        <f>SUM(L18:L28)</f>
        <v>100000</v>
      </c>
      <c r="M17" s="1173"/>
      <c r="N17" s="978">
        <f t="shared" ref="N17:U17" si="8">SUM(N18:N27)</f>
        <v>0</v>
      </c>
      <c r="O17" s="976">
        <f t="shared" si="8"/>
        <v>0</v>
      </c>
      <c r="P17" s="977">
        <f t="shared" si="8"/>
        <v>0</v>
      </c>
      <c r="Q17" s="978">
        <f t="shared" si="8"/>
        <v>0</v>
      </c>
      <c r="R17" s="978">
        <f t="shared" si="8"/>
        <v>0</v>
      </c>
      <c r="S17" s="976">
        <f t="shared" si="8"/>
        <v>0</v>
      </c>
      <c r="T17" s="2463">
        <f t="shared" si="8"/>
        <v>0</v>
      </c>
      <c r="U17" s="2459">
        <f t="shared" si="8"/>
        <v>0</v>
      </c>
      <c r="V17" s="2464">
        <f>SUM(V18:V28)</f>
        <v>452650</v>
      </c>
      <c r="W17" s="2464">
        <f>SUM(W18:W28)</f>
        <v>142200</v>
      </c>
      <c r="X17" s="2464">
        <f>SUM(X18:X28)</f>
        <v>100000</v>
      </c>
    </row>
    <row r="18" spans="1:24" ht="11.25" customHeight="1">
      <c r="A18" s="1170" t="str">
        <f>'Org structure'!E14</f>
        <v>2.1 - 010 - OFFICE OF THE MUNICIPAL MANAGER</v>
      </c>
      <c r="B18" s="293"/>
      <c r="C18" s="1052">
        <v>6544555</v>
      </c>
      <c r="D18" s="1629">
        <v>0</v>
      </c>
      <c r="E18" s="1051">
        <v>412601</v>
      </c>
      <c r="F18" s="1051">
        <v>170000</v>
      </c>
      <c r="G18" s="1628">
        <v>170000</v>
      </c>
      <c r="H18" s="1629">
        <v>170000</v>
      </c>
      <c r="I18" s="1629">
        <v>170000</v>
      </c>
      <c r="J18" s="2466">
        <f t="shared" ref="J18:J27" si="9">Q18+V18</f>
        <v>0</v>
      </c>
      <c r="K18" s="942">
        <f t="shared" ref="K18:K27" si="10">U18+W18</f>
        <v>0</v>
      </c>
      <c r="L18" s="2467">
        <f t="shared" ref="L18:L27" si="11">X18</f>
        <v>0</v>
      </c>
      <c r="M18" s="1171"/>
      <c r="N18" s="1630"/>
      <c r="O18" s="1628"/>
      <c r="P18" s="1629"/>
      <c r="Q18" s="978">
        <f t="shared" ref="Q18:Q27" si="12">SUM(N18:P18)</f>
        <v>0</v>
      </c>
      <c r="R18" s="1630"/>
      <c r="S18" s="1628"/>
      <c r="T18" s="1631"/>
      <c r="U18" s="2459">
        <f t="shared" si="4"/>
        <v>0</v>
      </c>
      <c r="V18" s="1049">
        <v>0</v>
      </c>
      <c r="W18" s="1050">
        <v>0</v>
      </c>
      <c r="X18" s="1050">
        <v>0</v>
      </c>
    </row>
    <row r="19" spans="1:24" ht="11.25" customHeight="1">
      <c r="A19" s="1170" t="str">
        <f>'Org structure'!E15</f>
        <v>2.2 - 011 - INTERNAL AUDITING</v>
      </c>
      <c r="B19" s="293"/>
      <c r="C19" s="1052">
        <v>0</v>
      </c>
      <c r="D19" s="1629">
        <v>0</v>
      </c>
      <c r="E19" s="1051">
        <v>0</v>
      </c>
      <c r="F19" s="1051">
        <v>0</v>
      </c>
      <c r="G19" s="1628">
        <v>0</v>
      </c>
      <c r="H19" s="1629">
        <v>0</v>
      </c>
      <c r="I19" s="1629">
        <v>0</v>
      </c>
      <c r="J19" s="2466">
        <f>Q19+V19</f>
        <v>52650</v>
      </c>
      <c r="K19" s="942">
        <f>U19+W19</f>
        <v>42200</v>
      </c>
      <c r="L19" s="2467">
        <f t="shared" si="11"/>
        <v>0</v>
      </c>
      <c r="M19" s="1171"/>
      <c r="N19" s="1630"/>
      <c r="O19" s="1628"/>
      <c r="P19" s="1629"/>
      <c r="Q19" s="978">
        <f t="shared" si="12"/>
        <v>0</v>
      </c>
      <c r="R19" s="1630"/>
      <c r="S19" s="1628"/>
      <c r="T19" s="1631"/>
      <c r="U19" s="2459">
        <f t="shared" si="4"/>
        <v>0</v>
      </c>
      <c r="V19" s="1049">
        <v>52650</v>
      </c>
      <c r="W19" s="1050">
        <v>42200</v>
      </c>
      <c r="X19" s="1050">
        <v>0</v>
      </c>
    </row>
    <row r="20" spans="1:24" ht="11.25" customHeight="1">
      <c r="A20" s="1170" t="str">
        <f>'Org structure'!E16</f>
        <v>2.3 - 012 - INTEGRATED DEVELOPMENT PLAN (IDP)</v>
      </c>
      <c r="B20" s="293"/>
      <c r="C20" s="1052">
        <v>0</v>
      </c>
      <c r="D20" s="1629">
        <v>0</v>
      </c>
      <c r="E20" s="1051">
        <v>0</v>
      </c>
      <c r="F20" s="1051">
        <v>34000</v>
      </c>
      <c r="G20" s="1628">
        <v>34000</v>
      </c>
      <c r="H20" s="1629">
        <v>34000</v>
      </c>
      <c r="I20" s="1629">
        <v>34000</v>
      </c>
      <c r="J20" s="2466">
        <f t="shared" si="9"/>
        <v>0</v>
      </c>
      <c r="K20" s="942">
        <f t="shared" si="10"/>
        <v>0</v>
      </c>
      <c r="L20" s="2467">
        <f t="shared" si="11"/>
        <v>0</v>
      </c>
      <c r="M20" s="1171"/>
      <c r="N20" s="1630"/>
      <c r="O20" s="1628"/>
      <c r="P20" s="1629"/>
      <c r="Q20" s="978">
        <f t="shared" si="12"/>
        <v>0</v>
      </c>
      <c r="R20" s="1630"/>
      <c r="S20" s="1628"/>
      <c r="T20" s="1631"/>
      <c r="U20" s="2459">
        <f t="shared" si="4"/>
        <v>0</v>
      </c>
      <c r="V20" s="1049">
        <v>0</v>
      </c>
      <c r="W20" s="1050">
        <v>0</v>
      </c>
      <c r="X20" s="1050">
        <v>0</v>
      </c>
    </row>
    <row r="21" spans="1:24" ht="11.25" customHeight="1">
      <c r="A21" s="1170" t="str">
        <f>'Org structure'!E17</f>
        <v>2.4 - 013 - CORPORATE ADVISORY</v>
      </c>
      <c r="B21" s="293"/>
      <c r="C21" s="1052">
        <v>0</v>
      </c>
      <c r="D21" s="1629">
        <v>0</v>
      </c>
      <c r="E21" s="1051">
        <v>0</v>
      </c>
      <c r="F21" s="1051">
        <v>0</v>
      </c>
      <c r="G21" s="1628">
        <v>0</v>
      </c>
      <c r="H21" s="1629">
        <v>0</v>
      </c>
      <c r="I21" s="1629">
        <v>0</v>
      </c>
      <c r="J21" s="2466">
        <f t="shared" si="9"/>
        <v>0</v>
      </c>
      <c r="K21" s="942">
        <f>U21+W21</f>
        <v>0</v>
      </c>
      <c r="L21" s="2467">
        <f t="shared" si="11"/>
        <v>0</v>
      </c>
      <c r="M21" s="1171"/>
      <c r="N21" s="1630"/>
      <c r="O21" s="1628"/>
      <c r="P21" s="1629"/>
      <c r="Q21" s="978">
        <f t="shared" si="12"/>
        <v>0</v>
      </c>
      <c r="R21" s="1630"/>
      <c r="S21" s="1628"/>
      <c r="T21" s="1631"/>
      <c r="U21" s="2459">
        <f t="shared" si="4"/>
        <v>0</v>
      </c>
      <c r="V21" s="1049">
        <v>0</v>
      </c>
      <c r="W21" s="1050">
        <v>0</v>
      </c>
      <c r="X21" s="1050">
        <v>0</v>
      </c>
    </row>
    <row r="22" spans="1:24" ht="11.25" customHeight="1">
      <c r="A22" s="1170" t="str">
        <f>'Org structure'!E18</f>
        <v>2.5 - 014 - PERFORMANCE MANAGEMENT SYSTEM</v>
      </c>
      <c r="B22" s="293"/>
      <c r="C22" s="1052">
        <v>0</v>
      </c>
      <c r="D22" s="1629">
        <v>0</v>
      </c>
      <c r="E22" s="1051">
        <v>0</v>
      </c>
      <c r="F22" s="1051">
        <v>0</v>
      </c>
      <c r="G22" s="1628">
        <v>0</v>
      </c>
      <c r="H22" s="1629">
        <v>0</v>
      </c>
      <c r="I22" s="1629">
        <v>0</v>
      </c>
      <c r="J22" s="2466">
        <f t="shared" si="9"/>
        <v>0</v>
      </c>
      <c r="K22" s="942">
        <f t="shared" si="10"/>
        <v>0</v>
      </c>
      <c r="L22" s="2467">
        <f t="shared" si="11"/>
        <v>0</v>
      </c>
      <c r="M22" s="1171"/>
      <c r="N22" s="1630"/>
      <c r="O22" s="1628"/>
      <c r="P22" s="1629"/>
      <c r="Q22" s="978">
        <f t="shared" si="12"/>
        <v>0</v>
      </c>
      <c r="R22" s="1630"/>
      <c r="S22" s="1628"/>
      <c r="T22" s="1631"/>
      <c r="U22" s="2459">
        <f t="shared" si="4"/>
        <v>0</v>
      </c>
      <c r="V22" s="1049">
        <v>0</v>
      </c>
      <c r="W22" s="1050">
        <v>0</v>
      </c>
      <c r="X22" s="1050">
        <v>0</v>
      </c>
    </row>
    <row r="23" spans="1:24" ht="11.25" customHeight="1">
      <c r="A23" s="1170" t="str">
        <f>'Org structure'!E19</f>
        <v>2.6 - 015 - INFORMATION TECHNOLOGY</v>
      </c>
      <c r="B23" s="293"/>
      <c r="C23" s="1052"/>
      <c r="D23" s="1629">
        <v>0</v>
      </c>
      <c r="E23" s="1051">
        <v>0</v>
      </c>
      <c r="F23" s="1051">
        <v>0</v>
      </c>
      <c r="G23" s="1628">
        <v>0</v>
      </c>
      <c r="H23" s="1629">
        <v>0</v>
      </c>
      <c r="I23" s="1629">
        <v>0</v>
      </c>
      <c r="J23" s="2466">
        <f t="shared" si="9"/>
        <v>0</v>
      </c>
      <c r="K23" s="942">
        <f t="shared" si="10"/>
        <v>0</v>
      </c>
      <c r="L23" s="2467">
        <f t="shared" si="11"/>
        <v>0</v>
      </c>
      <c r="M23" s="1171"/>
      <c r="N23" s="1630"/>
      <c r="O23" s="1628"/>
      <c r="P23" s="1629"/>
      <c r="Q23" s="978">
        <f t="shared" si="12"/>
        <v>0</v>
      </c>
      <c r="R23" s="1630"/>
      <c r="S23" s="1628"/>
      <c r="T23" s="1631"/>
      <c r="U23" s="2459">
        <f t="shared" si="4"/>
        <v>0</v>
      </c>
      <c r="V23" s="1049">
        <v>0</v>
      </c>
      <c r="W23" s="1050">
        <v>0</v>
      </c>
      <c r="X23" s="1050">
        <v>0</v>
      </c>
    </row>
    <row r="24" spans="1:24" ht="11.25" customHeight="1">
      <c r="A24" s="1170" t="str">
        <f>'Org structure'!E20</f>
        <v>2.7 - 016 - COORDINATOR 2010</v>
      </c>
      <c r="B24" s="293"/>
      <c r="C24" s="1052"/>
      <c r="D24" s="1629"/>
      <c r="E24" s="1051"/>
      <c r="F24" s="1051">
        <v>0</v>
      </c>
      <c r="G24" s="1628">
        <v>0</v>
      </c>
      <c r="H24" s="1629">
        <v>0</v>
      </c>
      <c r="I24" s="1629">
        <v>0</v>
      </c>
      <c r="J24" s="2466">
        <f t="shared" si="9"/>
        <v>0</v>
      </c>
      <c r="K24" s="942">
        <f t="shared" si="10"/>
        <v>0</v>
      </c>
      <c r="L24" s="2467">
        <f t="shared" si="11"/>
        <v>0</v>
      </c>
      <c r="M24" s="1171"/>
      <c r="N24" s="1630"/>
      <c r="O24" s="1628"/>
      <c r="P24" s="1629"/>
      <c r="Q24" s="978">
        <f t="shared" si="12"/>
        <v>0</v>
      </c>
      <c r="R24" s="1630"/>
      <c r="S24" s="1628"/>
      <c r="T24" s="1631"/>
      <c r="U24" s="2459">
        <f t="shared" si="4"/>
        <v>0</v>
      </c>
      <c r="V24" s="1049">
        <v>0</v>
      </c>
      <c r="W24" s="1050">
        <v>0</v>
      </c>
      <c r="X24" s="1050">
        <v>0</v>
      </c>
    </row>
    <row r="25" spans="1:24" ht="11.25" customHeight="1">
      <c r="A25" s="1170" t="str">
        <f>'Org structure'!E21</f>
        <v>2.8 - 017 - REGIONAL COMMUNITY CENTRES</v>
      </c>
      <c r="B25" s="293"/>
      <c r="C25" s="1052"/>
      <c r="D25" s="1629"/>
      <c r="E25" s="1051"/>
      <c r="F25" s="1051">
        <v>75000</v>
      </c>
      <c r="G25" s="1628">
        <v>235000</v>
      </c>
      <c r="H25" s="1629">
        <v>235000</v>
      </c>
      <c r="I25" s="1629">
        <v>235000</v>
      </c>
      <c r="J25" s="2466">
        <f t="shared" si="9"/>
        <v>400000</v>
      </c>
      <c r="K25" s="942">
        <f t="shared" si="10"/>
        <v>100000</v>
      </c>
      <c r="L25" s="2467">
        <f t="shared" si="11"/>
        <v>100000</v>
      </c>
      <c r="M25" s="1171"/>
      <c r="N25" s="1630"/>
      <c r="O25" s="1628"/>
      <c r="P25" s="1629"/>
      <c r="Q25" s="978">
        <f t="shared" si="12"/>
        <v>0</v>
      </c>
      <c r="R25" s="1630"/>
      <c r="S25" s="1628"/>
      <c r="T25" s="1631"/>
      <c r="U25" s="2459">
        <f t="shared" si="4"/>
        <v>0</v>
      </c>
      <c r="V25" s="1049">
        <v>400000</v>
      </c>
      <c r="W25" s="1050">
        <v>100000</v>
      </c>
      <c r="X25" s="1050">
        <v>100000</v>
      </c>
    </row>
    <row r="26" spans="1:24" ht="11.25" customHeight="1">
      <c r="A26" s="1170" t="str">
        <f>'Org structure'!E22</f>
        <v>2.9 - 018 - PROJECT MANAGEMENT UNIT</v>
      </c>
      <c r="B26" s="293"/>
      <c r="C26" s="1628">
        <v>0</v>
      </c>
      <c r="D26" s="1629">
        <v>0</v>
      </c>
      <c r="E26" s="1051">
        <v>0</v>
      </c>
      <c r="F26" s="1051">
        <v>44800</v>
      </c>
      <c r="G26" s="1628">
        <v>44800</v>
      </c>
      <c r="H26" s="1629">
        <v>44800</v>
      </c>
      <c r="I26" s="1629">
        <v>44800</v>
      </c>
      <c r="J26" s="2466">
        <f t="shared" si="9"/>
        <v>0</v>
      </c>
      <c r="K26" s="942">
        <f t="shared" si="10"/>
        <v>0</v>
      </c>
      <c r="L26" s="2467">
        <f t="shared" si="11"/>
        <v>0</v>
      </c>
      <c r="M26" s="1171"/>
      <c r="N26" s="1630"/>
      <c r="O26" s="1628"/>
      <c r="P26" s="1629"/>
      <c r="Q26" s="978">
        <f t="shared" si="12"/>
        <v>0</v>
      </c>
      <c r="R26" s="1630"/>
      <c r="S26" s="1628"/>
      <c r="T26" s="1631"/>
      <c r="U26" s="2459">
        <f t="shared" si="4"/>
        <v>0</v>
      </c>
      <c r="V26" s="1049"/>
      <c r="W26" s="1050"/>
      <c r="X26" s="1050"/>
    </row>
    <row r="27" spans="1:24" ht="11.25" customHeight="1">
      <c r="A27" s="1170" t="str">
        <f>'Org structure'!E23</f>
        <v>2.10 - 019 - OFFICE OF THE CHIEF OPERATIONS OFFICER</v>
      </c>
      <c r="B27" s="293"/>
      <c r="C27" s="1628">
        <v>0</v>
      </c>
      <c r="D27" s="1629">
        <v>0</v>
      </c>
      <c r="E27" s="1051">
        <v>0</v>
      </c>
      <c r="F27" s="1051">
        <v>0</v>
      </c>
      <c r="G27" s="1628">
        <v>0</v>
      </c>
      <c r="H27" s="1629">
        <v>0</v>
      </c>
      <c r="I27" s="1629">
        <v>0</v>
      </c>
      <c r="J27" s="2466">
        <f t="shared" si="9"/>
        <v>0</v>
      </c>
      <c r="K27" s="942">
        <f t="shared" si="10"/>
        <v>0</v>
      </c>
      <c r="L27" s="2467">
        <f t="shared" si="11"/>
        <v>0</v>
      </c>
      <c r="M27" s="1171"/>
      <c r="N27" s="1630"/>
      <c r="O27" s="1628"/>
      <c r="P27" s="1629"/>
      <c r="Q27" s="978">
        <f t="shared" si="12"/>
        <v>0</v>
      </c>
      <c r="R27" s="1630"/>
      <c r="S27" s="1628"/>
      <c r="T27" s="1631"/>
      <c r="U27" s="2459">
        <f t="shared" si="4"/>
        <v>0</v>
      </c>
      <c r="V27" s="1051"/>
      <c r="W27" s="1049"/>
      <c r="X27" s="1050"/>
    </row>
    <row r="28" spans="1:24" ht="11.25" customHeight="1">
      <c r="A28" s="1169" t="s">
        <v>2472</v>
      </c>
      <c r="B28" s="293"/>
      <c r="C28" s="1628"/>
      <c r="D28" s="1628"/>
      <c r="E28" s="1629"/>
      <c r="F28" s="1051"/>
      <c r="G28" s="1628"/>
      <c r="H28" s="1629"/>
      <c r="I28" s="1629"/>
      <c r="J28" s="2466">
        <f>Q28+V28</f>
        <v>0</v>
      </c>
      <c r="K28" s="942">
        <f>U28+W28</f>
        <v>0</v>
      </c>
      <c r="L28" s="2467">
        <f>X28</f>
        <v>0</v>
      </c>
      <c r="M28" s="1171"/>
      <c r="N28" s="1630"/>
      <c r="O28" s="1628"/>
      <c r="P28" s="1629"/>
      <c r="Q28" s="978"/>
      <c r="R28" s="1630"/>
      <c r="S28" s="1628"/>
      <c r="T28" s="2537"/>
      <c r="U28" s="2459"/>
      <c r="V28" s="1051"/>
      <c r="W28" s="1049"/>
      <c r="X28" s="1050"/>
    </row>
    <row r="29" spans="1:24" ht="15" customHeight="1">
      <c r="A29" s="1169" t="str">
        <f>'Org structure'!A4</f>
        <v>Vote 3 - CORPORATE SUPPORT SERVICES</v>
      </c>
      <c r="B29" s="981"/>
      <c r="C29" s="2615">
        <f>SUM(C30:C39)</f>
        <v>282521</v>
      </c>
      <c r="D29" s="2615">
        <f t="shared" ref="D29:I29" si="13">SUM(D30:D39)</f>
        <v>1136647</v>
      </c>
      <c r="E29" s="2615">
        <f t="shared" si="13"/>
        <v>14851949</v>
      </c>
      <c r="F29" s="2615">
        <f t="shared" si="13"/>
        <v>28850871</v>
      </c>
      <c r="G29" s="2615">
        <f t="shared" si="13"/>
        <v>29110871</v>
      </c>
      <c r="H29" s="2615">
        <f t="shared" si="13"/>
        <v>29110871</v>
      </c>
      <c r="I29" s="2615">
        <f t="shared" si="13"/>
        <v>29110871</v>
      </c>
      <c r="J29" s="2466">
        <f>SUM(J30:J39)</f>
        <v>4785431</v>
      </c>
      <c r="K29" s="942">
        <f>SUM(K30:K39)</f>
        <v>4333648</v>
      </c>
      <c r="L29" s="2467">
        <f>SUM(L30:L39)</f>
        <v>2525000</v>
      </c>
      <c r="M29" s="1171"/>
      <c r="N29" s="978">
        <f t="shared" ref="N29:U29" si="14">SUM(N30:N39)</f>
        <v>0</v>
      </c>
      <c r="O29" s="976">
        <f t="shared" si="14"/>
        <v>0</v>
      </c>
      <c r="P29" s="977">
        <f t="shared" si="14"/>
        <v>0</v>
      </c>
      <c r="Q29" s="978">
        <f t="shared" si="14"/>
        <v>0</v>
      </c>
      <c r="R29" s="978">
        <f t="shared" si="14"/>
        <v>0</v>
      </c>
      <c r="S29" s="976">
        <f t="shared" si="14"/>
        <v>0</v>
      </c>
      <c r="T29" s="2463">
        <f t="shared" si="14"/>
        <v>0</v>
      </c>
      <c r="U29" s="2459">
        <f t="shared" si="14"/>
        <v>0</v>
      </c>
      <c r="V29" s="2614">
        <f>SUM(V30:V39)</f>
        <v>4785431</v>
      </c>
      <c r="W29" s="2614">
        <f>SUM(W30:W39)</f>
        <v>4333648</v>
      </c>
      <c r="X29" s="2614">
        <f>SUM(X30:X39)</f>
        <v>2525000</v>
      </c>
    </row>
    <row r="30" spans="1:24" ht="11.25" customHeight="1">
      <c r="A30" s="1170" t="str">
        <f>'Org structure'!E25</f>
        <v>3.1 - 020 - OFFICE OF THE DIRECTOR CORPORATE SUPPORT SERVICES</v>
      </c>
      <c r="B30" s="293"/>
      <c r="C30" s="1629">
        <v>0</v>
      </c>
      <c r="D30" s="1629">
        <v>908083</v>
      </c>
      <c r="E30" s="1051">
        <v>13977209</v>
      </c>
      <c r="F30" s="1051">
        <v>0</v>
      </c>
      <c r="G30" s="1628">
        <v>0</v>
      </c>
      <c r="H30" s="1629">
        <v>0</v>
      </c>
      <c r="I30" s="2537">
        <v>0</v>
      </c>
      <c r="J30" s="2466">
        <f t="shared" ref="J30:J39" si="15">Q30+V30</f>
        <v>0</v>
      </c>
      <c r="K30" s="942">
        <f t="shared" ref="K30:K39" si="16">U30+W30</f>
        <v>0</v>
      </c>
      <c r="L30" s="2467">
        <f t="shared" ref="L30:L39" si="17">X30</f>
        <v>0</v>
      </c>
      <c r="M30" s="1171"/>
      <c r="N30" s="1630"/>
      <c r="O30" s="1628"/>
      <c r="P30" s="1629"/>
      <c r="Q30" s="978">
        <f t="shared" ref="Q30:Q39" si="18">SUM(N30:P30)</f>
        <v>0</v>
      </c>
      <c r="R30" s="1630"/>
      <c r="S30" s="1628"/>
      <c r="T30" s="1631"/>
      <c r="U30" s="2459">
        <f t="shared" si="4"/>
        <v>0</v>
      </c>
      <c r="V30" s="1049">
        <v>0</v>
      </c>
      <c r="W30" s="1050">
        <v>0</v>
      </c>
      <c r="X30" s="1050">
        <v>0</v>
      </c>
    </row>
    <row r="31" spans="1:24" ht="11.25" customHeight="1">
      <c r="A31" s="1170" t="str">
        <f>'Org structure'!E26</f>
        <v>3.2 - 025 - ADMINISTRATIVE SUPPORT</v>
      </c>
      <c r="B31" s="293"/>
      <c r="C31" s="1629">
        <v>195822</v>
      </c>
      <c r="D31" s="1629"/>
      <c r="E31" s="1051"/>
      <c r="F31" s="1051">
        <f>1535000-500000+300000+200000</f>
        <v>1535000</v>
      </c>
      <c r="G31" s="1628">
        <v>1335000</v>
      </c>
      <c r="H31" s="1629">
        <v>1335000</v>
      </c>
      <c r="I31" s="1629">
        <v>1335000</v>
      </c>
      <c r="J31" s="2466">
        <f t="shared" si="15"/>
        <v>532000</v>
      </c>
      <c r="K31" s="942">
        <f t="shared" si="16"/>
        <v>150000</v>
      </c>
      <c r="L31" s="2467">
        <f t="shared" si="17"/>
        <v>0</v>
      </c>
      <c r="M31" s="1171"/>
      <c r="N31" s="1630"/>
      <c r="O31" s="1628"/>
      <c r="P31" s="1629"/>
      <c r="Q31" s="978">
        <f t="shared" si="18"/>
        <v>0</v>
      </c>
      <c r="R31" s="1630"/>
      <c r="S31" s="1628"/>
      <c r="T31" s="1631"/>
      <c r="U31" s="2459">
        <f t="shared" si="4"/>
        <v>0</v>
      </c>
      <c r="V31" s="1049">
        <v>532000</v>
      </c>
      <c r="W31" s="1050">
        <v>150000</v>
      </c>
      <c r="X31" s="1050">
        <v>0</v>
      </c>
    </row>
    <row r="32" spans="1:24" ht="11.25" customHeight="1">
      <c r="A32" s="1170" t="str">
        <f>'Org structure'!E27</f>
        <v>3.3 - 030 - HUMAN RESOURCE MANAGEMENT</v>
      </c>
      <c r="B32" s="293"/>
      <c r="C32" s="1629">
        <v>15475</v>
      </c>
      <c r="D32" s="1629">
        <v>0</v>
      </c>
      <c r="E32" s="1051">
        <v>8509</v>
      </c>
      <c r="F32" s="1051">
        <v>120975</v>
      </c>
      <c r="G32" s="1628">
        <v>120975</v>
      </c>
      <c r="H32" s="1629">
        <v>120975</v>
      </c>
      <c r="I32" s="1629">
        <v>120975</v>
      </c>
      <c r="J32" s="2466">
        <f t="shared" si="15"/>
        <v>168021</v>
      </c>
      <c r="K32" s="942">
        <f t="shared" si="16"/>
        <v>140000</v>
      </c>
      <c r="L32" s="2467">
        <f t="shared" si="17"/>
        <v>0</v>
      </c>
      <c r="M32" s="1171"/>
      <c r="N32" s="1630"/>
      <c r="O32" s="1628"/>
      <c r="P32" s="1629"/>
      <c r="Q32" s="978">
        <f t="shared" si="18"/>
        <v>0</v>
      </c>
      <c r="R32" s="1630"/>
      <c r="S32" s="1628"/>
      <c r="T32" s="1631"/>
      <c r="U32" s="2459">
        <f>SUM(R32:T32)</f>
        <v>0</v>
      </c>
      <c r="V32" s="1049">
        <v>168021</v>
      </c>
      <c r="W32" s="1050">
        <v>140000</v>
      </c>
      <c r="X32" s="1050">
        <v>0</v>
      </c>
    </row>
    <row r="33" spans="1:24" ht="11.25" customHeight="1">
      <c r="A33" s="1170" t="str">
        <f>'Org structure'!E28</f>
        <v>3.4 - 050 - LEGAL AND VALUATION SERVICES</v>
      </c>
      <c r="B33" s="293"/>
      <c r="C33" s="1050">
        <v>0</v>
      </c>
      <c r="D33" s="1050">
        <v>0</v>
      </c>
      <c r="E33" s="1051"/>
      <c r="F33" s="1051">
        <v>32396</v>
      </c>
      <c r="G33" s="1049">
        <v>62396</v>
      </c>
      <c r="H33" s="1050">
        <v>62396</v>
      </c>
      <c r="I33" s="1052">
        <v>62396</v>
      </c>
      <c r="J33" s="2466">
        <f t="shared" si="15"/>
        <v>35410</v>
      </c>
      <c r="K33" s="942">
        <f>U33+W33</f>
        <v>18648</v>
      </c>
      <c r="L33" s="2467">
        <f t="shared" si="17"/>
        <v>0</v>
      </c>
      <c r="M33" s="1171"/>
      <c r="N33" s="1630"/>
      <c r="O33" s="1628"/>
      <c r="P33" s="1629"/>
      <c r="Q33" s="978">
        <f t="shared" si="18"/>
        <v>0</v>
      </c>
      <c r="R33" s="1630"/>
      <c r="S33" s="1628"/>
      <c r="T33" s="1631"/>
      <c r="U33" s="2459">
        <f t="shared" si="4"/>
        <v>0</v>
      </c>
      <c r="V33" s="1049">
        <v>35410</v>
      </c>
      <c r="W33" s="1050">
        <v>18648</v>
      </c>
      <c r="X33" s="1050">
        <v>0</v>
      </c>
    </row>
    <row r="34" spans="1:24" ht="11.25" customHeight="1">
      <c r="A34" s="1170" t="str">
        <f>'Org structure'!E29</f>
        <v>3.5 - 015 - INFORMATION TECHNOLOGY</v>
      </c>
      <c r="B34" s="293"/>
      <c r="C34" s="1050">
        <v>71224</v>
      </c>
      <c r="D34" s="1629">
        <v>228564</v>
      </c>
      <c r="E34" s="1051">
        <v>866231</v>
      </c>
      <c r="F34" s="1051">
        <f>14162500+6000000+3000000+4000000</f>
        <v>27162500</v>
      </c>
      <c r="G34" s="1628">
        <v>27592500</v>
      </c>
      <c r="H34" s="1628">
        <v>27592500</v>
      </c>
      <c r="I34" s="1628">
        <v>27592500</v>
      </c>
      <c r="J34" s="2466">
        <f>Q34+V34</f>
        <v>4050000</v>
      </c>
      <c r="K34" s="942">
        <f t="shared" si="16"/>
        <v>4025000</v>
      </c>
      <c r="L34" s="2467">
        <f t="shared" si="17"/>
        <v>2525000</v>
      </c>
      <c r="M34" s="1171"/>
      <c r="N34" s="1630"/>
      <c r="O34" s="1628"/>
      <c r="P34" s="1629"/>
      <c r="Q34" s="978">
        <f t="shared" si="18"/>
        <v>0</v>
      </c>
      <c r="R34" s="1630"/>
      <c r="S34" s="1628"/>
      <c r="T34" s="1631"/>
      <c r="U34" s="2459">
        <f t="shared" si="4"/>
        <v>0</v>
      </c>
      <c r="V34" s="2537">
        <v>4050000</v>
      </c>
      <c r="W34" s="1628">
        <v>4025000</v>
      </c>
      <c r="X34" s="1633">
        <v>2525000</v>
      </c>
    </row>
    <row r="35" spans="1:24" ht="11.25" customHeight="1">
      <c r="A35" s="1170">
        <f>'Org structure'!E30</f>
        <v>0</v>
      </c>
      <c r="B35" s="293"/>
      <c r="C35" s="1049"/>
      <c r="D35" s="1050"/>
      <c r="E35" s="1051"/>
      <c r="F35" s="2537"/>
      <c r="G35" s="1049"/>
      <c r="H35" s="1050"/>
      <c r="I35" s="1052"/>
      <c r="J35" s="2466">
        <f t="shared" si="15"/>
        <v>0</v>
      </c>
      <c r="K35" s="942">
        <f t="shared" si="16"/>
        <v>0</v>
      </c>
      <c r="L35" s="2467">
        <f t="shared" si="17"/>
        <v>0</v>
      </c>
      <c r="M35" s="1171"/>
      <c r="N35" s="1630"/>
      <c r="O35" s="1628"/>
      <c r="P35" s="1629"/>
      <c r="Q35" s="978">
        <f t="shared" si="18"/>
        <v>0</v>
      </c>
      <c r="R35" s="1630"/>
      <c r="S35" s="1628"/>
      <c r="T35" s="1631"/>
      <c r="U35" s="2459">
        <f t="shared" si="4"/>
        <v>0</v>
      </c>
      <c r="V35" s="2537"/>
      <c r="W35" s="1628"/>
      <c r="X35" s="1633"/>
    </row>
    <row r="36" spans="1:24" ht="11.25" customHeight="1">
      <c r="A36" s="1170">
        <f>'Org structure'!E31</f>
        <v>0</v>
      </c>
      <c r="B36" s="293"/>
      <c r="C36" s="1628"/>
      <c r="D36" s="1628"/>
      <c r="E36" s="1629"/>
      <c r="F36" s="1630"/>
      <c r="G36" s="1628"/>
      <c r="H36" s="1629"/>
      <c r="I36" s="1631"/>
      <c r="J36" s="2466">
        <f t="shared" si="15"/>
        <v>0</v>
      </c>
      <c r="K36" s="942">
        <f t="shared" si="16"/>
        <v>0</v>
      </c>
      <c r="L36" s="2467">
        <f t="shared" si="17"/>
        <v>0</v>
      </c>
      <c r="M36" s="1171"/>
      <c r="N36" s="1630"/>
      <c r="O36" s="1628"/>
      <c r="P36" s="1629"/>
      <c r="Q36" s="978">
        <f t="shared" si="18"/>
        <v>0</v>
      </c>
      <c r="R36" s="1630"/>
      <c r="S36" s="1628"/>
      <c r="T36" s="1631"/>
      <c r="U36" s="2459">
        <f t="shared" si="4"/>
        <v>0</v>
      </c>
      <c r="V36" s="1631"/>
      <c r="W36" s="1628"/>
      <c r="X36" s="1633"/>
    </row>
    <row r="37" spans="1:24" ht="11.25" customHeight="1">
      <c r="A37" s="1170">
        <f>'Org structure'!E32</f>
        <v>0</v>
      </c>
      <c r="B37" s="293"/>
      <c r="C37" s="1628"/>
      <c r="D37" s="1628"/>
      <c r="E37" s="1629"/>
      <c r="F37" s="1630"/>
      <c r="G37" s="1628"/>
      <c r="H37" s="1629"/>
      <c r="I37" s="1631"/>
      <c r="J37" s="2466">
        <f t="shared" si="15"/>
        <v>0</v>
      </c>
      <c r="K37" s="942">
        <f t="shared" si="16"/>
        <v>0</v>
      </c>
      <c r="L37" s="2467">
        <f t="shared" si="17"/>
        <v>0</v>
      </c>
      <c r="M37" s="1171"/>
      <c r="N37" s="1630"/>
      <c r="O37" s="1628"/>
      <c r="P37" s="1629"/>
      <c r="Q37" s="978">
        <f t="shared" si="18"/>
        <v>0</v>
      </c>
      <c r="R37" s="1630"/>
      <c r="S37" s="1628"/>
      <c r="T37" s="1631"/>
      <c r="U37" s="2459">
        <f t="shared" si="4"/>
        <v>0</v>
      </c>
      <c r="V37" s="1631"/>
      <c r="W37" s="1628"/>
      <c r="X37" s="1633"/>
    </row>
    <row r="38" spans="1:24" ht="11.25" customHeight="1">
      <c r="A38" s="1170">
        <f>'Org structure'!E33</f>
        <v>0</v>
      </c>
      <c r="B38" s="293"/>
      <c r="C38" s="1628"/>
      <c r="D38" s="1628"/>
      <c r="E38" s="1629"/>
      <c r="F38" s="1630"/>
      <c r="G38" s="1628"/>
      <c r="H38" s="1629"/>
      <c r="I38" s="1631"/>
      <c r="J38" s="2466">
        <f t="shared" si="15"/>
        <v>0</v>
      </c>
      <c r="K38" s="942">
        <f t="shared" si="16"/>
        <v>0</v>
      </c>
      <c r="L38" s="2467">
        <f t="shared" si="17"/>
        <v>0</v>
      </c>
      <c r="M38" s="1171"/>
      <c r="N38" s="1630"/>
      <c r="O38" s="1628"/>
      <c r="P38" s="1629"/>
      <c r="Q38" s="978">
        <f t="shared" si="18"/>
        <v>0</v>
      </c>
      <c r="R38" s="1630"/>
      <c r="S38" s="1628"/>
      <c r="T38" s="1631"/>
      <c r="U38" s="2459">
        <f t="shared" si="4"/>
        <v>0</v>
      </c>
      <c r="V38" s="1631"/>
      <c r="W38" s="1628"/>
      <c r="X38" s="1633"/>
    </row>
    <row r="39" spans="1:24" ht="11.25" customHeight="1">
      <c r="A39" s="1170">
        <f>'Org structure'!E34</f>
        <v>0</v>
      </c>
      <c r="B39" s="293"/>
      <c r="C39" s="1628"/>
      <c r="D39" s="1628"/>
      <c r="E39" s="1629"/>
      <c r="F39" s="1630"/>
      <c r="G39" s="1628"/>
      <c r="H39" s="1629"/>
      <c r="I39" s="1631"/>
      <c r="J39" s="2466">
        <f t="shared" si="15"/>
        <v>0</v>
      </c>
      <c r="K39" s="942">
        <f t="shared" si="16"/>
        <v>0</v>
      </c>
      <c r="L39" s="2467">
        <f t="shared" si="17"/>
        <v>0</v>
      </c>
      <c r="M39" s="1171"/>
      <c r="N39" s="1630"/>
      <c r="O39" s="1628"/>
      <c r="P39" s="1629"/>
      <c r="Q39" s="978">
        <f t="shared" si="18"/>
        <v>0</v>
      </c>
      <c r="R39" s="1630"/>
      <c r="S39" s="1628"/>
      <c r="T39" s="1631"/>
      <c r="U39" s="2459">
        <f t="shared" si="4"/>
        <v>0</v>
      </c>
      <c r="V39" s="1631"/>
      <c r="W39" s="1628"/>
      <c r="X39" s="1633"/>
    </row>
    <row r="40" spans="1:24" ht="15" customHeight="1">
      <c r="A40" s="1169" t="str">
        <f>'Org structure'!A5</f>
        <v>Vote 4 - BUDGET AND TREASURY OFFICE</v>
      </c>
      <c r="B40" s="981"/>
      <c r="C40" s="976">
        <f>SUM(C41:C50)</f>
        <v>595548</v>
      </c>
      <c r="D40" s="976">
        <f t="shared" ref="D40:L40" si="19">SUM(D41:D50)</f>
        <v>1877660</v>
      </c>
      <c r="E40" s="977">
        <f t="shared" si="19"/>
        <v>978966</v>
      </c>
      <c r="F40" s="982">
        <f t="shared" si="19"/>
        <v>256000</v>
      </c>
      <c r="G40" s="976">
        <f t="shared" si="19"/>
        <v>2069708</v>
      </c>
      <c r="H40" s="977">
        <f t="shared" si="19"/>
        <v>2069708</v>
      </c>
      <c r="I40" s="979">
        <f>SUM(I41:I50)</f>
        <v>2069708</v>
      </c>
      <c r="J40" s="2466">
        <f t="shared" si="19"/>
        <v>380730</v>
      </c>
      <c r="K40" s="942">
        <f t="shared" si="19"/>
        <v>320000</v>
      </c>
      <c r="L40" s="2467">
        <f t="shared" si="19"/>
        <v>310000</v>
      </c>
      <c r="M40" s="1171"/>
      <c r="N40" s="978">
        <f t="shared" ref="N40:X40" si="20">SUM(N41:N50)</f>
        <v>0</v>
      </c>
      <c r="O40" s="976">
        <f t="shared" si="20"/>
        <v>0</v>
      </c>
      <c r="P40" s="983">
        <f t="shared" si="20"/>
        <v>0</v>
      </c>
      <c r="Q40" s="978">
        <f t="shared" si="20"/>
        <v>0</v>
      </c>
      <c r="R40" s="978">
        <f t="shared" si="20"/>
        <v>0</v>
      </c>
      <c r="S40" s="976">
        <f t="shared" si="20"/>
        <v>0</v>
      </c>
      <c r="T40" s="2463">
        <f t="shared" si="20"/>
        <v>0</v>
      </c>
      <c r="U40" s="2459">
        <f t="shared" si="20"/>
        <v>0</v>
      </c>
      <c r="V40" s="2464">
        <f t="shared" si="20"/>
        <v>380730</v>
      </c>
      <c r="W40" s="976">
        <f t="shared" si="20"/>
        <v>320000</v>
      </c>
      <c r="X40" s="2465">
        <f t="shared" si="20"/>
        <v>310000</v>
      </c>
    </row>
    <row r="41" spans="1:24" ht="11.25" customHeight="1">
      <c r="A41" s="1170" t="str">
        <f>'Org structure'!E36</f>
        <v>4.1 - 070 - OFFICE OF THE DIRECTOR BUDGET AND TREASURY</v>
      </c>
      <c r="B41" s="293"/>
      <c r="C41" s="1052">
        <v>595548</v>
      </c>
      <c r="D41" s="1050">
        <v>1877660</v>
      </c>
      <c r="E41" s="1051">
        <v>978966</v>
      </c>
      <c r="F41" s="1051">
        <v>256000</v>
      </c>
      <c r="G41" s="1049">
        <v>2069708</v>
      </c>
      <c r="H41" s="1049">
        <v>2069708</v>
      </c>
      <c r="I41" s="1049">
        <v>2069708</v>
      </c>
      <c r="J41" s="2466">
        <f t="shared" ref="J41:J50" si="21">Q41+V41</f>
        <v>380730</v>
      </c>
      <c r="K41" s="942">
        <f t="shared" ref="K41:K50" si="22">U41+W41</f>
        <v>320000</v>
      </c>
      <c r="L41" s="2467">
        <f t="shared" ref="L41:L50" si="23">X41</f>
        <v>310000</v>
      </c>
      <c r="M41" s="1171"/>
      <c r="N41" s="1630"/>
      <c r="O41" s="1628"/>
      <c r="P41" s="1629"/>
      <c r="Q41" s="978">
        <f t="shared" ref="Q41:Q50" si="24">SUM(N41:P41)</f>
        <v>0</v>
      </c>
      <c r="R41" s="1630"/>
      <c r="S41" s="1628"/>
      <c r="T41" s="1631"/>
      <c r="U41" s="2459">
        <f t="shared" si="4"/>
        <v>0</v>
      </c>
      <c r="V41" s="1051">
        <v>380730</v>
      </c>
      <c r="W41" s="1049">
        <v>320000</v>
      </c>
      <c r="X41" s="1050">
        <v>310000</v>
      </c>
    </row>
    <row r="42" spans="1:24" ht="11.25" customHeight="1">
      <c r="A42" s="1170" t="str">
        <f>'Org structure'!E37</f>
        <v>4.2 - 075 - ACCOUNTING SERVICES</v>
      </c>
      <c r="B42" s="293"/>
      <c r="C42" s="1052">
        <v>0</v>
      </c>
      <c r="D42" s="1050">
        <v>0</v>
      </c>
      <c r="E42" s="1051">
        <v>0</v>
      </c>
      <c r="F42" s="1051">
        <v>0</v>
      </c>
      <c r="G42" s="1049">
        <v>0</v>
      </c>
      <c r="H42" s="1050"/>
      <c r="I42" s="1052"/>
      <c r="J42" s="2466">
        <f t="shared" si="21"/>
        <v>0</v>
      </c>
      <c r="K42" s="942">
        <f t="shared" si="22"/>
        <v>0</v>
      </c>
      <c r="L42" s="2467">
        <f t="shared" si="23"/>
        <v>0</v>
      </c>
      <c r="M42" s="1171"/>
      <c r="N42" s="1630"/>
      <c r="O42" s="1628"/>
      <c r="P42" s="1629"/>
      <c r="Q42" s="978">
        <f t="shared" si="24"/>
        <v>0</v>
      </c>
      <c r="R42" s="1630"/>
      <c r="S42" s="1628"/>
      <c r="T42" s="1631"/>
      <c r="U42" s="2459">
        <f t="shared" si="4"/>
        <v>0</v>
      </c>
      <c r="V42" s="1051">
        <v>0</v>
      </c>
      <c r="W42" s="1049">
        <v>0</v>
      </c>
      <c r="X42" s="1050">
        <v>0</v>
      </c>
    </row>
    <row r="43" spans="1:24" ht="11.25" customHeight="1">
      <c r="A43" s="1170" t="str">
        <f>'Org structure'!E38</f>
        <v>4.3 - 080 - FINANCIAL CONTROL</v>
      </c>
      <c r="B43" s="293"/>
      <c r="C43" s="1052">
        <v>0</v>
      </c>
      <c r="D43" s="1050">
        <v>0</v>
      </c>
      <c r="E43" s="1051">
        <v>0</v>
      </c>
      <c r="F43" s="1051">
        <v>0</v>
      </c>
      <c r="G43" s="1049">
        <v>0</v>
      </c>
      <c r="H43" s="1050"/>
      <c r="I43" s="1052"/>
      <c r="J43" s="2466">
        <f t="shared" si="21"/>
        <v>0</v>
      </c>
      <c r="K43" s="942">
        <f t="shared" si="22"/>
        <v>0</v>
      </c>
      <c r="L43" s="2467">
        <f t="shared" si="23"/>
        <v>0</v>
      </c>
      <c r="M43" s="1171"/>
      <c r="N43" s="1630"/>
      <c r="O43" s="1628"/>
      <c r="P43" s="1629"/>
      <c r="Q43" s="978">
        <f t="shared" si="24"/>
        <v>0</v>
      </c>
      <c r="R43" s="1630"/>
      <c r="S43" s="1628"/>
      <c r="T43" s="1631"/>
      <c r="U43" s="2459">
        <f t="shared" si="4"/>
        <v>0</v>
      </c>
      <c r="V43" s="1051">
        <v>0</v>
      </c>
      <c r="W43" s="1049">
        <v>0</v>
      </c>
      <c r="X43" s="1050">
        <v>0</v>
      </c>
    </row>
    <row r="44" spans="1:24" ht="11.25" customHeight="1">
      <c r="A44" s="1170" t="str">
        <f>'Org structure'!E39</f>
        <v>4.4 - 090 - FINANCIAL MANAGEMENT SERVICES</v>
      </c>
      <c r="B44" s="293"/>
      <c r="C44" s="1052">
        <v>0</v>
      </c>
      <c r="D44" s="1050">
        <v>0</v>
      </c>
      <c r="E44" s="1051">
        <v>0</v>
      </c>
      <c r="F44" s="1051"/>
      <c r="G44" s="1049">
        <v>0</v>
      </c>
      <c r="H44" s="1050"/>
      <c r="I44" s="1052"/>
      <c r="J44" s="2466">
        <f t="shared" si="21"/>
        <v>0</v>
      </c>
      <c r="K44" s="942">
        <f t="shared" si="22"/>
        <v>0</v>
      </c>
      <c r="L44" s="2467">
        <f t="shared" si="23"/>
        <v>0</v>
      </c>
      <c r="M44" s="1171"/>
      <c r="N44" s="1630"/>
      <c r="O44" s="1628"/>
      <c r="P44" s="1629"/>
      <c r="Q44" s="978">
        <f t="shared" si="24"/>
        <v>0</v>
      </c>
      <c r="R44" s="1630"/>
      <c r="S44" s="1628"/>
      <c r="T44" s="1631"/>
      <c r="U44" s="2459">
        <f t="shared" si="4"/>
        <v>0</v>
      </c>
      <c r="V44" s="1051">
        <v>0</v>
      </c>
      <c r="W44" s="1049">
        <v>0</v>
      </c>
      <c r="X44" s="1050">
        <v>0</v>
      </c>
    </row>
    <row r="45" spans="1:24" ht="11.25" customHeight="1">
      <c r="A45" s="1170">
        <f>'Org structure'!E40</f>
        <v>0</v>
      </c>
      <c r="B45" s="293"/>
      <c r="C45" s="1049"/>
      <c r="D45" s="1050"/>
      <c r="E45" s="1050"/>
      <c r="F45" s="1051"/>
      <c r="G45" s="1049"/>
      <c r="H45" s="1050"/>
      <c r="I45" s="1052"/>
      <c r="J45" s="2466">
        <f t="shared" si="21"/>
        <v>0</v>
      </c>
      <c r="K45" s="942">
        <f t="shared" si="22"/>
        <v>0</v>
      </c>
      <c r="L45" s="2467">
        <f t="shared" si="23"/>
        <v>0</v>
      </c>
      <c r="M45" s="1171"/>
      <c r="N45" s="1630"/>
      <c r="O45" s="1628"/>
      <c r="P45" s="1629"/>
      <c r="Q45" s="978">
        <f t="shared" si="24"/>
        <v>0</v>
      </c>
      <c r="R45" s="1630"/>
      <c r="S45" s="1628"/>
      <c r="T45" s="1631"/>
      <c r="U45" s="2459">
        <f t="shared" si="4"/>
        <v>0</v>
      </c>
      <c r="V45" s="1051"/>
      <c r="W45" s="1049"/>
      <c r="X45" s="1050"/>
    </row>
    <row r="46" spans="1:24" ht="11.25" customHeight="1">
      <c r="A46" s="1170">
        <f>'Org structure'!E41</f>
        <v>0</v>
      </c>
      <c r="B46" s="293"/>
      <c r="C46" s="1628"/>
      <c r="D46" s="1628"/>
      <c r="E46" s="1629"/>
      <c r="F46" s="1630"/>
      <c r="G46" s="1628"/>
      <c r="H46" s="1629"/>
      <c r="I46" s="1631"/>
      <c r="J46" s="2466">
        <f t="shared" si="21"/>
        <v>0</v>
      </c>
      <c r="K46" s="942">
        <f t="shared" si="22"/>
        <v>0</v>
      </c>
      <c r="L46" s="2467">
        <f t="shared" si="23"/>
        <v>0</v>
      </c>
      <c r="M46" s="1171"/>
      <c r="N46" s="1630"/>
      <c r="O46" s="1628"/>
      <c r="P46" s="1629"/>
      <c r="Q46" s="978">
        <f t="shared" si="24"/>
        <v>0</v>
      </c>
      <c r="R46" s="1630"/>
      <c r="S46" s="1628"/>
      <c r="T46" s="1631"/>
      <c r="U46" s="2459">
        <f t="shared" si="4"/>
        <v>0</v>
      </c>
      <c r="V46" s="1631"/>
      <c r="W46" s="1628"/>
      <c r="X46" s="1633"/>
    </row>
    <row r="47" spans="1:24" ht="11.25" customHeight="1">
      <c r="A47" s="1170">
        <f>'Org structure'!E42</f>
        <v>0</v>
      </c>
      <c r="B47" s="293"/>
      <c r="C47" s="1628"/>
      <c r="D47" s="1628"/>
      <c r="E47" s="1629"/>
      <c r="F47" s="1630"/>
      <c r="G47" s="1628"/>
      <c r="H47" s="1629"/>
      <c r="I47" s="1631"/>
      <c r="J47" s="2466">
        <f t="shared" si="21"/>
        <v>0</v>
      </c>
      <c r="K47" s="942">
        <f t="shared" si="22"/>
        <v>0</v>
      </c>
      <c r="L47" s="2467">
        <f t="shared" si="23"/>
        <v>0</v>
      </c>
      <c r="M47" s="1171"/>
      <c r="N47" s="1630"/>
      <c r="O47" s="1628"/>
      <c r="P47" s="1629"/>
      <c r="Q47" s="978">
        <f t="shared" si="24"/>
        <v>0</v>
      </c>
      <c r="R47" s="1630"/>
      <c r="S47" s="1628"/>
      <c r="T47" s="1631"/>
      <c r="U47" s="2459">
        <f t="shared" si="4"/>
        <v>0</v>
      </c>
      <c r="V47" s="1631"/>
      <c r="W47" s="1628"/>
      <c r="X47" s="1633"/>
    </row>
    <row r="48" spans="1:24" ht="11.25" customHeight="1">
      <c r="A48" s="1170">
        <f>'Org structure'!E43</f>
        <v>0</v>
      </c>
      <c r="B48" s="293"/>
      <c r="C48" s="1628"/>
      <c r="D48" s="1628"/>
      <c r="E48" s="1629"/>
      <c r="F48" s="1630"/>
      <c r="G48" s="1628"/>
      <c r="H48" s="1629"/>
      <c r="I48" s="1631"/>
      <c r="J48" s="2466">
        <f t="shared" si="21"/>
        <v>0</v>
      </c>
      <c r="K48" s="942">
        <f t="shared" si="22"/>
        <v>0</v>
      </c>
      <c r="L48" s="2467">
        <f t="shared" si="23"/>
        <v>0</v>
      </c>
      <c r="M48" s="1171"/>
      <c r="N48" s="1630"/>
      <c r="O48" s="1628"/>
      <c r="P48" s="1629"/>
      <c r="Q48" s="978">
        <f t="shared" si="24"/>
        <v>0</v>
      </c>
      <c r="R48" s="1630"/>
      <c r="S48" s="1628"/>
      <c r="T48" s="1631"/>
      <c r="U48" s="2459">
        <f t="shared" si="4"/>
        <v>0</v>
      </c>
      <c r="V48" s="1631"/>
      <c r="W48" s="1628"/>
      <c r="X48" s="1633"/>
    </row>
    <row r="49" spans="1:24" ht="11.25" customHeight="1">
      <c r="A49" s="1170">
        <f>'Org structure'!E44</f>
        <v>0</v>
      </c>
      <c r="B49" s="293"/>
      <c r="C49" s="1628"/>
      <c r="D49" s="1628"/>
      <c r="E49" s="1629"/>
      <c r="F49" s="1630"/>
      <c r="G49" s="1628"/>
      <c r="H49" s="1629"/>
      <c r="I49" s="1631"/>
      <c r="J49" s="2466">
        <f t="shared" si="21"/>
        <v>0</v>
      </c>
      <c r="K49" s="942">
        <f t="shared" si="22"/>
        <v>0</v>
      </c>
      <c r="L49" s="2467">
        <f t="shared" si="23"/>
        <v>0</v>
      </c>
      <c r="M49" s="1171"/>
      <c r="N49" s="1630"/>
      <c r="O49" s="1628"/>
      <c r="P49" s="1629"/>
      <c r="Q49" s="978">
        <f t="shared" si="24"/>
        <v>0</v>
      </c>
      <c r="R49" s="1630"/>
      <c r="S49" s="1628"/>
      <c r="T49" s="1631"/>
      <c r="U49" s="2459">
        <f t="shared" si="4"/>
        <v>0</v>
      </c>
      <c r="V49" s="1631"/>
      <c r="W49" s="1628"/>
      <c r="X49" s="1633"/>
    </row>
    <row r="50" spans="1:24" ht="11.25" customHeight="1">
      <c r="A50" s="1170">
        <f>'Org structure'!E45</f>
        <v>0</v>
      </c>
      <c r="B50" s="293"/>
      <c r="C50" s="1628"/>
      <c r="D50" s="1628"/>
      <c r="E50" s="1629"/>
      <c r="F50" s="1630"/>
      <c r="G50" s="1628"/>
      <c r="H50" s="1629"/>
      <c r="I50" s="1631"/>
      <c r="J50" s="2466">
        <f t="shared" si="21"/>
        <v>0</v>
      </c>
      <c r="K50" s="942">
        <f t="shared" si="22"/>
        <v>0</v>
      </c>
      <c r="L50" s="2467">
        <f t="shared" si="23"/>
        <v>0</v>
      </c>
      <c r="M50" s="1171"/>
      <c r="N50" s="1630"/>
      <c r="O50" s="1628"/>
      <c r="P50" s="1629"/>
      <c r="Q50" s="978">
        <f t="shared" si="24"/>
        <v>0</v>
      </c>
      <c r="R50" s="1630"/>
      <c r="S50" s="1628"/>
      <c r="T50" s="1631"/>
      <c r="U50" s="2459">
        <f t="shared" si="4"/>
        <v>0</v>
      </c>
      <c r="V50" s="1631"/>
      <c r="W50" s="1628"/>
      <c r="X50" s="1633"/>
    </row>
    <row r="51" spans="1:24" ht="15" customHeight="1">
      <c r="A51" s="1169" t="str">
        <f>'Org structure'!A6</f>
        <v>Vote 5 - PUBLIC SAFETY</v>
      </c>
      <c r="B51" s="981"/>
      <c r="C51" s="976">
        <f>SUM(C52:C61)</f>
        <v>9242400</v>
      </c>
      <c r="D51" s="976">
        <f t="shared" ref="D51:L51" si="25">SUM(D52:D61)</f>
        <v>4759411</v>
      </c>
      <c r="E51" s="977">
        <f t="shared" si="25"/>
        <v>13800581</v>
      </c>
      <c r="F51" s="978">
        <f t="shared" si="25"/>
        <v>8070000</v>
      </c>
      <c r="G51" s="976">
        <f t="shared" si="25"/>
        <v>16830333</v>
      </c>
      <c r="H51" s="977">
        <f t="shared" si="25"/>
        <v>16830333</v>
      </c>
      <c r="I51" s="979">
        <f>SUM(I52:I61)</f>
        <v>16830333</v>
      </c>
      <c r="J51" s="2466">
        <f t="shared" si="25"/>
        <v>9342550</v>
      </c>
      <c r="K51" s="942">
        <f t="shared" si="25"/>
        <v>5854300</v>
      </c>
      <c r="L51" s="2467">
        <f t="shared" si="25"/>
        <v>374000</v>
      </c>
      <c r="M51" s="1171"/>
      <c r="N51" s="978">
        <f t="shared" ref="N51:X51" si="26">SUM(N52:N61)</f>
        <v>0</v>
      </c>
      <c r="O51" s="976">
        <f t="shared" si="26"/>
        <v>0</v>
      </c>
      <c r="P51" s="977">
        <f t="shared" si="26"/>
        <v>0</v>
      </c>
      <c r="Q51" s="978">
        <f t="shared" si="26"/>
        <v>0</v>
      </c>
      <c r="R51" s="978">
        <f t="shared" si="26"/>
        <v>0</v>
      </c>
      <c r="S51" s="976">
        <f t="shared" si="26"/>
        <v>0</v>
      </c>
      <c r="T51" s="2463">
        <f t="shared" si="26"/>
        <v>0</v>
      </c>
      <c r="U51" s="2459">
        <f t="shared" si="26"/>
        <v>0</v>
      </c>
      <c r="V51" s="2464">
        <f t="shared" si="26"/>
        <v>9342550</v>
      </c>
      <c r="W51" s="976">
        <f t="shared" si="26"/>
        <v>5854300</v>
      </c>
      <c r="X51" s="2465">
        <f t="shared" si="26"/>
        <v>374000</v>
      </c>
    </row>
    <row r="52" spans="1:24" ht="11.25" customHeight="1">
      <c r="A52" s="1170" t="str">
        <f>'Org structure'!E47</f>
        <v>5.1 - 100 - OFFICE OF THE DIRECTOR PUBLIC SAFETY</v>
      </c>
      <c r="B52" s="293"/>
      <c r="C52" s="1052">
        <v>1870</v>
      </c>
      <c r="D52" s="1050">
        <v>82611</v>
      </c>
      <c r="E52" s="1051">
        <v>0</v>
      </c>
      <c r="F52" s="1051"/>
      <c r="G52" s="1049"/>
      <c r="H52" s="1050"/>
      <c r="I52" s="1052"/>
      <c r="J52" s="2466">
        <f t="shared" ref="J52:J61" si="27">Q52+V52</f>
        <v>200800</v>
      </c>
      <c r="K52" s="942">
        <f t="shared" ref="K52:K61" si="28">U52+W52</f>
        <v>145000</v>
      </c>
      <c r="L52" s="2467">
        <f t="shared" ref="L52:L61" si="29">X52</f>
        <v>1000</v>
      </c>
      <c r="M52" s="1171"/>
      <c r="N52" s="1630"/>
      <c r="O52" s="1628"/>
      <c r="P52" s="1629"/>
      <c r="Q52" s="978">
        <f t="shared" ref="Q52:Q61" si="30">SUM(N52:P52)</f>
        <v>0</v>
      </c>
      <c r="R52" s="1630"/>
      <c r="S52" s="1628"/>
      <c r="T52" s="1631"/>
      <c r="U52" s="2459">
        <f t="shared" si="4"/>
        <v>0</v>
      </c>
      <c r="V52" s="1049">
        <v>200800</v>
      </c>
      <c r="W52" s="1050">
        <v>145000</v>
      </c>
      <c r="X52" s="1050">
        <v>1000</v>
      </c>
    </row>
    <row r="53" spans="1:24" ht="11.25" customHeight="1">
      <c r="A53" s="1170" t="str">
        <f>'Org structure'!E48</f>
        <v>5.2 - 105 - MUNICIPAL POLICE AND SECURITY SERVICES</v>
      </c>
      <c r="B53" s="293"/>
      <c r="C53" s="1052"/>
      <c r="D53" s="1050"/>
      <c r="E53" s="1051">
        <v>0</v>
      </c>
      <c r="F53" s="1051">
        <v>0</v>
      </c>
      <c r="G53" s="1049"/>
      <c r="H53" s="1050"/>
      <c r="I53" s="1052"/>
      <c r="J53" s="2466">
        <f t="shared" si="27"/>
        <v>0</v>
      </c>
      <c r="K53" s="942">
        <f t="shared" si="28"/>
        <v>0</v>
      </c>
      <c r="L53" s="2467">
        <f t="shared" si="29"/>
        <v>0</v>
      </c>
      <c r="M53" s="1171"/>
      <c r="N53" s="1630"/>
      <c r="O53" s="1628"/>
      <c r="P53" s="1629"/>
      <c r="Q53" s="978">
        <f t="shared" si="30"/>
        <v>0</v>
      </c>
      <c r="R53" s="1630"/>
      <c r="S53" s="1628"/>
      <c r="T53" s="1631"/>
      <c r="U53" s="2459">
        <f t="shared" si="4"/>
        <v>0</v>
      </c>
      <c r="V53" s="1049">
        <v>0</v>
      </c>
      <c r="W53" s="1050">
        <v>0</v>
      </c>
      <c r="X53" s="1050">
        <v>0</v>
      </c>
    </row>
    <row r="54" spans="1:24" ht="11.25" customHeight="1">
      <c r="A54" s="1170" t="str">
        <f>'Org structure'!E49</f>
        <v>5.3 - 115 - EMERGENCY AND DISASTER MANAGEMENT</v>
      </c>
      <c r="B54" s="293"/>
      <c r="C54" s="1052">
        <v>8878364</v>
      </c>
      <c r="D54" s="1050">
        <v>4448279</v>
      </c>
      <c r="E54" s="1051">
        <v>8454443</v>
      </c>
      <c r="F54" s="1051">
        <v>5535000</v>
      </c>
      <c r="G54" s="1049">
        <v>13023382</v>
      </c>
      <c r="H54" s="1049">
        <v>13023382</v>
      </c>
      <c r="I54" s="1049">
        <v>13023382</v>
      </c>
      <c r="J54" s="2466">
        <f t="shared" si="27"/>
        <v>8148800</v>
      </c>
      <c r="K54" s="942">
        <f t="shared" si="28"/>
        <v>4644300</v>
      </c>
      <c r="L54" s="2467">
        <f t="shared" si="29"/>
        <v>0</v>
      </c>
      <c r="M54" s="1171"/>
      <c r="N54" s="1630"/>
      <c r="O54" s="1628"/>
      <c r="P54" s="1629"/>
      <c r="Q54" s="978">
        <f t="shared" si="30"/>
        <v>0</v>
      </c>
      <c r="R54" s="1630"/>
      <c r="S54" s="1628"/>
      <c r="T54" s="1631"/>
      <c r="U54" s="2459">
        <f t="shared" si="4"/>
        <v>0</v>
      </c>
      <c r="V54" s="1049">
        <v>8148800</v>
      </c>
      <c r="W54" s="1050">
        <v>4644300</v>
      </c>
      <c r="X54" s="1050">
        <v>0</v>
      </c>
    </row>
    <row r="55" spans="1:24" ht="11.25" customHeight="1">
      <c r="A55" s="1170" t="str">
        <f>'Org structure'!E50</f>
        <v>5.4 - 130 - TRAFFIC SERVICES</v>
      </c>
      <c r="B55" s="293"/>
      <c r="C55" s="1052">
        <v>341911</v>
      </c>
      <c r="D55" s="1050">
        <v>139102</v>
      </c>
      <c r="E55" s="1051"/>
      <c r="F55" s="1051">
        <f>425000+1600000</f>
        <v>2025000</v>
      </c>
      <c r="G55" s="1049">
        <v>2142000</v>
      </c>
      <c r="H55" s="1049">
        <v>2142000</v>
      </c>
      <c r="I55" s="1049">
        <v>2142000</v>
      </c>
      <c r="J55" s="2466">
        <f t="shared" si="27"/>
        <v>124200</v>
      </c>
      <c r="K55" s="942">
        <f t="shared" si="28"/>
        <v>343000</v>
      </c>
      <c r="L55" s="2467">
        <f t="shared" si="29"/>
        <v>187000</v>
      </c>
      <c r="M55" s="1171"/>
      <c r="N55" s="1630"/>
      <c r="O55" s="1628"/>
      <c r="P55" s="1629"/>
      <c r="Q55" s="978">
        <f t="shared" si="30"/>
        <v>0</v>
      </c>
      <c r="R55" s="1630"/>
      <c r="S55" s="1628"/>
      <c r="T55" s="1631"/>
      <c r="U55" s="2459">
        <f t="shared" si="4"/>
        <v>0</v>
      </c>
      <c r="V55" s="1051">
        <v>124200</v>
      </c>
      <c r="W55" s="1049">
        <v>343000</v>
      </c>
      <c r="X55" s="1050">
        <v>187000</v>
      </c>
    </row>
    <row r="56" spans="1:24" ht="11.25" customHeight="1">
      <c r="A56" s="1170" t="str">
        <f>'Org structure'!E51</f>
        <v>5.5 - 140 - TESTING AND LICENSES</v>
      </c>
      <c r="B56" s="293"/>
      <c r="C56" s="1052">
        <v>20255</v>
      </c>
      <c r="D56" s="1050">
        <v>89419</v>
      </c>
      <c r="E56" s="1051">
        <v>5346138</v>
      </c>
      <c r="F56" s="1051">
        <v>510000</v>
      </c>
      <c r="G56" s="1050">
        <v>1664951</v>
      </c>
      <c r="H56" s="1050">
        <v>1664951</v>
      </c>
      <c r="I56" s="1050">
        <v>1664951</v>
      </c>
      <c r="J56" s="2466">
        <f t="shared" si="27"/>
        <v>420250</v>
      </c>
      <c r="K56" s="942">
        <f t="shared" si="28"/>
        <v>484000</v>
      </c>
      <c r="L56" s="2467">
        <f t="shared" si="29"/>
        <v>81000</v>
      </c>
      <c r="M56" s="1171"/>
      <c r="N56" s="1630"/>
      <c r="O56" s="1628"/>
      <c r="P56" s="1629"/>
      <c r="Q56" s="978">
        <f t="shared" si="30"/>
        <v>0</v>
      </c>
      <c r="R56" s="1630"/>
      <c r="S56" s="1628"/>
      <c r="T56" s="1631"/>
      <c r="U56" s="2459">
        <f t="shared" si="4"/>
        <v>0</v>
      </c>
      <c r="V56" s="1049">
        <v>420250</v>
      </c>
      <c r="W56" s="1050">
        <v>484000</v>
      </c>
      <c r="X56" s="1050">
        <v>81000</v>
      </c>
    </row>
    <row r="57" spans="1:24" ht="11.25" customHeight="1">
      <c r="A57" s="1170" t="str">
        <f>'Org structure'!E52</f>
        <v>5.6 - 141 - LAW ENFORCEMENT</v>
      </c>
      <c r="B57" s="293"/>
      <c r="C57" s="1049">
        <v>0</v>
      </c>
      <c r="D57" s="1050">
        <v>0</v>
      </c>
      <c r="E57" s="1050">
        <v>0</v>
      </c>
      <c r="F57" s="1051">
        <v>0</v>
      </c>
      <c r="G57" s="1049">
        <v>0</v>
      </c>
      <c r="H57" s="1050">
        <v>0</v>
      </c>
      <c r="I57" s="1052">
        <v>0</v>
      </c>
      <c r="J57" s="2466">
        <f t="shared" si="27"/>
        <v>448500</v>
      </c>
      <c r="K57" s="942">
        <f t="shared" si="28"/>
        <v>238000</v>
      </c>
      <c r="L57" s="2467">
        <f t="shared" si="29"/>
        <v>105000</v>
      </c>
      <c r="M57" s="1171"/>
      <c r="N57" s="1630"/>
      <c r="O57" s="1628"/>
      <c r="P57" s="1629"/>
      <c r="Q57" s="978">
        <f t="shared" si="30"/>
        <v>0</v>
      </c>
      <c r="R57" s="1630"/>
      <c r="S57" s="1628"/>
      <c r="T57" s="1631"/>
      <c r="U57" s="2459">
        <f t="shared" si="4"/>
        <v>0</v>
      </c>
      <c r="V57" s="1051">
        <v>448500</v>
      </c>
      <c r="W57" s="1049">
        <v>238000</v>
      </c>
      <c r="X57" s="1050">
        <v>105000</v>
      </c>
    </row>
    <row r="58" spans="1:24" ht="11.25" customHeight="1">
      <c r="A58" s="1170">
        <f>'Org structure'!E53</f>
        <v>0</v>
      </c>
      <c r="B58" s="293"/>
      <c r="C58" s="1628"/>
      <c r="D58" s="1628"/>
      <c r="E58" s="1629"/>
      <c r="F58" s="1630"/>
      <c r="G58" s="1628"/>
      <c r="H58" s="1629"/>
      <c r="I58" s="1631"/>
      <c r="J58" s="2466">
        <f t="shared" si="27"/>
        <v>0</v>
      </c>
      <c r="K58" s="942">
        <f t="shared" si="28"/>
        <v>0</v>
      </c>
      <c r="L58" s="2467">
        <f t="shared" si="29"/>
        <v>0</v>
      </c>
      <c r="M58" s="1171"/>
      <c r="N58" s="1630"/>
      <c r="O58" s="1628"/>
      <c r="P58" s="1629"/>
      <c r="Q58" s="978">
        <f t="shared" si="30"/>
        <v>0</v>
      </c>
      <c r="R58" s="1630"/>
      <c r="S58" s="1628"/>
      <c r="T58" s="1631"/>
      <c r="U58" s="2459">
        <f t="shared" si="4"/>
        <v>0</v>
      </c>
      <c r="V58" s="1631"/>
      <c r="W58" s="1628"/>
      <c r="X58" s="1633"/>
    </row>
    <row r="59" spans="1:24" ht="11.25" customHeight="1">
      <c r="A59" s="1170">
        <f>'Org structure'!E54</f>
        <v>0</v>
      </c>
      <c r="B59" s="293"/>
      <c r="C59" s="1628"/>
      <c r="D59" s="1628"/>
      <c r="E59" s="1629"/>
      <c r="F59" s="1630"/>
      <c r="G59" s="1628"/>
      <c r="H59" s="1629"/>
      <c r="I59" s="1631"/>
      <c r="J59" s="2466">
        <f t="shared" si="27"/>
        <v>0</v>
      </c>
      <c r="K59" s="942">
        <f t="shared" si="28"/>
        <v>0</v>
      </c>
      <c r="L59" s="2467">
        <f t="shared" si="29"/>
        <v>0</v>
      </c>
      <c r="M59" s="1171"/>
      <c r="N59" s="1630"/>
      <c r="O59" s="1628"/>
      <c r="P59" s="1629"/>
      <c r="Q59" s="978">
        <f t="shared" si="30"/>
        <v>0</v>
      </c>
      <c r="R59" s="1630"/>
      <c r="S59" s="1628"/>
      <c r="T59" s="1631"/>
      <c r="U59" s="2459">
        <f t="shared" si="4"/>
        <v>0</v>
      </c>
      <c r="V59" s="1631"/>
      <c r="W59" s="1628"/>
      <c r="X59" s="1633"/>
    </row>
    <row r="60" spans="1:24" ht="11.25" customHeight="1">
      <c r="A60" s="1170">
        <f>'Org structure'!E55</f>
        <v>0</v>
      </c>
      <c r="B60" s="293"/>
      <c r="C60" s="1628"/>
      <c r="D60" s="1628"/>
      <c r="E60" s="1629"/>
      <c r="F60" s="1630"/>
      <c r="G60" s="1628"/>
      <c r="H60" s="1629"/>
      <c r="I60" s="1631"/>
      <c r="J60" s="2466">
        <f t="shared" si="27"/>
        <v>0</v>
      </c>
      <c r="K60" s="942">
        <f t="shared" si="28"/>
        <v>0</v>
      </c>
      <c r="L60" s="2467">
        <f t="shared" si="29"/>
        <v>0</v>
      </c>
      <c r="M60" s="1171"/>
      <c r="N60" s="1630"/>
      <c r="O60" s="1628"/>
      <c r="P60" s="1629"/>
      <c r="Q60" s="978">
        <f t="shared" si="30"/>
        <v>0</v>
      </c>
      <c r="R60" s="1630"/>
      <c r="S60" s="1628"/>
      <c r="T60" s="1631"/>
      <c r="U60" s="2459">
        <f t="shared" si="4"/>
        <v>0</v>
      </c>
      <c r="V60" s="1631"/>
      <c r="W60" s="1628"/>
      <c r="X60" s="1633"/>
    </row>
    <row r="61" spans="1:24" ht="11.25" customHeight="1">
      <c r="A61" s="1170">
        <f>'Org structure'!E56</f>
        <v>0</v>
      </c>
      <c r="B61" s="293"/>
      <c r="C61" s="1628"/>
      <c r="D61" s="1628"/>
      <c r="E61" s="1629"/>
      <c r="F61" s="1630"/>
      <c r="G61" s="1628"/>
      <c r="H61" s="1629"/>
      <c r="I61" s="1631"/>
      <c r="J61" s="2466">
        <f t="shared" si="27"/>
        <v>0</v>
      </c>
      <c r="K61" s="942">
        <f t="shared" si="28"/>
        <v>0</v>
      </c>
      <c r="L61" s="2467">
        <f t="shared" si="29"/>
        <v>0</v>
      </c>
      <c r="M61" s="1171"/>
      <c r="N61" s="1630"/>
      <c r="O61" s="1628"/>
      <c r="P61" s="1629"/>
      <c r="Q61" s="978">
        <f t="shared" si="30"/>
        <v>0</v>
      </c>
      <c r="R61" s="1630"/>
      <c r="S61" s="1628"/>
      <c r="T61" s="1631"/>
      <c r="U61" s="2459">
        <f t="shared" si="4"/>
        <v>0</v>
      </c>
      <c r="V61" s="1631"/>
      <c r="W61" s="1628"/>
      <c r="X61" s="1633"/>
    </row>
    <row r="62" spans="1:24" ht="15" customHeight="1">
      <c r="A62" s="1169" t="str">
        <f>'Org structure'!A7</f>
        <v>Vote 6 - PLANNING &amp; HUMAN SETTLEMENT</v>
      </c>
      <c r="B62" s="981"/>
      <c r="C62" s="976">
        <f>SUM(C63:C72)</f>
        <v>1450153</v>
      </c>
      <c r="D62" s="976">
        <f t="shared" ref="D62:L62" si="31">SUM(D63:D72)</f>
        <v>272597</v>
      </c>
      <c r="E62" s="977">
        <f t="shared" si="31"/>
        <v>82654</v>
      </c>
      <c r="F62" s="978">
        <f t="shared" si="31"/>
        <v>28523229</v>
      </c>
      <c r="G62" s="976">
        <f t="shared" si="31"/>
        <v>27929671</v>
      </c>
      <c r="H62" s="977">
        <f t="shared" si="31"/>
        <v>27929671</v>
      </c>
      <c r="I62" s="979">
        <f>SUM(I63:I72)</f>
        <v>27929671</v>
      </c>
      <c r="J62" s="2466">
        <f t="shared" si="31"/>
        <v>77080000</v>
      </c>
      <c r="K62" s="942">
        <f t="shared" si="31"/>
        <v>36000000</v>
      </c>
      <c r="L62" s="2467">
        <f t="shared" si="31"/>
        <v>16000000</v>
      </c>
      <c r="M62" s="1171"/>
      <c r="N62" s="978">
        <f t="shared" ref="N62:X62" si="32">SUM(N63:N72)</f>
        <v>0</v>
      </c>
      <c r="O62" s="976">
        <f t="shared" si="32"/>
        <v>0</v>
      </c>
      <c r="P62" s="977">
        <f t="shared" si="32"/>
        <v>0</v>
      </c>
      <c r="Q62" s="978">
        <f t="shared" si="32"/>
        <v>0</v>
      </c>
      <c r="R62" s="978">
        <f t="shared" si="32"/>
        <v>0</v>
      </c>
      <c r="S62" s="976">
        <f t="shared" si="32"/>
        <v>0</v>
      </c>
      <c r="T62" s="2463">
        <f t="shared" si="32"/>
        <v>0</v>
      </c>
      <c r="U62" s="2459">
        <f t="shared" si="32"/>
        <v>0</v>
      </c>
      <c r="V62" s="2464">
        <f t="shared" si="32"/>
        <v>77080000</v>
      </c>
      <c r="W62" s="976">
        <f t="shared" si="32"/>
        <v>36000000</v>
      </c>
      <c r="X62" s="2465">
        <f t="shared" si="32"/>
        <v>16000000</v>
      </c>
    </row>
    <row r="63" spans="1:24" ht="11.25" customHeight="1">
      <c r="A63" s="1170" t="str">
        <f>'Org structure'!E58</f>
        <v>6.1 - 150 - OFFICE OF THE DIRECTOR PLANNING AND HUMAN SETLEMENT</v>
      </c>
      <c r="B63" s="293"/>
      <c r="C63" s="1052">
        <v>0</v>
      </c>
      <c r="D63" s="1050">
        <v>0</v>
      </c>
      <c r="E63" s="1051">
        <v>0</v>
      </c>
      <c r="F63" s="1051">
        <v>223196</v>
      </c>
      <c r="G63" s="1049">
        <v>19871</v>
      </c>
      <c r="H63" s="1049">
        <v>19871</v>
      </c>
      <c r="I63" s="1049">
        <v>19871</v>
      </c>
      <c r="J63" s="2466">
        <f t="shared" ref="J63:J72" si="33">Q63+V63</f>
        <v>15000</v>
      </c>
      <c r="K63" s="942">
        <f t="shared" ref="K63:K72" si="34">U63+W63</f>
        <v>0</v>
      </c>
      <c r="L63" s="2467">
        <f t="shared" ref="L63:L72" si="35">X63</f>
        <v>0</v>
      </c>
      <c r="M63" s="1171"/>
      <c r="N63" s="1630"/>
      <c r="O63" s="1628"/>
      <c r="P63" s="1629"/>
      <c r="Q63" s="978">
        <f t="shared" ref="Q63:Q72" si="36">SUM(N63:P63)</f>
        <v>0</v>
      </c>
      <c r="R63" s="1630"/>
      <c r="S63" s="1628"/>
      <c r="T63" s="1631"/>
      <c r="U63" s="2459">
        <f t="shared" si="4"/>
        <v>0</v>
      </c>
      <c r="V63" s="1049">
        <v>15000</v>
      </c>
      <c r="W63" s="1050">
        <v>0</v>
      </c>
      <c r="X63" s="1050">
        <v>0</v>
      </c>
    </row>
    <row r="64" spans="1:24" ht="11.25" customHeight="1">
      <c r="A64" s="1170" t="str">
        <f>'Org structure'!E59</f>
        <v>6.2 - 155 - DEVELOPMENT PLANNING</v>
      </c>
      <c r="B64" s="293"/>
      <c r="C64" s="1052">
        <v>1430153</v>
      </c>
      <c r="D64" s="1050"/>
      <c r="E64" s="1051">
        <v>82654</v>
      </c>
      <c r="F64" s="1051">
        <v>80000</v>
      </c>
      <c r="G64" s="1049">
        <v>80000</v>
      </c>
      <c r="H64" s="1050">
        <v>80000</v>
      </c>
      <c r="I64" s="1050">
        <v>80000</v>
      </c>
      <c r="J64" s="2466">
        <f t="shared" si="33"/>
        <v>37315000</v>
      </c>
      <c r="K64" s="942">
        <f t="shared" si="34"/>
        <v>36000000</v>
      </c>
      <c r="L64" s="2467">
        <f t="shared" si="35"/>
        <v>16000000</v>
      </c>
      <c r="M64" s="1171"/>
      <c r="N64" s="1630"/>
      <c r="O64" s="1628"/>
      <c r="P64" s="1629"/>
      <c r="Q64" s="978">
        <f t="shared" si="36"/>
        <v>0</v>
      </c>
      <c r="R64" s="1630"/>
      <c r="S64" s="1628"/>
      <c r="T64" s="1631"/>
      <c r="U64" s="2459">
        <f t="shared" si="4"/>
        <v>0</v>
      </c>
      <c r="V64" s="1049">
        <v>37315000</v>
      </c>
      <c r="W64" s="1050">
        <v>36000000</v>
      </c>
      <c r="X64" s="1050">
        <v>16000000</v>
      </c>
    </row>
    <row r="65" spans="1:24" ht="11.25" customHeight="1">
      <c r="A65" s="1170" t="str">
        <f>'Org structure'!E60</f>
        <v>6.3 - 156 - ESTATES</v>
      </c>
      <c r="B65" s="293"/>
      <c r="C65" s="1052">
        <v>0</v>
      </c>
      <c r="D65" s="1050">
        <v>0</v>
      </c>
      <c r="E65" s="1051"/>
      <c r="F65" s="1051">
        <v>27600000</v>
      </c>
      <c r="G65" s="1049">
        <v>27600000</v>
      </c>
      <c r="H65" s="1050">
        <v>27600000</v>
      </c>
      <c r="I65" s="1050">
        <v>27600000</v>
      </c>
      <c r="J65" s="2466">
        <f t="shared" si="33"/>
        <v>6080000</v>
      </c>
      <c r="K65" s="942">
        <f t="shared" si="34"/>
        <v>0</v>
      </c>
      <c r="L65" s="2467">
        <f t="shared" si="35"/>
        <v>0</v>
      </c>
      <c r="M65" s="1171"/>
      <c r="N65" s="1630"/>
      <c r="O65" s="1628"/>
      <c r="P65" s="1629"/>
      <c r="Q65" s="978">
        <f t="shared" si="36"/>
        <v>0</v>
      </c>
      <c r="R65" s="1630"/>
      <c r="S65" s="1628"/>
      <c r="T65" s="1631"/>
      <c r="U65" s="2459">
        <f t="shared" si="4"/>
        <v>0</v>
      </c>
      <c r="V65" s="1049">
        <v>6080000</v>
      </c>
      <c r="W65" s="1050">
        <v>0</v>
      </c>
      <c r="X65" s="1050">
        <v>0</v>
      </c>
    </row>
    <row r="66" spans="1:24" ht="11.25" customHeight="1">
      <c r="A66" s="1170" t="str">
        <f>'Org structure'!E61</f>
        <v>6.4 - 160 - HOUSING PROVISION</v>
      </c>
      <c r="B66" s="293"/>
      <c r="C66" s="1052">
        <v>0</v>
      </c>
      <c r="D66" s="1050">
        <v>89223</v>
      </c>
      <c r="E66" s="1051">
        <v>0</v>
      </c>
      <c r="F66" s="1051">
        <v>340233</v>
      </c>
      <c r="G66" s="1049">
        <v>150000</v>
      </c>
      <c r="H66" s="1050">
        <v>150000</v>
      </c>
      <c r="I66" s="1052">
        <v>150000</v>
      </c>
      <c r="J66" s="2466">
        <f t="shared" si="33"/>
        <v>33000000</v>
      </c>
      <c r="K66" s="942">
        <f t="shared" si="34"/>
        <v>0</v>
      </c>
      <c r="L66" s="2467">
        <f t="shared" si="35"/>
        <v>0</v>
      </c>
      <c r="M66" s="1171"/>
      <c r="N66" s="1630"/>
      <c r="O66" s="1628"/>
      <c r="P66" s="1629"/>
      <c r="Q66" s="978">
        <f t="shared" si="36"/>
        <v>0</v>
      </c>
      <c r="R66" s="1630"/>
      <c r="S66" s="1628"/>
      <c r="T66" s="1631"/>
      <c r="U66" s="2459">
        <f t="shared" si="4"/>
        <v>0</v>
      </c>
      <c r="V66" s="1049">
        <v>33000000</v>
      </c>
      <c r="W66" s="1050">
        <v>0</v>
      </c>
      <c r="X66" s="1050">
        <v>0</v>
      </c>
    </row>
    <row r="67" spans="1:24" ht="11.25" customHeight="1">
      <c r="A67" s="1170" t="str">
        <f>'Org structure'!E62</f>
        <v>6.5 - 165 - BUILDING CONTROL AND REGULATIONS</v>
      </c>
      <c r="B67" s="293"/>
      <c r="C67" s="1052">
        <v>0</v>
      </c>
      <c r="D67" s="1050">
        <v>0</v>
      </c>
      <c r="E67" s="1051">
        <v>0</v>
      </c>
      <c r="F67" s="1051">
        <v>79800</v>
      </c>
      <c r="G67" s="1049">
        <v>79800</v>
      </c>
      <c r="H67" s="1050">
        <v>79800</v>
      </c>
      <c r="I67" s="1052">
        <v>79800</v>
      </c>
      <c r="J67" s="2466">
        <f t="shared" si="33"/>
        <v>40000</v>
      </c>
      <c r="K67" s="942">
        <f t="shared" si="34"/>
        <v>0</v>
      </c>
      <c r="L67" s="2467">
        <f t="shared" si="35"/>
        <v>0</v>
      </c>
      <c r="M67" s="1171"/>
      <c r="N67" s="1630"/>
      <c r="O67" s="1628"/>
      <c r="P67" s="1629"/>
      <c r="Q67" s="978">
        <f t="shared" si="36"/>
        <v>0</v>
      </c>
      <c r="R67" s="1630"/>
      <c r="S67" s="1628"/>
      <c r="T67" s="1631"/>
      <c r="U67" s="2459">
        <f t="shared" si="4"/>
        <v>0</v>
      </c>
      <c r="V67" s="1049">
        <v>40000</v>
      </c>
      <c r="W67" s="1050">
        <v>0</v>
      </c>
      <c r="X67" s="1050">
        <v>0</v>
      </c>
    </row>
    <row r="68" spans="1:24" ht="11.25" customHeight="1">
      <c r="A68" s="1170" t="str">
        <f>'Org structure'!E63</f>
        <v>6.6 - 175 - INTEGRATED ENVIRONMENTAL MANAGEMENT</v>
      </c>
      <c r="B68" s="293"/>
      <c r="C68" s="1052">
        <v>20000</v>
      </c>
      <c r="D68" s="1050">
        <v>183374</v>
      </c>
      <c r="E68" s="1051">
        <v>0</v>
      </c>
      <c r="F68" s="1051">
        <v>200000</v>
      </c>
      <c r="G68" s="1049">
        <v>0</v>
      </c>
      <c r="H68" s="1050">
        <v>0</v>
      </c>
      <c r="I68" s="1052">
        <v>0</v>
      </c>
      <c r="J68" s="2466">
        <f t="shared" si="33"/>
        <v>630000</v>
      </c>
      <c r="K68" s="942">
        <f t="shared" si="34"/>
        <v>0</v>
      </c>
      <c r="L68" s="2467">
        <f t="shared" si="35"/>
        <v>0</v>
      </c>
      <c r="M68" s="1171"/>
      <c r="N68" s="1630"/>
      <c r="O68" s="1628"/>
      <c r="P68" s="1629"/>
      <c r="Q68" s="978">
        <f t="shared" si="36"/>
        <v>0</v>
      </c>
      <c r="R68" s="1630"/>
      <c r="S68" s="1628"/>
      <c r="T68" s="1631"/>
      <c r="U68" s="2459">
        <f t="shared" si="4"/>
        <v>0</v>
      </c>
      <c r="V68" s="1049">
        <v>630000</v>
      </c>
      <c r="W68" s="1050">
        <v>0</v>
      </c>
      <c r="X68" s="1050">
        <v>0</v>
      </c>
    </row>
    <row r="69" spans="1:24" ht="11.25" customHeight="1">
      <c r="A69" s="1170">
        <f>'Org structure'!E64</f>
        <v>0</v>
      </c>
      <c r="B69" s="293"/>
      <c r="C69" s="1049"/>
      <c r="D69" s="1049"/>
      <c r="E69" s="1050"/>
      <c r="F69" s="1051"/>
      <c r="G69" s="1049"/>
      <c r="H69" s="1050"/>
      <c r="I69" s="1052"/>
      <c r="J69" s="2466">
        <f t="shared" si="33"/>
        <v>0</v>
      </c>
      <c r="K69" s="942">
        <f t="shared" si="34"/>
        <v>0</v>
      </c>
      <c r="L69" s="2467">
        <f t="shared" si="35"/>
        <v>0</v>
      </c>
      <c r="M69" s="1171"/>
      <c r="N69" s="1630"/>
      <c r="O69" s="1628"/>
      <c r="P69" s="1629"/>
      <c r="Q69" s="978">
        <f t="shared" si="36"/>
        <v>0</v>
      </c>
      <c r="R69" s="1630"/>
      <c r="S69" s="1628"/>
      <c r="T69" s="1631"/>
      <c r="U69" s="2459">
        <f t="shared" si="4"/>
        <v>0</v>
      </c>
      <c r="V69" s="1051"/>
      <c r="W69" s="1049"/>
      <c r="X69" s="1050"/>
    </row>
    <row r="70" spans="1:24" ht="11.25" customHeight="1">
      <c r="A70" s="1170">
        <f>'Org structure'!E65</f>
        <v>0</v>
      </c>
      <c r="B70" s="293"/>
      <c r="C70" s="1628"/>
      <c r="D70" s="1628"/>
      <c r="E70" s="1629"/>
      <c r="F70" s="1630"/>
      <c r="G70" s="1628"/>
      <c r="H70" s="1629"/>
      <c r="I70" s="1631"/>
      <c r="J70" s="2466">
        <f t="shared" si="33"/>
        <v>0</v>
      </c>
      <c r="K70" s="942">
        <f t="shared" si="34"/>
        <v>0</v>
      </c>
      <c r="L70" s="2467">
        <f t="shared" si="35"/>
        <v>0</v>
      </c>
      <c r="M70" s="1171"/>
      <c r="N70" s="1630"/>
      <c r="O70" s="1628"/>
      <c r="P70" s="1629"/>
      <c r="Q70" s="978">
        <f t="shared" si="36"/>
        <v>0</v>
      </c>
      <c r="R70" s="1630"/>
      <c r="S70" s="1628"/>
      <c r="T70" s="1631"/>
      <c r="U70" s="2459">
        <f t="shared" si="4"/>
        <v>0</v>
      </c>
      <c r="V70" s="1631"/>
      <c r="W70" s="1628"/>
      <c r="X70" s="1633"/>
    </row>
    <row r="71" spans="1:24" ht="11.25" customHeight="1">
      <c r="A71" s="1170">
        <f>'Org structure'!E66</f>
        <v>0</v>
      </c>
      <c r="B71" s="293"/>
      <c r="C71" s="1628"/>
      <c r="D71" s="1628"/>
      <c r="E71" s="1629"/>
      <c r="F71" s="1630"/>
      <c r="G71" s="1628"/>
      <c r="H71" s="1629"/>
      <c r="I71" s="1631"/>
      <c r="J71" s="2466">
        <f t="shared" si="33"/>
        <v>0</v>
      </c>
      <c r="K71" s="942">
        <f t="shared" si="34"/>
        <v>0</v>
      </c>
      <c r="L71" s="2467">
        <f t="shared" si="35"/>
        <v>0</v>
      </c>
      <c r="M71" s="1171"/>
      <c r="N71" s="1630"/>
      <c r="O71" s="1628"/>
      <c r="P71" s="1629"/>
      <c r="Q71" s="978">
        <f t="shared" si="36"/>
        <v>0</v>
      </c>
      <c r="R71" s="1630"/>
      <c r="S71" s="1628"/>
      <c r="T71" s="1631"/>
      <c r="U71" s="2459">
        <f t="shared" si="4"/>
        <v>0</v>
      </c>
      <c r="V71" s="1631"/>
      <c r="W71" s="1628"/>
      <c r="X71" s="1633"/>
    </row>
    <row r="72" spans="1:24" ht="11.25" customHeight="1">
      <c r="A72" s="1170">
        <f>'Org structure'!E67</f>
        <v>0</v>
      </c>
      <c r="B72" s="293"/>
      <c r="C72" s="1628"/>
      <c r="D72" s="1628"/>
      <c r="E72" s="1629"/>
      <c r="F72" s="1630"/>
      <c r="G72" s="1628"/>
      <c r="H72" s="1629"/>
      <c r="I72" s="1631"/>
      <c r="J72" s="2466">
        <f t="shared" si="33"/>
        <v>0</v>
      </c>
      <c r="K72" s="942">
        <f t="shared" si="34"/>
        <v>0</v>
      </c>
      <c r="L72" s="2467">
        <f t="shared" si="35"/>
        <v>0</v>
      </c>
      <c r="M72" s="1171"/>
      <c r="N72" s="1630"/>
      <c r="O72" s="1628"/>
      <c r="P72" s="1629"/>
      <c r="Q72" s="978">
        <f t="shared" si="36"/>
        <v>0</v>
      </c>
      <c r="R72" s="1630"/>
      <c r="S72" s="1628"/>
      <c r="T72" s="1631"/>
      <c r="U72" s="2459">
        <f t="shared" si="4"/>
        <v>0</v>
      </c>
      <c r="V72" s="1631"/>
      <c r="W72" s="1628"/>
      <c r="X72" s="1633"/>
    </row>
    <row r="73" spans="1:24" ht="15" customHeight="1">
      <c r="A73" s="1169" t="str">
        <f>'Org structure'!A8</f>
        <v xml:space="preserve">Vote 7 - LOCAL ECONOMIC DEVELOPMENT </v>
      </c>
      <c r="B73" s="981"/>
      <c r="C73" s="976">
        <f t="shared" ref="C73:L73" si="37">SUM(C74:C83)</f>
        <v>2100693</v>
      </c>
      <c r="D73" s="976">
        <f t="shared" si="37"/>
        <v>479329</v>
      </c>
      <c r="E73" s="977">
        <f t="shared" si="37"/>
        <v>1164819</v>
      </c>
      <c r="F73" s="978">
        <f t="shared" si="37"/>
        <v>11131800</v>
      </c>
      <c r="G73" s="976">
        <f t="shared" si="37"/>
        <v>11131800</v>
      </c>
      <c r="H73" s="977">
        <f t="shared" si="37"/>
        <v>11131800</v>
      </c>
      <c r="I73" s="979">
        <f t="shared" si="37"/>
        <v>11131800</v>
      </c>
      <c r="J73" s="2466">
        <f t="shared" si="37"/>
        <v>5164000</v>
      </c>
      <c r="K73" s="942">
        <f t="shared" si="37"/>
        <v>4080000</v>
      </c>
      <c r="L73" s="2467">
        <f t="shared" si="37"/>
        <v>4515000</v>
      </c>
      <c r="M73" s="1171"/>
      <c r="N73" s="978">
        <f t="shared" ref="N73:X73" si="38">SUM(N74:N83)</f>
        <v>0</v>
      </c>
      <c r="O73" s="976">
        <f t="shared" si="38"/>
        <v>0</v>
      </c>
      <c r="P73" s="977">
        <f t="shared" si="38"/>
        <v>0</v>
      </c>
      <c r="Q73" s="978">
        <f t="shared" si="38"/>
        <v>0</v>
      </c>
      <c r="R73" s="978">
        <f t="shared" si="38"/>
        <v>0</v>
      </c>
      <c r="S73" s="976">
        <f t="shared" si="38"/>
        <v>0</v>
      </c>
      <c r="T73" s="2463">
        <f t="shared" si="38"/>
        <v>0</v>
      </c>
      <c r="U73" s="2459">
        <f t="shared" si="38"/>
        <v>0</v>
      </c>
      <c r="V73" s="2464">
        <f t="shared" si="38"/>
        <v>5164000</v>
      </c>
      <c r="W73" s="976">
        <f t="shared" si="38"/>
        <v>4080000</v>
      </c>
      <c r="X73" s="2465">
        <f t="shared" si="38"/>
        <v>4515000</v>
      </c>
    </row>
    <row r="74" spans="1:24" ht="11.25" customHeight="1">
      <c r="A74" s="1170" t="str">
        <f>'Org structure'!E69</f>
        <v>7.1 - 180 - LOCAL ECONOMIC DEVELOPMENT</v>
      </c>
      <c r="B74" s="293"/>
      <c r="C74" s="1052">
        <v>2100693</v>
      </c>
      <c r="D74" s="1050">
        <v>479329</v>
      </c>
      <c r="E74" s="1050">
        <v>1164819</v>
      </c>
      <c r="F74" s="1051">
        <v>11131800</v>
      </c>
      <c r="G74" s="1049">
        <v>11131800</v>
      </c>
      <c r="H74" s="1050">
        <v>11131800</v>
      </c>
      <c r="I74" s="1050">
        <v>11131800</v>
      </c>
      <c r="J74" s="2466">
        <f t="shared" ref="J74:J83" si="39">Q74+V74</f>
        <v>5164000</v>
      </c>
      <c r="K74" s="942">
        <f t="shared" ref="K74:K83" si="40">U74+W74</f>
        <v>4080000</v>
      </c>
      <c r="L74" s="2467">
        <f t="shared" ref="L74:L83" si="41">X74</f>
        <v>4515000</v>
      </c>
      <c r="M74" s="1171"/>
      <c r="N74" s="1630"/>
      <c r="O74" s="1628"/>
      <c r="P74" s="1629"/>
      <c r="Q74" s="978">
        <f t="shared" ref="Q74:Q83" si="42">SUM(N74:P74)</f>
        <v>0</v>
      </c>
      <c r="R74" s="1630"/>
      <c r="S74" s="1628"/>
      <c r="T74" s="1631"/>
      <c r="U74" s="2459">
        <f t="shared" ref="U74:U136" si="43">SUM(R74:T74)</f>
        <v>0</v>
      </c>
      <c r="V74" s="1049">
        <v>5164000</v>
      </c>
      <c r="W74" s="1050">
        <v>4080000</v>
      </c>
      <c r="X74" s="1050">
        <v>4515000</v>
      </c>
    </row>
    <row r="75" spans="1:24" ht="11.25" customHeight="1">
      <c r="A75" s="1170" t="str">
        <f>'Org structure'!E70</f>
        <v>7.2 - 181 - BUSINESS ADVICE CENTRE</v>
      </c>
      <c r="B75" s="293"/>
      <c r="C75" s="1050">
        <v>0</v>
      </c>
      <c r="D75" s="1052">
        <v>0</v>
      </c>
      <c r="E75" s="1050">
        <v>0</v>
      </c>
      <c r="F75" s="1051">
        <v>0</v>
      </c>
      <c r="G75" s="1049"/>
      <c r="H75" s="1050"/>
      <c r="I75" s="1052"/>
      <c r="J75" s="2466">
        <f t="shared" si="39"/>
        <v>0</v>
      </c>
      <c r="K75" s="942">
        <f t="shared" si="40"/>
        <v>0</v>
      </c>
      <c r="L75" s="2467">
        <f t="shared" si="41"/>
        <v>0</v>
      </c>
      <c r="M75" s="1171"/>
      <c r="N75" s="1630"/>
      <c r="O75" s="1628"/>
      <c r="P75" s="1629"/>
      <c r="Q75" s="978">
        <f t="shared" si="42"/>
        <v>0</v>
      </c>
      <c r="R75" s="1630"/>
      <c r="S75" s="1628"/>
      <c r="T75" s="1631"/>
      <c r="U75" s="2459">
        <f t="shared" si="43"/>
        <v>0</v>
      </c>
      <c r="V75" s="1051">
        <v>0</v>
      </c>
      <c r="W75" s="1049">
        <v>0</v>
      </c>
      <c r="X75" s="1050">
        <v>0</v>
      </c>
    </row>
    <row r="76" spans="1:24" ht="11.25" customHeight="1">
      <c r="A76" s="1170" t="str">
        <f>'Org structure'!E71</f>
        <v>7.3 - 185 - ENTERPRISE / SMME DEVELOPMENT</v>
      </c>
      <c r="B76" s="293"/>
      <c r="C76" s="1050">
        <v>0</v>
      </c>
      <c r="D76" s="1052">
        <v>0</v>
      </c>
      <c r="E76" s="1050">
        <v>0</v>
      </c>
      <c r="F76" s="1051">
        <v>0</v>
      </c>
      <c r="G76" s="1049"/>
      <c r="H76" s="1050"/>
      <c r="I76" s="1052"/>
      <c r="J76" s="2466">
        <f t="shared" si="39"/>
        <v>0</v>
      </c>
      <c r="K76" s="942">
        <f t="shared" si="40"/>
        <v>0</v>
      </c>
      <c r="L76" s="2467">
        <f t="shared" si="41"/>
        <v>0</v>
      </c>
      <c r="M76" s="1171"/>
      <c r="N76" s="1630"/>
      <c r="O76" s="1628"/>
      <c r="P76" s="1629"/>
      <c r="Q76" s="978">
        <f t="shared" si="42"/>
        <v>0</v>
      </c>
      <c r="R76" s="1630"/>
      <c r="S76" s="1628"/>
      <c r="T76" s="1631"/>
      <c r="U76" s="2459">
        <f t="shared" si="43"/>
        <v>0</v>
      </c>
      <c r="V76" s="1051">
        <v>0</v>
      </c>
      <c r="W76" s="1049">
        <v>0</v>
      </c>
      <c r="X76" s="1050">
        <v>0</v>
      </c>
    </row>
    <row r="77" spans="1:24" ht="11.25" customHeight="1">
      <c r="A77" s="1170" t="str">
        <f>'Org structure'!E72</f>
        <v>7.4 - 190 - POLICY RESERCH AND MARKETING</v>
      </c>
      <c r="B77" s="293"/>
      <c r="C77" s="1050">
        <v>0</v>
      </c>
      <c r="D77" s="1052">
        <v>0</v>
      </c>
      <c r="E77" s="1050">
        <v>0</v>
      </c>
      <c r="F77" s="1051">
        <v>0</v>
      </c>
      <c r="G77" s="1049"/>
      <c r="H77" s="1050"/>
      <c r="I77" s="1052"/>
      <c r="J77" s="2466">
        <f t="shared" si="39"/>
        <v>0</v>
      </c>
      <c r="K77" s="942">
        <f t="shared" si="40"/>
        <v>0</v>
      </c>
      <c r="L77" s="2467">
        <f t="shared" si="41"/>
        <v>0</v>
      </c>
      <c r="M77" s="1171"/>
      <c r="N77" s="1630"/>
      <c r="O77" s="1628"/>
      <c r="P77" s="1629"/>
      <c r="Q77" s="978">
        <f t="shared" si="42"/>
        <v>0</v>
      </c>
      <c r="R77" s="1630"/>
      <c r="S77" s="1628"/>
      <c r="T77" s="1631"/>
      <c r="U77" s="2459">
        <f t="shared" si="43"/>
        <v>0</v>
      </c>
      <c r="V77" s="1051">
        <v>0</v>
      </c>
      <c r="W77" s="1049">
        <v>0</v>
      </c>
      <c r="X77" s="1050">
        <v>0</v>
      </c>
    </row>
    <row r="78" spans="1:24" ht="11.25" customHeight="1">
      <c r="A78" s="1170" t="str">
        <f>'Org structure'!E73</f>
        <v>7.5 - 195 - INTER GOVERNMENTAL RELATIONS</v>
      </c>
      <c r="B78" s="293"/>
      <c r="C78" s="1050">
        <v>0</v>
      </c>
      <c r="D78" s="1052">
        <v>0</v>
      </c>
      <c r="E78" s="1050">
        <v>0</v>
      </c>
      <c r="F78" s="1051">
        <v>0</v>
      </c>
      <c r="G78" s="1049"/>
      <c r="H78" s="1050"/>
      <c r="I78" s="1052"/>
      <c r="J78" s="2466">
        <f t="shared" si="39"/>
        <v>0</v>
      </c>
      <c r="K78" s="942">
        <f t="shared" si="40"/>
        <v>0</v>
      </c>
      <c r="L78" s="2467">
        <f t="shared" si="41"/>
        <v>0</v>
      </c>
      <c r="M78" s="1171"/>
      <c r="N78" s="1630"/>
      <c r="O78" s="1628"/>
      <c r="P78" s="1629"/>
      <c r="Q78" s="978">
        <f t="shared" si="42"/>
        <v>0</v>
      </c>
      <c r="R78" s="1630"/>
      <c r="S78" s="1628"/>
      <c r="T78" s="1631"/>
      <c r="U78" s="2459">
        <f t="shared" si="43"/>
        <v>0</v>
      </c>
      <c r="V78" s="1051">
        <v>0</v>
      </c>
      <c r="W78" s="1049">
        <v>0</v>
      </c>
      <c r="X78" s="1050">
        <v>0</v>
      </c>
    </row>
    <row r="79" spans="1:24" ht="11.25" customHeight="1">
      <c r="A79" s="1170">
        <f>'Org structure'!E74</f>
        <v>0</v>
      </c>
      <c r="B79" s="293"/>
      <c r="C79" s="1628"/>
      <c r="D79" s="1628"/>
      <c r="E79" s="1629"/>
      <c r="F79" s="1630"/>
      <c r="G79" s="1628"/>
      <c r="H79" s="1629"/>
      <c r="I79" s="2537"/>
      <c r="J79" s="2466">
        <f t="shared" si="39"/>
        <v>0</v>
      </c>
      <c r="K79" s="942">
        <f t="shared" si="40"/>
        <v>0</v>
      </c>
      <c r="L79" s="2467">
        <f t="shared" si="41"/>
        <v>0</v>
      </c>
      <c r="M79" s="1171"/>
      <c r="N79" s="1630"/>
      <c r="O79" s="1628"/>
      <c r="P79" s="1629"/>
      <c r="Q79" s="978">
        <f t="shared" si="42"/>
        <v>0</v>
      </c>
      <c r="R79" s="1630"/>
      <c r="S79" s="1628"/>
      <c r="T79" s="1631"/>
      <c r="U79" s="2459">
        <f t="shared" si="43"/>
        <v>0</v>
      </c>
      <c r="V79" s="1049"/>
      <c r="W79" s="1050"/>
      <c r="X79" s="1050"/>
    </row>
    <row r="80" spans="1:24" ht="11.25" customHeight="1">
      <c r="A80" s="1170">
        <f>'Org structure'!E75</f>
        <v>0</v>
      </c>
      <c r="B80" s="293"/>
      <c r="C80" s="1628"/>
      <c r="D80" s="1628"/>
      <c r="E80" s="1629"/>
      <c r="F80" s="1630"/>
      <c r="G80" s="1628"/>
      <c r="H80" s="1629"/>
      <c r="I80" s="1631"/>
      <c r="J80" s="2466">
        <f t="shared" si="39"/>
        <v>0</v>
      </c>
      <c r="K80" s="942">
        <f t="shared" si="40"/>
        <v>0</v>
      </c>
      <c r="L80" s="2467">
        <f t="shared" si="41"/>
        <v>0</v>
      </c>
      <c r="M80" s="1171"/>
      <c r="N80" s="1630"/>
      <c r="O80" s="1628"/>
      <c r="P80" s="1629"/>
      <c r="Q80" s="978">
        <f t="shared" si="42"/>
        <v>0</v>
      </c>
      <c r="R80" s="1630"/>
      <c r="S80" s="1628"/>
      <c r="T80" s="1631"/>
      <c r="U80" s="2459">
        <f t="shared" si="43"/>
        <v>0</v>
      </c>
      <c r="V80" s="1631"/>
      <c r="W80" s="1628"/>
      <c r="X80" s="1633"/>
    </row>
    <row r="81" spans="1:24" ht="11.25" customHeight="1">
      <c r="A81" s="1170">
        <f>'Org structure'!E76</f>
        <v>0</v>
      </c>
      <c r="B81" s="293"/>
      <c r="C81" s="1628"/>
      <c r="D81" s="1628"/>
      <c r="E81" s="1629"/>
      <c r="F81" s="1630"/>
      <c r="G81" s="1628"/>
      <c r="H81" s="1629"/>
      <c r="I81" s="1631"/>
      <c r="J81" s="2466">
        <f t="shared" si="39"/>
        <v>0</v>
      </c>
      <c r="K81" s="942">
        <f t="shared" si="40"/>
        <v>0</v>
      </c>
      <c r="L81" s="2467">
        <f t="shared" si="41"/>
        <v>0</v>
      </c>
      <c r="M81" s="1171"/>
      <c r="N81" s="1630"/>
      <c r="O81" s="1628"/>
      <c r="P81" s="1629"/>
      <c r="Q81" s="978">
        <f t="shared" si="42"/>
        <v>0</v>
      </c>
      <c r="R81" s="1630"/>
      <c r="S81" s="1628"/>
      <c r="T81" s="1631"/>
      <c r="U81" s="2459">
        <f t="shared" si="43"/>
        <v>0</v>
      </c>
      <c r="V81" s="1631"/>
      <c r="W81" s="1628"/>
      <c r="X81" s="1633"/>
    </row>
    <row r="82" spans="1:24" ht="11.25" customHeight="1">
      <c r="A82" s="1170">
        <f>'Org structure'!E77</f>
        <v>0</v>
      </c>
      <c r="B82" s="293"/>
      <c r="C82" s="1628"/>
      <c r="D82" s="1628"/>
      <c r="E82" s="1629"/>
      <c r="F82" s="1630"/>
      <c r="G82" s="1628"/>
      <c r="H82" s="1629"/>
      <c r="I82" s="1631"/>
      <c r="J82" s="2466">
        <f t="shared" si="39"/>
        <v>0</v>
      </c>
      <c r="K82" s="942">
        <f t="shared" si="40"/>
        <v>0</v>
      </c>
      <c r="L82" s="2467">
        <f t="shared" si="41"/>
        <v>0</v>
      </c>
      <c r="M82" s="1171"/>
      <c r="N82" s="1630"/>
      <c r="O82" s="1628"/>
      <c r="P82" s="1629"/>
      <c r="Q82" s="978">
        <f t="shared" si="42"/>
        <v>0</v>
      </c>
      <c r="R82" s="1630"/>
      <c r="S82" s="1628"/>
      <c r="T82" s="1631"/>
      <c r="U82" s="2459">
        <f t="shared" si="43"/>
        <v>0</v>
      </c>
      <c r="V82" s="1631"/>
      <c r="W82" s="1628"/>
      <c r="X82" s="1633"/>
    </row>
    <row r="83" spans="1:24" ht="11.25" customHeight="1">
      <c r="A83" s="1170">
        <f>'Org structure'!E78</f>
        <v>0</v>
      </c>
      <c r="B83" s="293"/>
      <c r="C83" s="1628"/>
      <c r="D83" s="1628"/>
      <c r="E83" s="1629"/>
      <c r="F83" s="1630"/>
      <c r="G83" s="1628"/>
      <c r="H83" s="1629"/>
      <c r="I83" s="1631"/>
      <c r="J83" s="2466">
        <f t="shared" si="39"/>
        <v>0</v>
      </c>
      <c r="K83" s="942">
        <f t="shared" si="40"/>
        <v>0</v>
      </c>
      <c r="L83" s="2467">
        <f t="shared" si="41"/>
        <v>0</v>
      </c>
      <c r="M83" s="1171"/>
      <c r="N83" s="1630"/>
      <c r="O83" s="1628"/>
      <c r="P83" s="1629"/>
      <c r="Q83" s="978">
        <f t="shared" si="42"/>
        <v>0</v>
      </c>
      <c r="R83" s="1630"/>
      <c r="S83" s="1628"/>
      <c r="T83" s="1631"/>
      <c r="U83" s="2459">
        <f t="shared" si="43"/>
        <v>0</v>
      </c>
      <c r="V83" s="1631"/>
      <c r="W83" s="1628"/>
      <c r="X83" s="1633"/>
    </row>
    <row r="84" spans="1:24" ht="15" customHeight="1">
      <c r="A84" s="1169" t="str">
        <f>'Org structure'!A9</f>
        <v>Vote 8 - COMMUNITY DEVELOPMENT</v>
      </c>
      <c r="B84" s="293"/>
      <c r="C84" s="976">
        <f t="shared" ref="C84:L84" si="44">SUM(C85:C94)</f>
        <v>7198416</v>
      </c>
      <c r="D84" s="976">
        <f t="shared" si="44"/>
        <v>7453704</v>
      </c>
      <c r="E84" s="977">
        <f t="shared" si="44"/>
        <v>1008628</v>
      </c>
      <c r="F84" s="978">
        <f t="shared" si="44"/>
        <v>13724000</v>
      </c>
      <c r="G84" s="976">
        <f t="shared" si="44"/>
        <v>13112000</v>
      </c>
      <c r="H84" s="977">
        <f t="shared" si="44"/>
        <v>13112000</v>
      </c>
      <c r="I84" s="979">
        <f t="shared" si="44"/>
        <v>13112000</v>
      </c>
      <c r="J84" s="2466">
        <f t="shared" si="44"/>
        <v>12293500</v>
      </c>
      <c r="K84" s="942">
        <f t="shared" si="44"/>
        <v>3938500</v>
      </c>
      <c r="L84" s="2467">
        <f t="shared" si="44"/>
        <v>3683000</v>
      </c>
      <c r="M84" s="320"/>
      <c r="N84" s="978">
        <f t="shared" ref="N84:X84" si="45">SUM(N85:N94)</f>
        <v>0</v>
      </c>
      <c r="O84" s="976">
        <f t="shared" si="45"/>
        <v>0</v>
      </c>
      <c r="P84" s="977">
        <f t="shared" si="45"/>
        <v>0</v>
      </c>
      <c r="Q84" s="978">
        <f t="shared" si="45"/>
        <v>0</v>
      </c>
      <c r="R84" s="978">
        <f t="shared" si="45"/>
        <v>0</v>
      </c>
      <c r="S84" s="976">
        <f t="shared" si="45"/>
        <v>0</v>
      </c>
      <c r="T84" s="2463">
        <f t="shared" si="45"/>
        <v>0</v>
      </c>
      <c r="U84" s="2459">
        <f t="shared" si="45"/>
        <v>0</v>
      </c>
      <c r="V84" s="2464">
        <f t="shared" si="45"/>
        <v>12293500</v>
      </c>
      <c r="W84" s="976">
        <f t="shared" si="45"/>
        <v>3938500</v>
      </c>
      <c r="X84" s="2465">
        <f t="shared" si="45"/>
        <v>3683000</v>
      </c>
    </row>
    <row r="85" spans="1:24" ht="11.25" customHeight="1">
      <c r="A85" s="1170" t="str">
        <f>'Org structure'!E80</f>
        <v>8.1 - 200 - OFFICE OF THE DIRECTOR COMMUNITY DEVELOPMENT</v>
      </c>
      <c r="B85" s="293"/>
      <c r="C85" s="1052">
        <v>1870</v>
      </c>
      <c r="D85" s="1052">
        <v>6197</v>
      </c>
      <c r="E85" s="1051">
        <v>271377</v>
      </c>
      <c r="F85" s="1051">
        <v>500000</v>
      </c>
      <c r="G85" s="1049"/>
      <c r="H85" s="1050"/>
      <c r="I85" s="1050"/>
      <c r="J85" s="2466">
        <f t="shared" ref="J85:J94" si="46">Q85+V85</f>
        <v>23000</v>
      </c>
      <c r="K85" s="942">
        <f t="shared" ref="K85:K94" si="47">U85+W85</f>
        <v>0</v>
      </c>
      <c r="L85" s="2467">
        <f t="shared" ref="L85:L94" si="48">X85</f>
        <v>0</v>
      </c>
      <c r="M85" s="320"/>
      <c r="N85" s="1630"/>
      <c r="O85" s="1628"/>
      <c r="P85" s="1629"/>
      <c r="Q85" s="978">
        <f t="shared" ref="Q85:Q94" si="49">SUM(N85:P85)</f>
        <v>0</v>
      </c>
      <c r="R85" s="1630"/>
      <c r="S85" s="1628"/>
      <c r="T85" s="1631"/>
      <c r="U85" s="2459">
        <f t="shared" si="43"/>
        <v>0</v>
      </c>
      <c r="V85" s="1049">
        <v>23000</v>
      </c>
      <c r="W85" s="1050">
        <v>0</v>
      </c>
      <c r="X85" s="1050">
        <v>0</v>
      </c>
    </row>
    <row r="86" spans="1:24" ht="11.25" customHeight="1">
      <c r="A86" s="1170" t="str">
        <f>'Org structure'!E81</f>
        <v>8.2 - 205 - ENVIRONMENTAL HEALTH SERVICES</v>
      </c>
      <c r="B86" s="293"/>
      <c r="C86" s="1052">
        <v>0</v>
      </c>
      <c r="D86" s="1052">
        <v>0</v>
      </c>
      <c r="E86" s="1051">
        <v>0</v>
      </c>
      <c r="F86" s="1051">
        <v>0</v>
      </c>
      <c r="G86" s="1049"/>
      <c r="H86" s="1050"/>
      <c r="I86" s="1050"/>
      <c r="J86" s="2466">
        <f t="shared" si="46"/>
        <v>0</v>
      </c>
      <c r="K86" s="942">
        <f t="shared" si="47"/>
        <v>0</v>
      </c>
      <c r="L86" s="2467">
        <f t="shared" si="48"/>
        <v>0</v>
      </c>
      <c r="M86" s="320"/>
      <c r="N86" s="1630"/>
      <c r="O86" s="1628"/>
      <c r="P86" s="1629"/>
      <c r="Q86" s="978">
        <f t="shared" si="49"/>
        <v>0</v>
      </c>
      <c r="R86" s="1630"/>
      <c r="S86" s="1628"/>
      <c r="T86" s="1631"/>
      <c r="U86" s="2459">
        <f t="shared" si="43"/>
        <v>0</v>
      </c>
      <c r="V86" s="1049">
        <v>0</v>
      </c>
      <c r="W86" s="1050">
        <v>0</v>
      </c>
      <c r="X86" s="1050">
        <v>0</v>
      </c>
    </row>
    <row r="87" spans="1:24" ht="11.25" customHeight="1">
      <c r="A87" s="1170" t="str">
        <f>'Org structure'!E82</f>
        <v>8.3 - 210 - CLINIC SERVICES</v>
      </c>
      <c r="B87" s="293"/>
      <c r="C87" s="1052">
        <v>335049</v>
      </c>
      <c r="D87" s="1052">
        <v>0</v>
      </c>
      <c r="E87" s="1051">
        <v>0</v>
      </c>
      <c r="F87" s="1051">
        <v>0</v>
      </c>
      <c r="G87" s="1049"/>
      <c r="H87" s="1050"/>
      <c r="I87" s="1050"/>
      <c r="J87" s="2466">
        <f t="shared" si="46"/>
        <v>0</v>
      </c>
      <c r="K87" s="942">
        <f t="shared" si="47"/>
        <v>0</v>
      </c>
      <c r="L87" s="2467">
        <f t="shared" si="48"/>
        <v>0</v>
      </c>
      <c r="M87" s="320"/>
      <c r="N87" s="1630"/>
      <c r="O87" s="1628"/>
      <c r="P87" s="1629"/>
      <c r="Q87" s="978">
        <f t="shared" si="49"/>
        <v>0</v>
      </c>
      <c r="R87" s="1630"/>
      <c r="S87" s="1628"/>
      <c r="T87" s="1631"/>
      <c r="U87" s="2459">
        <f t="shared" si="43"/>
        <v>0</v>
      </c>
      <c r="V87" s="1049">
        <v>0</v>
      </c>
      <c r="W87" s="1050">
        <v>0</v>
      </c>
      <c r="X87" s="1050">
        <v>0</v>
      </c>
    </row>
    <row r="88" spans="1:24" ht="11.25" customHeight="1">
      <c r="A88" s="1170" t="str">
        <f>'Org structure'!E83</f>
        <v>8.4 - 215 - LIBRARY AND INFORMATION SERVICES</v>
      </c>
      <c r="B88" s="293"/>
      <c r="C88" s="1052">
        <v>1080883</v>
      </c>
      <c r="D88" s="1052">
        <v>830825</v>
      </c>
      <c r="E88" s="1051">
        <v>411274</v>
      </c>
      <c r="F88" s="1051">
        <v>1035000</v>
      </c>
      <c r="G88" s="1049">
        <v>873000</v>
      </c>
      <c r="H88" s="1049">
        <v>873000</v>
      </c>
      <c r="I88" s="1049">
        <v>873000</v>
      </c>
      <c r="J88" s="2466">
        <f t="shared" si="46"/>
        <v>1787500</v>
      </c>
      <c r="K88" s="942">
        <f t="shared" si="47"/>
        <v>971500</v>
      </c>
      <c r="L88" s="2467">
        <f t="shared" si="48"/>
        <v>833000</v>
      </c>
      <c r="M88" s="320"/>
      <c r="N88" s="1630"/>
      <c r="O88" s="1628"/>
      <c r="P88" s="1629"/>
      <c r="Q88" s="978">
        <f t="shared" si="49"/>
        <v>0</v>
      </c>
      <c r="R88" s="1630"/>
      <c r="S88" s="1628"/>
      <c r="T88" s="1631"/>
      <c r="U88" s="2459">
        <f t="shared" si="43"/>
        <v>0</v>
      </c>
      <c r="V88" s="1049">
        <v>1787500</v>
      </c>
      <c r="W88" s="1050">
        <v>971500</v>
      </c>
      <c r="X88" s="1050">
        <v>833000</v>
      </c>
    </row>
    <row r="89" spans="1:24" ht="11.25" customHeight="1">
      <c r="A89" s="1170" t="str">
        <f>'Org structure'!E84</f>
        <v>8.5 - 220 - CEMETERIES</v>
      </c>
      <c r="B89" s="293"/>
      <c r="C89" s="1052">
        <v>1286873</v>
      </c>
      <c r="D89" s="1052">
        <v>943213</v>
      </c>
      <c r="E89" s="1051">
        <v>240087</v>
      </c>
      <c r="F89" s="1051">
        <v>849000</v>
      </c>
      <c r="G89" s="1049">
        <v>849000</v>
      </c>
      <c r="H89" s="1050">
        <v>849000</v>
      </c>
      <c r="I89" s="1050">
        <v>849000</v>
      </c>
      <c r="J89" s="2466">
        <f t="shared" si="46"/>
        <v>1065000</v>
      </c>
      <c r="K89" s="942">
        <f t="shared" si="47"/>
        <v>1445000</v>
      </c>
      <c r="L89" s="2467">
        <f t="shared" si="48"/>
        <v>450000</v>
      </c>
      <c r="M89" s="320"/>
      <c r="N89" s="1630"/>
      <c r="O89" s="1628"/>
      <c r="P89" s="1629"/>
      <c r="Q89" s="978">
        <f t="shared" si="49"/>
        <v>0</v>
      </c>
      <c r="R89" s="1630"/>
      <c r="S89" s="1628"/>
      <c r="T89" s="1631"/>
      <c r="U89" s="2459">
        <f t="shared" si="43"/>
        <v>0</v>
      </c>
      <c r="V89" s="1049">
        <v>1065000</v>
      </c>
      <c r="W89" s="1050">
        <v>1445000</v>
      </c>
      <c r="X89" s="1050">
        <v>450000</v>
      </c>
    </row>
    <row r="90" spans="1:24" ht="11.25" customHeight="1">
      <c r="A90" s="1170" t="str">
        <f>'Org structure'!E85</f>
        <v>8.6 - 225 - COMMUNITY HALLS</v>
      </c>
      <c r="B90" s="293"/>
      <c r="C90" s="1052">
        <v>2231423</v>
      </c>
      <c r="D90" s="1052">
        <v>2214922</v>
      </c>
      <c r="E90" s="1051"/>
      <c r="F90" s="1051">
        <v>1690000</v>
      </c>
      <c r="G90" s="1049">
        <v>4440000</v>
      </c>
      <c r="H90" s="1049">
        <v>4440000</v>
      </c>
      <c r="I90" s="1049">
        <v>4440000</v>
      </c>
      <c r="J90" s="2466">
        <f t="shared" si="46"/>
        <v>2490000</v>
      </c>
      <c r="K90" s="942">
        <f t="shared" si="47"/>
        <v>580000</v>
      </c>
      <c r="L90" s="2467">
        <f t="shared" si="48"/>
        <v>480000</v>
      </c>
      <c r="M90" s="320"/>
      <c r="N90" s="1630"/>
      <c r="O90" s="1628"/>
      <c r="P90" s="1629"/>
      <c r="Q90" s="978">
        <f t="shared" si="49"/>
        <v>0</v>
      </c>
      <c r="R90" s="1630"/>
      <c r="S90" s="1628"/>
      <c r="T90" s="1631"/>
      <c r="U90" s="2459">
        <f t="shared" si="43"/>
        <v>0</v>
      </c>
      <c r="V90" s="1049">
        <v>2490000</v>
      </c>
      <c r="W90" s="1050">
        <v>580000</v>
      </c>
      <c r="X90" s="1050">
        <v>480000</v>
      </c>
    </row>
    <row r="91" spans="1:24" ht="11.25" customHeight="1">
      <c r="A91" s="1170" t="str">
        <f>'Org structure'!E86</f>
        <v>8.7 - 230 - KLOOF HOLIDAY RESORT</v>
      </c>
      <c r="B91" s="293"/>
      <c r="C91" s="1052">
        <v>0</v>
      </c>
      <c r="D91" s="1052"/>
      <c r="E91" s="1051">
        <v>0</v>
      </c>
      <c r="F91" s="1051"/>
      <c r="G91" s="1049">
        <v>0</v>
      </c>
      <c r="H91" s="1050">
        <v>0</v>
      </c>
      <c r="I91" s="1050">
        <v>0</v>
      </c>
      <c r="J91" s="2466">
        <f t="shared" si="46"/>
        <v>0</v>
      </c>
      <c r="K91" s="942">
        <f t="shared" si="47"/>
        <v>0</v>
      </c>
      <c r="L91" s="2467">
        <f t="shared" si="48"/>
        <v>0</v>
      </c>
      <c r="M91" s="320"/>
      <c r="N91" s="1630"/>
      <c r="O91" s="1628"/>
      <c r="P91" s="1629"/>
      <c r="Q91" s="978">
        <f t="shared" si="49"/>
        <v>0</v>
      </c>
      <c r="R91" s="1630"/>
      <c r="S91" s="1628"/>
      <c r="T91" s="1631"/>
      <c r="U91" s="2459">
        <f t="shared" si="43"/>
        <v>0</v>
      </c>
      <c r="V91" s="1049">
        <v>0</v>
      </c>
      <c r="W91" s="1050">
        <v>0</v>
      </c>
      <c r="X91" s="1050">
        <v>0</v>
      </c>
    </row>
    <row r="92" spans="1:24" ht="11.25" customHeight="1">
      <c r="A92" s="1170" t="str">
        <f>'Org structure'!E87</f>
        <v>8.8 - 235 - PARKS AND OPEN AREAS</v>
      </c>
      <c r="B92" s="293"/>
      <c r="C92" s="1052">
        <v>733618</v>
      </c>
      <c r="D92" s="1052">
        <v>311645</v>
      </c>
      <c r="E92" s="1051">
        <v>0</v>
      </c>
      <c r="F92" s="1051">
        <v>8400000</v>
      </c>
      <c r="G92" s="1049">
        <v>5700000</v>
      </c>
      <c r="H92" s="1049">
        <v>5700000</v>
      </c>
      <c r="I92" s="1049">
        <v>5700000</v>
      </c>
      <c r="J92" s="2466">
        <f t="shared" si="46"/>
        <v>6350000</v>
      </c>
      <c r="K92" s="942">
        <f t="shared" si="47"/>
        <v>160000</v>
      </c>
      <c r="L92" s="2467">
        <f t="shared" si="48"/>
        <v>250000</v>
      </c>
      <c r="M92" s="320"/>
      <c r="N92" s="1630"/>
      <c r="O92" s="1628"/>
      <c r="P92" s="1629"/>
      <c r="Q92" s="978">
        <f t="shared" si="49"/>
        <v>0</v>
      </c>
      <c r="R92" s="1630"/>
      <c r="S92" s="1628"/>
      <c r="T92" s="1631"/>
      <c r="U92" s="2459">
        <f t="shared" si="43"/>
        <v>0</v>
      </c>
      <c r="V92" s="1049">
        <v>6350000</v>
      </c>
      <c r="W92" s="1050">
        <v>160000</v>
      </c>
      <c r="X92" s="1050">
        <v>250000</v>
      </c>
    </row>
    <row r="93" spans="1:24" ht="11.25" customHeight="1">
      <c r="A93" s="1170" t="str">
        <f>'Org structure'!E88</f>
        <v>8.9 - 245 - SPORT FACILITIES</v>
      </c>
      <c r="B93" s="293"/>
      <c r="C93" s="1052">
        <v>1335130</v>
      </c>
      <c r="D93" s="1052">
        <v>3071879</v>
      </c>
      <c r="E93" s="1051">
        <v>85890</v>
      </c>
      <c r="F93" s="1051">
        <v>1000000</v>
      </c>
      <c r="G93" s="1049">
        <v>1000000</v>
      </c>
      <c r="H93" s="1050">
        <v>1000000</v>
      </c>
      <c r="I93" s="1050">
        <v>1000000</v>
      </c>
      <c r="J93" s="2466">
        <f t="shared" si="46"/>
        <v>390000</v>
      </c>
      <c r="K93" s="942">
        <f t="shared" si="47"/>
        <v>760000</v>
      </c>
      <c r="L93" s="2467">
        <f t="shared" si="48"/>
        <v>1670000</v>
      </c>
      <c r="M93" s="320"/>
      <c r="N93" s="1630"/>
      <c r="O93" s="1628"/>
      <c r="P93" s="1629"/>
      <c r="Q93" s="978">
        <f t="shared" si="49"/>
        <v>0</v>
      </c>
      <c r="R93" s="1630"/>
      <c r="S93" s="1628"/>
      <c r="T93" s="1631"/>
      <c r="U93" s="2459">
        <f t="shared" si="43"/>
        <v>0</v>
      </c>
      <c r="V93" s="1049">
        <v>390000</v>
      </c>
      <c r="W93" s="1050">
        <v>760000</v>
      </c>
      <c r="X93" s="1050">
        <v>1670000</v>
      </c>
    </row>
    <row r="94" spans="1:24" ht="11.25" customHeight="1">
      <c r="A94" s="1170" t="str">
        <f>'Org structure'!E89</f>
        <v>8.10 - 250 - SWIMMING POOLS</v>
      </c>
      <c r="B94" s="293"/>
      <c r="C94" s="1052">
        <v>193570</v>
      </c>
      <c r="D94" s="1052">
        <v>75023</v>
      </c>
      <c r="E94" s="1051">
        <v>0</v>
      </c>
      <c r="F94" s="1051">
        <v>250000</v>
      </c>
      <c r="G94" s="1049">
        <v>250000</v>
      </c>
      <c r="H94" s="1050">
        <v>250000</v>
      </c>
      <c r="I94" s="1052">
        <v>250000</v>
      </c>
      <c r="J94" s="2466">
        <f t="shared" si="46"/>
        <v>188000</v>
      </c>
      <c r="K94" s="942">
        <f t="shared" si="47"/>
        <v>22000</v>
      </c>
      <c r="L94" s="2467">
        <f t="shared" si="48"/>
        <v>0</v>
      </c>
      <c r="M94" s="320"/>
      <c r="N94" s="1630"/>
      <c r="O94" s="1628"/>
      <c r="P94" s="1629"/>
      <c r="Q94" s="978">
        <f t="shared" si="49"/>
        <v>0</v>
      </c>
      <c r="R94" s="1630"/>
      <c r="S94" s="1628"/>
      <c r="T94" s="1631"/>
      <c r="U94" s="2459">
        <f t="shared" si="43"/>
        <v>0</v>
      </c>
      <c r="V94" s="1049">
        <v>188000</v>
      </c>
      <c r="W94" s="1050">
        <v>22000</v>
      </c>
      <c r="X94" s="1050">
        <v>0</v>
      </c>
    </row>
    <row r="95" spans="1:24" ht="15" customHeight="1">
      <c r="A95" s="1169" t="str">
        <f>'Org structure'!A10</f>
        <v>Vote 9 - TECHNICAL AND INFRASTRUCTURE</v>
      </c>
      <c r="B95" s="293"/>
      <c r="C95" s="976">
        <f>SUM(C96:C105)</f>
        <v>209915838</v>
      </c>
      <c r="D95" s="976">
        <f t="shared" ref="D95:L95" si="50">SUM(D96:D105)</f>
        <v>173043648</v>
      </c>
      <c r="E95" s="977">
        <f t="shared" si="50"/>
        <v>275267904</v>
      </c>
      <c r="F95" s="978">
        <f t="shared" si="50"/>
        <v>795085427</v>
      </c>
      <c r="G95" s="976">
        <f t="shared" si="50"/>
        <v>847943297</v>
      </c>
      <c r="H95" s="977">
        <f t="shared" si="50"/>
        <v>847943297</v>
      </c>
      <c r="I95" s="979">
        <f t="shared" si="50"/>
        <v>847943297</v>
      </c>
      <c r="J95" s="2466">
        <f t="shared" si="50"/>
        <v>1103949320</v>
      </c>
      <c r="K95" s="942">
        <f t="shared" si="50"/>
        <v>1065653000</v>
      </c>
      <c r="L95" s="2467">
        <f t="shared" si="50"/>
        <v>1014273000</v>
      </c>
      <c r="M95" s="320"/>
      <c r="N95" s="978">
        <f t="shared" ref="N95:X95" si="51">SUM(N96:N105)</f>
        <v>0</v>
      </c>
      <c r="O95" s="976">
        <f t="shared" si="51"/>
        <v>0</v>
      </c>
      <c r="P95" s="977">
        <f t="shared" si="51"/>
        <v>0</v>
      </c>
      <c r="Q95" s="978">
        <f t="shared" si="51"/>
        <v>0</v>
      </c>
      <c r="R95" s="978">
        <f t="shared" si="51"/>
        <v>0</v>
      </c>
      <c r="S95" s="976">
        <f t="shared" si="51"/>
        <v>0</v>
      </c>
      <c r="T95" s="2463">
        <f t="shared" si="51"/>
        <v>0</v>
      </c>
      <c r="U95" s="2459">
        <f t="shared" si="51"/>
        <v>0</v>
      </c>
      <c r="V95" s="2464">
        <f t="shared" si="51"/>
        <v>1103949320</v>
      </c>
      <c r="W95" s="976">
        <f t="shared" si="51"/>
        <v>1065653000</v>
      </c>
      <c r="X95" s="2465">
        <f t="shared" si="51"/>
        <v>1014273000</v>
      </c>
    </row>
    <row r="96" spans="1:24" ht="11.25" customHeight="1">
      <c r="A96" s="1170" t="str">
        <f>'Org structure'!E91</f>
        <v>9.1 - 300 - OFFICE OF THE DIRECTOR TECHNICAL SERVICSE AND INFRASTRUCTURE DEVELOPMENT</v>
      </c>
      <c r="B96" s="293"/>
      <c r="C96" s="1052">
        <v>0</v>
      </c>
      <c r="D96" s="1052">
        <v>0</v>
      </c>
      <c r="E96" s="1051">
        <v>0</v>
      </c>
      <c r="F96" s="1051">
        <v>0</v>
      </c>
      <c r="G96" s="1049"/>
      <c r="H96" s="1049"/>
      <c r="I96" s="1049"/>
      <c r="J96" s="2466">
        <f t="shared" ref="J96:J105" si="52">Q96+V96</f>
        <v>336500</v>
      </c>
      <c r="K96" s="942">
        <f t="shared" ref="K96:K105" si="53">U96+W96</f>
        <v>0</v>
      </c>
      <c r="L96" s="2467">
        <f t="shared" ref="L96:L105" si="54">X96</f>
        <v>0</v>
      </c>
      <c r="M96" s="320"/>
      <c r="N96" s="1630"/>
      <c r="O96" s="1628"/>
      <c r="P96" s="1629"/>
      <c r="Q96" s="978">
        <f t="shared" ref="Q96:Q105" si="55">SUM(N96:P96)</f>
        <v>0</v>
      </c>
      <c r="R96" s="1630"/>
      <c r="S96" s="1628"/>
      <c r="T96" s="1631"/>
      <c r="U96" s="2459">
        <f t="shared" si="43"/>
        <v>0</v>
      </c>
      <c r="V96" s="1049">
        <v>336500</v>
      </c>
      <c r="W96" s="1050">
        <v>0</v>
      </c>
      <c r="X96" s="1050">
        <v>0</v>
      </c>
    </row>
    <row r="97" spans="1:24" ht="11.25" customHeight="1">
      <c r="A97" s="1170" t="str">
        <f>'Org structure'!E92</f>
        <v>9.2 - 305 - CIVIL FACILITIES DEVELOPMENT AND MANAGEMENT</v>
      </c>
      <c r="B97" s="293"/>
      <c r="C97" s="1052">
        <v>345249</v>
      </c>
      <c r="D97" s="1052">
        <v>1229055</v>
      </c>
      <c r="E97" s="1051">
        <v>1424575</v>
      </c>
      <c r="F97" s="1051">
        <v>2000000</v>
      </c>
      <c r="G97" s="1049">
        <v>2754698</v>
      </c>
      <c r="H97" s="1049">
        <v>2754698</v>
      </c>
      <c r="I97" s="1049">
        <v>2754698</v>
      </c>
      <c r="J97" s="2466">
        <f t="shared" si="52"/>
        <v>1099000</v>
      </c>
      <c r="K97" s="942">
        <f t="shared" si="53"/>
        <v>3000000</v>
      </c>
      <c r="L97" s="2467">
        <f t="shared" si="54"/>
        <v>3000000</v>
      </c>
      <c r="M97" s="320"/>
      <c r="N97" s="1630"/>
      <c r="O97" s="1628"/>
      <c r="P97" s="1629"/>
      <c r="Q97" s="978">
        <f t="shared" si="55"/>
        <v>0</v>
      </c>
      <c r="R97" s="1630"/>
      <c r="S97" s="1628"/>
      <c r="T97" s="1631"/>
      <c r="U97" s="2459">
        <f t="shared" si="43"/>
        <v>0</v>
      </c>
      <c r="V97" s="1049">
        <v>1099000</v>
      </c>
      <c r="W97" s="1050">
        <v>3000000</v>
      </c>
      <c r="X97" s="1050">
        <v>3000000</v>
      </c>
    </row>
    <row r="98" spans="1:24" ht="11.25" customHeight="1">
      <c r="A98" s="1170" t="str">
        <f>'Org structure'!E93</f>
        <v>9.3 - 310 - ELECTRICAL ENGINEERING SERVICES</v>
      </c>
      <c r="B98" s="293"/>
      <c r="C98" s="1052">
        <v>109777617</v>
      </c>
      <c r="D98" s="1052">
        <v>35634060</v>
      </c>
      <c r="E98" s="1051">
        <v>61788613</v>
      </c>
      <c r="F98" s="1051">
        <v>83957000</v>
      </c>
      <c r="G98" s="1049">
        <v>72990252</v>
      </c>
      <c r="H98" s="1049">
        <v>72990252</v>
      </c>
      <c r="I98" s="1049">
        <v>72990252</v>
      </c>
      <c r="J98" s="2466">
        <f t="shared" si="52"/>
        <v>198755000</v>
      </c>
      <c r="K98" s="942">
        <f t="shared" si="53"/>
        <v>42965000</v>
      </c>
      <c r="L98" s="2467">
        <f t="shared" si="54"/>
        <v>38760000</v>
      </c>
      <c r="M98" s="320"/>
      <c r="N98" s="1630"/>
      <c r="O98" s="1628"/>
      <c r="P98" s="1629"/>
      <c r="Q98" s="978">
        <f t="shared" si="55"/>
        <v>0</v>
      </c>
      <c r="R98" s="1630"/>
      <c r="S98" s="1628"/>
      <c r="T98" s="1631"/>
      <c r="U98" s="2459">
        <f t="shared" si="43"/>
        <v>0</v>
      </c>
      <c r="V98" s="1049">
        <v>198755000</v>
      </c>
      <c r="W98" s="1050">
        <v>42965000</v>
      </c>
      <c r="X98" s="1050">
        <v>38760000</v>
      </c>
    </row>
    <row r="99" spans="1:24" ht="11.25" customHeight="1">
      <c r="A99" s="1170" t="str">
        <f>'Org structure'!E94</f>
        <v>9.4 - 315 - STREET LIGHTING</v>
      </c>
      <c r="B99" s="293"/>
      <c r="C99" s="1052">
        <v>0</v>
      </c>
      <c r="D99" s="1052">
        <v>1663110</v>
      </c>
      <c r="E99" s="1051">
        <v>0</v>
      </c>
      <c r="F99" s="1051">
        <v>0</v>
      </c>
      <c r="G99" s="1049"/>
      <c r="H99" s="1049"/>
      <c r="I99" s="1049"/>
      <c r="J99" s="2466">
        <f t="shared" si="52"/>
        <v>0</v>
      </c>
      <c r="K99" s="942">
        <f t="shared" si="53"/>
        <v>0</v>
      </c>
      <c r="L99" s="2467">
        <f t="shared" si="54"/>
        <v>0</v>
      </c>
      <c r="M99" s="320"/>
      <c r="N99" s="1630"/>
      <c r="O99" s="1628"/>
      <c r="P99" s="1629"/>
      <c r="Q99" s="978">
        <f t="shared" si="55"/>
        <v>0</v>
      </c>
      <c r="R99" s="1630"/>
      <c r="S99" s="1628"/>
      <c r="T99" s="1631"/>
      <c r="U99" s="2459">
        <f t="shared" si="43"/>
        <v>0</v>
      </c>
      <c r="V99" s="1049">
        <v>0</v>
      </c>
      <c r="W99" s="1050">
        <v>0</v>
      </c>
      <c r="X99" s="1050">
        <v>0</v>
      </c>
    </row>
    <row r="100" spans="1:24" ht="11.25" customHeight="1">
      <c r="A100" s="1170" t="str">
        <f>'Org structure'!E95</f>
        <v>9.5 - 335 - ROADS AND STORMWATER</v>
      </c>
      <c r="B100" s="293"/>
      <c r="C100" s="1052">
        <v>22350138</v>
      </c>
      <c r="D100" s="1052">
        <v>95986922</v>
      </c>
      <c r="E100" s="1051">
        <v>179665964</v>
      </c>
      <c r="F100" s="1051">
        <f>105124400+50000000+8000000+300184947</f>
        <v>463309347</v>
      </c>
      <c r="G100" s="1049">
        <f>528171210-999999</f>
        <v>527171211</v>
      </c>
      <c r="H100" s="1049">
        <f>528171210-999999</f>
        <v>527171211</v>
      </c>
      <c r="I100" s="1049">
        <f>528171210-999999</f>
        <v>527171211</v>
      </c>
      <c r="J100" s="2466">
        <f t="shared" si="52"/>
        <v>655020820</v>
      </c>
      <c r="K100" s="942">
        <f t="shared" si="53"/>
        <v>764500000</v>
      </c>
      <c r="L100" s="2467">
        <f t="shared" si="54"/>
        <v>790000000</v>
      </c>
      <c r="M100" s="320"/>
      <c r="N100" s="1630"/>
      <c r="O100" s="1628"/>
      <c r="P100" s="1629"/>
      <c r="Q100" s="978">
        <f t="shared" si="55"/>
        <v>0</v>
      </c>
      <c r="R100" s="1630"/>
      <c r="S100" s="1628"/>
      <c r="T100" s="1631"/>
      <c r="U100" s="2459">
        <f t="shared" si="43"/>
        <v>0</v>
      </c>
      <c r="V100" s="1049">
        <f>655021000-180</f>
        <v>655020820</v>
      </c>
      <c r="W100" s="1050">
        <v>764500000</v>
      </c>
      <c r="X100" s="1050">
        <v>790000000</v>
      </c>
    </row>
    <row r="101" spans="1:24" ht="11.25" customHeight="1">
      <c r="A101" s="1170" t="str">
        <f>'Org structure'!E96</f>
        <v>9.6 - 325 - MECHANICAL ENGINEERING SERVICES</v>
      </c>
      <c r="B101" s="293"/>
      <c r="C101" s="1052">
        <v>0</v>
      </c>
      <c r="D101" s="1052"/>
      <c r="E101" s="1051">
        <v>0</v>
      </c>
      <c r="F101" s="1051">
        <v>14409080</v>
      </c>
      <c r="G101" s="1049">
        <v>31658637</v>
      </c>
      <c r="H101" s="1049">
        <v>31658637</v>
      </c>
      <c r="I101" s="1049">
        <v>31658637</v>
      </c>
      <c r="J101" s="2466">
        <f t="shared" si="52"/>
        <v>15000000</v>
      </c>
      <c r="K101" s="942">
        <f t="shared" si="53"/>
        <v>13000000</v>
      </c>
      <c r="L101" s="2467">
        <f t="shared" si="54"/>
        <v>12000000</v>
      </c>
      <c r="M101" s="320"/>
      <c r="N101" s="1630"/>
      <c r="O101" s="1628"/>
      <c r="P101" s="1629"/>
      <c r="Q101" s="978">
        <f t="shared" si="55"/>
        <v>0</v>
      </c>
      <c r="R101" s="1630"/>
      <c r="S101" s="1628"/>
      <c r="T101" s="1631"/>
      <c r="U101" s="2459">
        <f t="shared" si="43"/>
        <v>0</v>
      </c>
      <c r="V101" s="1049">
        <v>15000000</v>
      </c>
      <c r="W101" s="1050">
        <v>13000000</v>
      </c>
      <c r="X101" s="1050">
        <v>12000000</v>
      </c>
    </row>
    <row r="102" spans="1:24" ht="11.25" customHeight="1">
      <c r="A102" s="1170" t="str">
        <f>'Org structure'!E97</f>
        <v>9.7 - 340 - WATER SERVICE &amp; 341 - BOSPOORT WATERWORKS</v>
      </c>
      <c r="B102" s="293"/>
      <c r="C102" s="1052">
        <v>14643305</v>
      </c>
      <c r="D102" s="1052">
        <v>11709730</v>
      </c>
      <c r="E102" s="1051">
        <v>10911904</v>
      </c>
      <c r="F102" s="1051">
        <v>85420000</v>
      </c>
      <c r="G102" s="1049">
        <v>103903262</v>
      </c>
      <c r="H102" s="1049">
        <v>103903262</v>
      </c>
      <c r="I102" s="1049">
        <v>103903262</v>
      </c>
      <c r="J102" s="2466">
        <f t="shared" si="52"/>
        <v>101500000</v>
      </c>
      <c r="K102" s="942">
        <f t="shared" si="53"/>
        <v>105500000</v>
      </c>
      <c r="L102" s="2467">
        <f t="shared" si="54"/>
        <v>51500000</v>
      </c>
      <c r="M102" s="320"/>
      <c r="N102" s="1630"/>
      <c r="O102" s="1628"/>
      <c r="P102" s="1629"/>
      <c r="Q102" s="978">
        <f t="shared" si="55"/>
        <v>0</v>
      </c>
      <c r="R102" s="1630"/>
      <c r="S102" s="1628"/>
      <c r="T102" s="1631"/>
      <c r="U102" s="2459">
        <f t="shared" si="43"/>
        <v>0</v>
      </c>
      <c r="V102" s="1049">
        <v>101500000</v>
      </c>
      <c r="W102" s="1050">
        <v>105500000</v>
      </c>
      <c r="X102" s="1050">
        <v>51500000</v>
      </c>
    </row>
    <row r="103" spans="1:24" ht="11.25" customHeight="1">
      <c r="A103" s="1170" t="str">
        <f>'Org structure'!E98</f>
        <v>9.8 - 345 - SANITATION SERVICE</v>
      </c>
      <c r="B103" s="293"/>
      <c r="C103" s="1052">
        <v>36676279</v>
      </c>
      <c r="D103" s="1052">
        <v>4924372</v>
      </c>
      <c r="E103" s="1051">
        <v>13098874</v>
      </c>
      <c r="F103" s="1051">
        <f>60700000+31000000+15000000</f>
        <v>106700000</v>
      </c>
      <c r="G103" s="1049">
        <v>75175237</v>
      </c>
      <c r="H103" s="1049">
        <v>75175237</v>
      </c>
      <c r="I103" s="1049">
        <v>75175237</v>
      </c>
      <c r="J103" s="2466">
        <f t="shared" si="52"/>
        <v>63065000</v>
      </c>
      <c r="K103" s="942">
        <f t="shared" si="53"/>
        <v>63200000</v>
      </c>
      <c r="L103" s="2467">
        <f t="shared" si="54"/>
        <v>64838000</v>
      </c>
      <c r="M103" s="320"/>
      <c r="N103" s="1630"/>
      <c r="O103" s="1628"/>
      <c r="P103" s="1629"/>
      <c r="Q103" s="978">
        <f t="shared" si="55"/>
        <v>0</v>
      </c>
      <c r="R103" s="1630"/>
      <c r="S103" s="1628"/>
      <c r="T103" s="1631"/>
      <c r="U103" s="2459">
        <f t="shared" si="43"/>
        <v>0</v>
      </c>
      <c r="V103" s="1049">
        <v>63065000</v>
      </c>
      <c r="W103" s="1050">
        <v>63200000</v>
      </c>
      <c r="X103" s="1050">
        <v>64838000</v>
      </c>
    </row>
    <row r="104" spans="1:24" ht="11.25" customHeight="1">
      <c r="A104" s="1170" t="str">
        <f>'Org structure'!E99</f>
        <v>9.9 - 350 - SEWERAGE PURIFICATION</v>
      </c>
      <c r="B104" s="293"/>
      <c r="C104" s="1052">
        <v>0</v>
      </c>
      <c r="D104" s="1052"/>
      <c r="E104" s="1051">
        <v>0</v>
      </c>
      <c r="F104" s="1051">
        <v>0</v>
      </c>
      <c r="G104" s="1049"/>
      <c r="H104" s="1049"/>
      <c r="I104" s="1049"/>
      <c r="J104" s="2466">
        <f t="shared" si="52"/>
        <v>0</v>
      </c>
      <c r="K104" s="942">
        <f t="shared" si="53"/>
        <v>0</v>
      </c>
      <c r="L104" s="2467">
        <f t="shared" si="54"/>
        <v>0</v>
      </c>
      <c r="M104" s="320"/>
      <c r="N104" s="1630"/>
      <c r="O104" s="1628"/>
      <c r="P104" s="1629"/>
      <c r="Q104" s="978">
        <f t="shared" si="55"/>
        <v>0</v>
      </c>
      <c r="R104" s="1630"/>
      <c r="S104" s="1628"/>
      <c r="T104" s="1631"/>
      <c r="U104" s="2459">
        <f t="shared" si="43"/>
        <v>0</v>
      </c>
      <c r="V104" s="1049">
        <v>0</v>
      </c>
      <c r="W104" s="1050">
        <v>0</v>
      </c>
      <c r="X104" s="1050">
        <v>0</v>
      </c>
    </row>
    <row r="105" spans="1:24" ht="11.25" customHeight="1">
      <c r="A105" s="1170" t="str">
        <f>'Org structure'!E100</f>
        <v>9.10 - 360 - WASTE MANAGEMENT</v>
      </c>
      <c r="B105" s="293"/>
      <c r="C105" s="1052">
        <v>26123250</v>
      </c>
      <c r="D105" s="1052">
        <v>21896399</v>
      </c>
      <c r="E105" s="1051">
        <v>8377974</v>
      </c>
      <c r="F105" s="1051">
        <v>39290000</v>
      </c>
      <c r="G105" s="1049">
        <v>34290000</v>
      </c>
      <c r="H105" s="1049">
        <v>34290000</v>
      </c>
      <c r="I105" s="1049">
        <v>34290000</v>
      </c>
      <c r="J105" s="2466">
        <f t="shared" si="52"/>
        <v>69173000</v>
      </c>
      <c r="K105" s="942">
        <f t="shared" si="53"/>
        <v>73488000</v>
      </c>
      <c r="L105" s="2467">
        <f t="shared" si="54"/>
        <v>54175000</v>
      </c>
      <c r="M105" s="320"/>
      <c r="N105" s="1630"/>
      <c r="O105" s="1628"/>
      <c r="P105" s="1629"/>
      <c r="Q105" s="978">
        <f t="shared" si="55"/>
        <v>0</v>
      </c>
      <c r="R105" s="1630"/>
      <c r="S105" s="1628"/>
      <c r="T105" s="1631"/>
      <c r="U105" s="2459">
        <f t="shared" si="43"/>
        <v>0</v>
      </c>
      <c r="V105" s="1049">
        <v>69173000</v>
      </c>
      <c r="W105" s="1050">
        <v>73488000</v>
      </c>
      <c r="X105" s="1050">
        <v>54175000</v>
      </c>
    </row>
    <row r="106" spans="1:24" ht="15" customHeight="1">
      <c r="A106" s="1169" t="str">
        <f>'Org structure'!A11</f>
        <v>Vote 10 - RUSTENBURG WATER SERVICE TRUST</v>
      </c>
      <c r="B106" s="293"/>
      <c r="C106" s="976">
        <f>SUM(C107:C116)</f>
        <v>0</v>
      </c>
      <c r="D106" s="976">
        <f t="shared" ref="D106:L106" si="56">SUM(D107:D116)</f>
        <v>0</v>
      </c>
      <c r="E106" s="977">
        <f t="shared" si="56"/>
        <v>0</v>
      </c>
      <c r="F106" s="978">
        <f t="shared" si="56"/>
        <v>25900000</v>
      </c>
      <c r="G106" s="976">
        <f t="shared" si="56"/>
        <v>25900000</v>
      </c>
      <c r="H106" s="977">
        <f t="shared" si="56"/>
        <v>25900000</v>
      </c>
      <c r="I106" s="979">
        <f t="shared" si="56"/>
        <v>25900000</v>
      </c>
      <c r="J106" s="2466">
        <f t="shared" si="56"/>
        <v>100000000</v>
      </c>
      <c r="K106" s="942">
        <f t="shared" si="56"/>
        <v>690000000</v>
      </c>
      <c r="L106" s="2467">
        <f t="shared" si="56"/>
        <v>0</v>
      </c>
      <c r="M106" s="320"/>
      <c r="N106" s="978">
        <f t="shared" ref="N106:X106" si="57">SUM(N107:N116)</f>
        <v>0</v>
      </c>
      <c r="O106" s="976">
        <f t="shared" si="57"/>
        <v>0</v>
      </c>
      <c r="P106" s="977">
        <f t="shared" si="57"/>
        <v>0</v>
      </c>
      <c r="Q106" s="978">
        <f t="shared" si="57"/>
        <v>0</v>
      </c>
      <c r="R106" s="978">
        <f t="shared" si="57"/>
        <v>0</v>
      </c>
      <c r="S106" s="976">
        <f t="shared" si="57"/>
        <v>0</v>
      </c>
      <c r="T106" s="2463">
        <f t="shared" si="57"/>
        <v>0</v>
      </c>
      <c r="U106" s="2459">
        <f t="shared" si="57"/>
        <v>0</v>
      </c>
      <c r="V106" s="2464">
        <f t="shared" si="57"/>
        <v>100000000</v>
      </c>
      <c r="W106" s="976">
        <f t="shared" si="57"/>
        <v>690000000</v>
      </c>
      <c r="X106" s="2465">
        <f t="shared" si="57"/>
        <v>0</v>
      </c>
    </row>
    <row r="107" spans="1:24" ht="11.25" customHeight="1">
      <c r="A107" s="1170" t="str">
        <f>'Org structure'!E102</f>
        <v>10.1 - RUSTENBURG WATER SERVICE TRUST</v>
      </c>
      <c r="B107" s="293"/>
      <c r="C107" s="1628"/>
      <c r="D107" s="1628"/>
      <c r="E107" s="1631"/>
      <c r="F107" s="1630">
        <v>25900000</v>
      </c>
      <c r="G107" s="1628">
        <v>25900000</v>
      </c>
      <c r="H107" s="1628">
        <v>25900000</v>
      </c>
      <c r="I107" s="1628">
        <v>25900000</v>
      </c>
      <c r="J107" s="2466">
        <f t="shared" ref="J107:J116" si="58">Q107+V107</f>
        <v>100000000</v>
      </c>
      <c r="K107" s="942">
        <f t="shared" ref="K107:K116" si="59">U107+W107</f>
        <v>690000000</v>
      </c>
      <c r="L107" s="2467">
        <f t="shared" ref="L107:L116" si="60">X107</f>
        <v>0</v>
      </c>
      <c r="M107" s="320"/>
      <c r="N107" s="1630"/>
      <c r="O107" s="1628"/>
      <c r="P107" s="1629"/>
      <c r="Q107" s="978">
        <f t="shared" ref="Q107:Q116" si="61">SUM(N107:P107)</f>
        <v>0</v>
      </c>
      <c r="R107" s="1630"/>
      <c r="S107" s="1628"/>
      <c r="T107" s="1631"/>
      <c r="U107" s="2459">
        <f t="shared" si="43"/>
        <v>0</v>
      </c>
      <c r="V107" s="1631">
        <v>100000000</v>
      </c>
      <c r="W107" s="1628">
        <v>690000000</v>
      </c>
      <c r="X107" s="1633"/>
    </row>
    <row r="108" spans="1:24" ht="11.25" customHeight="1">
      <c r="A108" s="1170">
        <f>'Org structure'!E103</f>
        <v>0</v>
      </c>
      <c r="B108" s="293"/>
      <c r="C108" s="1628"/>
      <c r="D108" s="1628"/>
      <c r="E108" s="1631"/>
      <c r="F108" s="1630"/>
      <c r="G108" s="1628"/>
      <c r="H108" s="1629"/>
      <c r="I108" s="1631"/>
      <c r="J108" s="2466">
        <f t="shared" si="58"/>
        <v>0</v>
      </c>
      <c r="K108" s="942">
        <f t="shared" si="59"/>
        <v>0</v>
      </c>
      <c r="L108" s="2467">
        <f t="shared" si="60"/>
        <v>0</v>
      </c>
      <c r="M108" s="320"/>
      <c r="N108" s="1630"/>
      <c r="O108" s="1628"/>
      <c r="P108" s="1629"/>
      <c r="Q108" s="978">
        <f t="shared" si="61"/>
        <v>0</v>
      </c>
      <c r="R108" s="1630"/>
      <c r="S108" s="1628"/>
      <c r="T108" s="1631"/>
      <c r="U108" s="2459">
        <f t="shared" si="43"/>
        <v>0</v>
      </c>
      <c r="V108" s="1631"/>
      <c r="W108" s="1628"/>
      <c r="X108" s="1633"/>
    </row>
    <row r="109" spans="1:24" ht="11.25" customHeight="1">
      <c r="A109" s="1170">
        <f>'Org structure'!E104</f>
        <v>0</v>
      </c>
      <c r="B109" s="293"/>
      <c r="C109" s="1628"/>
      <c r="D109" s="1628"/>
      <c r="E109" s="1631"/>
      <c r="F109" s="1630"/>
      <c r="G109" s="1628"/>
      <c r="H109" s="1629"/>
      <c r="I109" s="1631"/>
      <c r="J109" s="2466">
        <f t="shared" si="58"/>
        <v>0</v>
      </c>
      <c r="K109" s="942">
        <f t="shared" si="59"/>
        <v>0</v>
      </c>
      <c r="L109" s="2467">
        <f t="shared" si="60"/>
        <v>0</v>
      </c>
      <c r="M109" s="320"/>
      <c r="N109" s="1630"/>
      <c r="O109" s="1628"/>
      <c r="P109" s="1629"/>
      <c r="Q109" s="978">
        <f t="shared" si="61"/>
        <v>0</v>
      </c>
      <c r="R109" s="1630"/>
      <c r="S109" s="1628"/>
      <c r="T109" s="1631"/>
      <c r="U109" s="2459">
        <f t="shared" si="43"/>
        <v>0</v>
      </c>
      <c r="V109" s="1631"/>
      <c r="W109" s="1628"/>
      <c r="X109" s="1633"/>
    </row>
    <row r="110" spans="1:24" ht="11.25" customHeight="1">
      <c r="A110" s="1170">
        <f>'Org structure'!E105</f>
        <v>0</v>
      </c>
      <c r="B110" s="293"/>
      <c r="C110" s="1628"/>
      <c r="D110" s="1628"/>
      <c r="E110" s="1631"/>
      <c r="F110" s="1630"/>
      <c r="G110" s="1628"/>
      <c r="H110" s="1629"/>
      <c r="I110" s="1631"/>
      <c r="J110" s="2466">
        <f t="shared" si="58"/>
        <v>0</v>
      </c>
      <c r="K110" s="942">
        <f t="shared" si="59"/>
        <v>0</v>
      </c>
      <c r="L110" s="2467">
        <f t="shared" si="60"/>
        <v>0</v>
      </c>
      <c r="M110" s="320"/>
      <c r="N110" s="1630"/>
      <c r="O110" s="1628"/>
      <c r="P110" s="1629"/>
      <c r="Q110" s="978">
        <f t="shared" si="61"/>
        <v>0</v>
      </c>
      <c r="R110" s="1630"/>
      <c r="S110" s="1628"/>
      <c r="T110" s="1631"/>
      <c r="U110" s="2459">
        <f t="shared" si="43"/>
        <v>0</v>
      </c>
      <c r="V110" s="1631"/>
      <c r="W110" s="1628"/>
      <c r="X110" s="1633"/>
    </row>
    <row r="111" spans="1:24" ht="11.25" customHeight="1">
      <c r="A111" s="1170">
        <f>'Org structure'!E106</f>
        <v>0</v>
      </c>
      <c r="B111" s="293"/>
      <c r="C111" s="1628"/>
      <c r="D111" s="1628"/>
      <c r="E111" s="1631"/>
      <c r="F111" s="1630"/>
      <c r="G111" s="1628"/>
      <c r="H111" s="1629"/>
      <c r="I111" s="1631"/>
      <c r="J111" s="2466">
        <f t="shared" si="58"/>
        <v>0</v>
      </c>
      <c r="K111" s="942">
        <f t="shared" si="59"/>
        <v>0</v>
      </c>
      <c r="L111" s="2467">
        <f t="shared" si="60"/>
        <v>0</v>
      </c>
      <c r="M111" s="320"/>
      <c r="N111" s="1630"/>
      <c r="O111" s="1628"/>
      <c r="P111" s="1629"/>
      <c r="Q111" s="978">
        <f t="shared" si="61"/>
        <v>0</v>
      </c>
      <c r="R111" s="1630"/>
      <c r="S111" s="1628"/>
      <c r="T111" s="1631"/>
      <c r="U111" s="2459">
        <f t="shared" si="43"/>
        <v>0</v>
      </c>
      <c r="V111" s="1631"/>
      <c r="W111" s="1628"/>
      <c r="X111" s="1633"/>
    </row>
    <row r="112" spans="1:24" ht="11.25" customHeight="1">
      <c r="A112" s="1170">
        <f>'Org structure'!E107</f>
        <v>0</v>
      </c>
      <c r="B112" s="293"/>
      <c r="C112" s="1628"/>
      <c r="D112" s="1628"/>
      <c r="E112" s="1631"/>
      <c r="F112" s="1630"/>
      <c r="G112" s="1628"/>
      <c r="H112" s="1629"/>
      <c r="I112" s="1631"/>
      <c r="J112" s="2466">
        <f t="shared" si="58"/>
        <v>0</v>
      </c>
      <c r="K112" s="942">
        <f t="shared" si="59"/>
        <v>0</v>
      </c>
      <c r="L112" s="2467">
        <f t="shared" si="60"/>
        <v>0</v>
      </c>
      <c r="M112" s="320"/>
      <c r="N112" s="1630"/>
      <c r="O112" s="1628"/>
      <c r="P112" s="1629"/>
      <c r="Q112" s="978">
        <f t="shared" si="61"/>
        <v>0</v>
      </c>
      <c r="R112" s="1630"/>
      <c r="S112" s="1628"/>
      <c r="T112" s="1631"/>
      <c r="U112" s="2459">
        <f t="shared" si="43"/>
        <v>0</v>
      </c>
      <c r="V112" s="1631"/>
      <c r="W112" s="1628"/>
      <c r="X112" s="1633"/>
    </row>
    <row r="113" spans="1:24" ht="11.25" customHeight="1">
      <c r="A113" s="1170">
        <f>'Org structure'!E108</f>
        <v>0</v>
      </c>
      <c r="B113" s="293"/>
      <c r="C113" s="1628"/>
      <c r="D113" s="1628"/>
      <c r="E113" s="1631"/>
      <c r="F113" s="1630"/>
      <c r="G113" s="1628"/>
      <c r="H113" s="1629"/>
      <c r="I113" s="1631"/>
      <c r="J113" s="2466">
        <f t="shared" si="58"/>
        <v>0</v>
      </c>
      <c r="K113" s="942">
        <f t="shared" si="59"/>
        <v>0</v>
      </c>
      <c r="L113" s="2467">
        <f t="shared" si="60"/>
        <v>0</v>
      </c>
      <c r="M113" s="320"/>
      <c r="N113" s="1630"/>
      <c r="O113" s="1628"/>
      <c r="P113" s="1629"/>
      <c r="Q113" s="978">
        <f t="shared" si="61"/>
        <v>0</v>
      </c>
      <c r="R113" s="1630"/>
      <c r="S113" s="1628"/>
      <c r="T113" s="1631"/>
      <c r="U113" s="2459">
        <f t="shared" si="43"/>
        <v>0</v>
      </c>
      <c r="V113" s="1631"/>
      <c r="W113" s="1628"/>
      <c r="X113" s="1633"/>
    </row>
    <row r="114" spans="1:24" ht="11.25" customHeight="1">
      <c r="A114" s="1170">
        <f>'Org structure'!E109</f>
        <v>0</v>
      </c>
      <c r="B114" s="293"/>
      <c r="C114" s="1628"/>
      <c r="D114" s="1628"/>
      <c r="E114" s="1631"/>
      <c r="F114" s="1630"/>
      <c r="G114" s="1628"/>
      <c r="H114" s="1629"/>
      <c r="I114" s="1631"/>
      <c r="J114" s="2466">
        <f t="shared" si="58"/>
        <v>0</v>
      </c>
      <c r="K114" s="942">
        <f t="shared" si="59"/>
        <v>0</v>
      </c>
      <c r="L114" s="2467">
        <f t="shared" si="60"/>
        <v>0</v>
      </c>
      <c r="M114" s="320"/>
      <c r="N114" s="1630"/>
      <c r="O114" s="1628"/>
      <c r="P114" s="1629"/>
      <c r="Q114" s="978">
        <f t="shared" si="61"/>
        <v>0</v>
      </c>
      <c r="R114" s="1630"/>
      <c r="S114" s="1628"/>
      <c r="T114" s="1631"/>
      <c r="U114" s="2459">
        <f t="shared" si="43"/>
        <v>0</v>
      </c>
      <c r="V114" s="1631"/>
      <c r="W114" s="1628"/>
      <c r="X114" s="1633"/>
    </row>
    <row r="115" spans="1:24" ht="11.25" customHeight="1">
      <c r="A115" s="1170">
        <f>'Org structure'!E110</f>
        <v>0</v>
      </c>
      <c r="B115" s="293"/>
      <c r="C115" s="1628"/>
      <c r="D115" s="1628"/>
      <c r="E115" s="1631"/>
      <c r="F115" s="1630"/>
      <c r="G115" s="1628"/>
      <c r="H115" s="1629"/>
      <c r="I115" s="1631"/>
      <c r="J115" s="2466">
        <f t="shared" si="58"/>
        <v>0</v>
      </c>
      <c r="K115" s="942">
        <f t="shared" si="59"/>
        <v>0</v>
      </c>
      <c r="L115" s="2467">
        <f t="shared" si="60"/>
        <v>0</v>
      </c>
      <c r="M115" s="320"/>
      <c r="N115" s="1630"/>
      <c r="O115" s="1628"/>
      <c r="P115" s="1629"/>
      <c r="Q115" s="978">
        <f t="shared" si="61"/>
        <v>0</v>
      </c>
      <c r="R115" s="1630"/>
      <c r="S115" s="1628"/>
      <c r="T115" s="1631"/>
      <c r="U115" s="2459">
        <f t="shared" si="43"/>
        <v>0</v>
      </c>
      <c r="V115" s="1631"/>
      <c r="W115" s="1628"/>
      <c r="X115" s="1633"/>
    </row>
    <row r="116" spans="1:24" ht="11.25" customHeight="1">
      <c r="A116" s="1170">
        <f>'Org structure'!E111</f>
        <v>0</v>
      </c>
      <c r="B116" s="293"/>
      <c r="C116" s="1628"/>
      <c r="D116" s="1628"/>
      <c r="E116" s="1631"/>
      <c r="F116" s="1630"/>
      <c r="G116" s="1628"/>
      <c r="H116" s="1629"/>
      <c r="I116" s="1631"/>
      <c r="J116" s="2466">
        <f t="shared" si="58"/>
        <v>0</v>
      </c>
      <c r="K116" s="942">
        <f t="shared" si="59"/>
        <v>0</v>
      </c>
      <c r="L116" s="2467">
        <f t="shared" si="60"/>
        <v>0</v>
      </c>
      <c r="M116" s="320"/>
      <c r="N116" s="1630"/>
      <c r="O116" s="1628"/>
      <c r="P116" s="1629"/>
      <c r="Q116" s="978">
        <f t="shared" si="61"/>
        <v>0</v>
      </c>
      <c r="R116" s="1630"/>
      <c r="S116" s="1628"/>
      <c r="T116" s="1631"/>
      <c r="U116" s="2459">
        <f t="shared" si="43"/>
        <v>0</v>
      </c>
      <c r="V116" s="1631"/>
      <c r="W116" s="1628"/>
      <c r="X116" s="1633"/>
    </row>
    <row r="117" spans="1:24" ht="15" customHeight="1">
      <c r="A117" s="1169" t="str">
        <f>'Org structure'!A12</f>
        <v>Vote 11 - [NAME OF VOTE 11]</v>
      </c>
      <c r="B117" s="293"/>
      <c r="C117" s="976">
        <f t="shared" ref="C117:L117" si="62">SUM(C118:C127)</f>
        <v>0</v>
      </c>
      <c r="D117" s="976">
        <f t="shared" si="62"/>
        <v>0</v>
      </c>
      <c r="E117" s="977">
        <f t="shared" si="62"/>
        <v>0</v>
      </c>
      <c r="F117" s="978">
        <f t="shared" si="62"/>
        <v>0</v>
      </c>
      <c r="G117" s="976">
        <f t="shared" si="62"/>
        <v>0</v>
      </c>
      <c r="H117" s="977">
        <f t="shared" si="62"/>
        <v>0</v>
      </c>
      <c r="I117" s="979">
        <f t="shared" si="62"/>
        <v>0</v>
      </c>
      <c r="J117" s="2466">
        <f t="shared" si="62"/>
        <v>0</v>
      </c>
      <c r="K117" s="942">
        <f t="shared" si="62"/>
        <v>0</v>
      </c>
      <c r="L117" s="2467">
        <f t="shared" si="62"/>
        <v>0</v>
      </c>
      <c r="M117" s="320"/>
      <c r="N117" s="978">
        <f t="shared" ref="N117:X117" si="63">SUM(N118:N127)</f>
        <v>0</v>
      </c>
      <c r="O117" s="976">
        <f t="shared" si="63"/>
        <v>0</v>
      </c>
      <c r="P117" s="977">
        <f t="shared" si="63"/>
        <v>0</v>
      </c>
      <c r="Q117" s="978">
        <f t="shared" si="63"/>
        <v>0</v>
      </c>
      <c r="R117" s="978">
        <f t="shared" si="63"/>
        <v>0</v>
      </c>
      <c r="S117" s="976">
        <f t="shared" si="63"/>
        <v>0</v>
      </c>
      <c r="T117" s="2463">
        <f t="shared" si="63"/>
        <v>0</v>
      </c>
      <c r="U117" s="2459">
        <f t="shared" si="63"/>
        <v>0</v>
      </c>
      <c r="V117" s="2464">
        <f t="shared" si="63"/>
        <v>0</v>
      </c>
      <c r="W117" s="976">
        <f t="shared" si="63"/>
        <v>0</v>
      </c>
      <c r="X117" s="2465">
        <f t="shared" si="63"/>
        <v>0</v>
      </c>
    </row>
    <row r="118" spans="1:24" ht="11.25" customHeight="1">
      <c r="A118" s="1170" t="str">
        <f>'Org structure'!E113</f>
        <v>11.1 - [Name of sub-vote]</v>
      </c>
      <c r="B118" s="293"/>
      <c r="C118" s="1628"/>
      <c r="D118" s="1628"/>
      <c r="E118" s="1631"/>
      <c r="F118" s="1630"/>
      <c r="G118" s="1628"/>
      <c r="H118" s="1629"/>
      <c r="I118" s="1631"/>
      <c r="J118" s="2466">
        <f t="shared" ref="J118:J127" si="64">Q118+V118</f>
        <v>0</v>
      </c>
      <c r="K118" s="942">
        <f t="shared" ref="K118:K127" si="65">U118+W118</f>
        <v>0</v>
      </c>
      <c r="L118" s="2467">
        <f t="shared" ref="L118:L127" si="66">X118</f>
        <v>0</v>
      </c>
      <c r="M118" s="320"/>
      <c r="N118" s="1630"/>
      <c r="O118" s="1628"/>
      <c r="P118" s="1629"/>
      <c r="Q118" s="978">
        <f t="shared" ref="Q118:Q127" si="67">SUM(N118:P118)</f>
        <v>0</v>
      </c>
      <c r="R118" s="1630"/>
      <c r="S118" s="1628"/>
      <c r="T118" s="1631"/>
      <c r="U118" s="2459">
        <f t="shared" si="43"/>
        <v>0</v>
      </c>
      <c r="V118" s="1631"/>
      <c r="W118" s="1628"/>
      <c r="X118" s="1633"/>
    </row>
    <row r="119" spans="1:24" ht="11.25" customHeight="1">
      <c r="A119" s="1170">
        <f>'Org structure'!E114</f>
        <v>0</v>
      </c>
      <c r="B119" s="293"/>
      <c r="C119" s="1628"/>
      <c r="D119" s="1628"/>
      <c r="E119" s="1631"/>
      <c r="F119" s="1630"/>
      <c r="G119" s="1628"/>
      <c r="H119" s="1629"/>
      <c r="I119" s="1631"/>
      <c r="J119" s="2466">
        <f t="shared" si="64"/>
        <v>0</v>
      </c>
      <c r="K119" s="942">
        <f t="shared" si="65"/>
        <v>0</v>
      </c>
      <c r="L119" s="2467">
        <f t="shared" si="66"/>
        <v>0</v>
      </c>
      <c r="M119" s="320"/>
      <c r="N119" s="1630"/>
      <c r="O119" s="1628"/>
      <c r="P119" s="1629"/>
      <c r="Q119" s="978">
        <f t="shared" si="67"/>
        <v>0</v>
      </c>
      <c r="R119" s="1630"/>
      <c r="S119" s="1628"/>
      <c r="T119" s="1631"/>
      <c r="U119" s="2459">
        <f t="shared" si="43"/>
        <v>0</v>
      </c>
      <c r="V119" s="1631"/>
      <c r="W119" s="1628"/>
      <c r="X119" s="1633"/>
    </row>
    <row r="120" spans="1:24" ht="11.25" customHeight="1">
      <c r="A120" s="1170">
        <f>'Org structure'!E115</f>
        <v>0</v>
      </c>
      <c r="B120" s="293"/>
      <c r="C120" s="1628"/>
      <c r="D120" s="1628"/>
      <c r="E120" s="1631"/>
      <c r="F120" s="1630"/>
      <c r="G120" s="1628"/>
      <c r="H120" s="1629"/>
      <c r="I120" s="1631"/>
      <c r="J120" s="2466">
        <f t="shared" si="64"/>
        <v>0</v>
      </c>
      <c r="K120" s="942">
        <f t="shared" si="65"/>
        <v>0</v>
      </c>
      <c r="L120" s="2467">
        <f t="shared" si="66"/>
        <v>0</v>
      </c>
      <c r="M120" s="320"/>
      <c r="N120" s="1630"/>
      <c r="O120" s="1628"/>
      <c r="P120" s="1629"/>
      <c r="Q120" s="978">
        <f t="shared" si="67"/>
        <v>0</v>
      </c>
      <c r="R120" s="1630"/>
      <c r="S120" s="1628"/>
      <c r="T120" s="1631"/>
      <c r="U120" s="2459">
        <f t="shared" si="43"/>
        <v>0</v>
      </c>
      <c r="V120" s="1631"/>
      <c r="W120" s="1628"/>
      <c r="X120" s="1633"/>
    </row>
    <row r="121" spans="1:24" ht="11.25" customHeight="1">
      <c r="A121" s="1170">
        <f>'Org structure'!E116</f>
        <v>0</v>
      </c>
      <c r="B121" s="293"/>
      <c r="C121" s="1628"/>
      <c r="D121" s="1628"/>
      <c r="E121" s="1631"/>
      <c r="F121" s="1630"/>
      <c r="G121" s="1628"/>
      <c r="H121" s="1629"/>
      <c r="I121" s="1631"/>
      <c r="J121" s="2466">
        <f t="shared" si="64"/>
        <v>0</v>
      </c>
      <c r="K121" s="942">
        <f t="shared" si="65"/>
        <v>0</v>
      </c>
      <c r="L121" s="2467">
        <f t="shared" si="66"/>
        <v>0</v>
      </c>
      <c r="M121" s="320"/>
      <c r="N121" s="1630"/>
      <c r="O121" s="1628"/>
      <c r="P121" s="1629"/>
      <c r="Q121" s="978">
        <f t="shared" si="67"/>
        <v>0</v>
      </c>
      <c r="R121" s="1630"/>
      <c r="S121" s="1628"/>
      <c r="T121" s="1631"/>
      <c r="U121" s="2459">
        <f t="shared" si="43"/>
        <v>0</v>
      </c>
      <c r="V121" s="1631"/>
      <c r="W121" s="1628"/>
      <c r="X121" s="1633"/>
    </row>
    <row r="122" spans="1:24" ht="11.25" customHeight="1">
      <c r="A122" s="1170">
        <f>'Org structure'!E117</f>
        <v>0</v>
      </c>
      <c r="B122" s="293"/>
      <c r="C122" s="1628"/>
      <c r="D122" s="1628"/>
      <c r="E122" s="1631"/>
      <c r="F122" s="1630"/>
      <c r="G122" s="1628"/>
      <c r="H122" s="1629"/>
      <c r="I122" s="1631"/>
      <c r="J122" s="2466">
        <f t="shared" si="64"/>
        <v>0</v>
      </c>
      <c r="K122" s="942">
        <f t="shared" si="65"/>
        <v>0</v>
      </c>
      <c r="L122" s="2467">
        <f t="shared" si="66"/>
        <v>0</v>
      </c>
      <c r="M122" s="320"/>
      <c r="N122" s="1630"/>
      <c r="O122" s="1628"/>
      <c r="P122" s="1629"/>
      <c r="Q122" s="978">
        <f t="shared" si="67"/>
        <v>0</v>
      </c>
      <c r="R122" s="1630"/>
      <c r="S122" s="1628"/>
      <c r="T122" s="1631"/>
      <c r="U122" s="2459">
        <f t="shared" si="43"/>
        <v>0</v>
      </c>
      <c r="V122" s="1631"/>
      <c r="W122" s="1628"/>
      <c r="X122" s="1633"/>
    </row>
    <row r="123" spans="1:24" ht="11.25" customHeight="1">
      <c r="A123" s="1170">
        <f>'Org structure'!E118</f>
        <v>0</v>
      </c>
      <c r="B123" s="293"/>
      <c r="C123" s="1628"/>
      <c r="D123" s="1628"/>
      <c r="E123" s="1631"/>
      <c r="F123" s="1630"/>
      <c r="G123" s="1628"/>
      <c r="H123" s="1629"/>
      <c r="I123" s="1631"/>
      <c r="J123" s="2466">
        <f t="shared" si="64"/>
        <v>0</v>
      </c>
      <c r="K123" s="942">
        <f t="shared" si="65"/>
        <v>0</v>
      </c>
      <c r="L123" s="2467">
        <f t="shared" si="66"/>
        <v>0</v>
      </c>
      <c r="M123" s="320"/>
      <c r="N123" s="1630"/>
      <c r="O123" s="1628"/>
      <c r="P123" s="1629"/>
      <c r="Q123" s="978">
        <f t="shared" si="67"/>
        <v>0</v>
      </c>
      <c r="R123" s="1630"/>
      <c r="S123" s="1628"/>
      <c r="T123" s="1631"/>
      <c r="U123" s="2459">
        <f t="shared" si="43"/>
        <v>0</v>
      </c>
      <c r="V123" s="1631"/>
      <c r="W123" s="1628"/>
      <c r="X123" s="1633"/>
    </row>
    <row r="124" spans="1:24" ht="11.25" customHeight="1">
      <c r="A124" s="1170">
        <f>'Org structure'!E119</f>
        <v>0</v>
      </c>
      <c r="B124" s="293"/>
      <c r="C124" s="1628"/>
      <c r="D124" s="1628"/>
      <c r="E124" s="1631"/>
      <c r="F124" s="1630"/>
      <c r="G124" s="1628"/>
      <c r="H124" s="1629"/>
      <c r="I124" s="1631"/>
      <c r="J124" s="2466">
        <f t="shared" si="64"/>
        <v>0</v>
      </c>
      <c r="K124" s="942">
        <f t="shared" si="65"/>
        <v>0</v>
      </c>
      <c r="L124" s="2467">
        <f t="shared" si="66"/>
        <v>0</v>
      </c>
      <c r="M124" s="320"/>
      <c r="N124" s="1630"/>
      <c r="O124" s="1628"/>
      <c r="P124" s="1629"/>
      <c r="Q124" s="978">
        <f t="shared" si="67"/>
        <v>0</v>
      </c>
      <c r="R124" s="1630"/>
      <c r="S124" s="1628"/>
      <c r="T124" s="1631"/>
      <c r="U124" s="2459">
        <f t="shared" si="43"/>
        <v>0</v>
      </c>
      <c r="V124" s="1631"/>
      <c r="W124" s="1628"/>
      <c r="X124" s="1633"/>
    </row>
    <row r="125" spans="1:24" ht="11.25" customHeight="1">
      <c r="A125" s="1170">
        <f>'Org structure'!E120</f>
        <v>0</v>
      </c>
      <c r="B125" s="293"/>
      <c r="C125" s="1628"/>
      <c r="D125" s="1628"/>
      <c r="E125" s="1631"/>
      <c r="F125" s="1630"/>
      <c r="G125" s="1628"/>
      <c r="H125" s="1629"/>
      <c r="I125" s="1631"/>
      <c r="J125" s="2466">
        <f t="shared" si="64"/>
        <v>0</v>
      </c>
      <c r="K125" s="942">
        <f t="shared" si="65"/>
        <v>0</v>
      </c>
      <c r="L125" s="2467">
        <f t="shared" si="66"/>
        <v>0</v>
      </c>
      <c r="M125" s="320"/>
      <c r="N125" s="1630"/>
      <c r="O125" s="1628"/>
      <c r="P125" s="1629"/>
      <c r="Q125" s="978">
        <f t="shared" si="67"/>
        <v>0</v>
      </c>
      <c r="R125" s="1630"/>
      <c r="S125" s="1628"/>
      <c r="T125" s="1631"/>
      <c r="U125" s="2459">
        <f t="shared" si="43"/>
        <v>0</v>
      </c>
      <c r="V125" s="1631"/>
      <c r="W125" s="1628"/>
      <c r="X125" s="1633"/>
    </row>
    <row r="126" spans="1:24" ht="11.25" customHeight="1">
      <c r="A126" s="1170">
        <f>'Org structure'!E121</f>
        <v>0</v>
      </c>
      <c r="B126" s="293"/>
      <c r="C126" s="1628"/>
      <c r="D126" s="1628"/>
      <c r="E126" s="1631"/>
      <c r="F126" s="1630"/>
      <c r="G126" s="1628"/>
      <c r="H126" s="1629"/>
      <c r="I126" s="1631"/>
      <c r="J126" s="2466">
        <f t="shared" si="64"/>
        <v>0</v>
      </c>
      <c r="K126" s="942">
        <f t="shared" si="65"/>
        <v>0</v>
      </c>
      <c r="L126" s="2467">
        <f t="shared" si="66"/>
        <v>0</v>
      </c>
      <c r="M126" s="320"/>
      <c r="N126" s="1630"/>
      <c r="O126" s="1628"/>
      <c r="P126" s="1629"/>
      <c r="Q126" s="978">
        <f t="shared" si="67"/>
        <v>0</v>
      </c>
      <c r="R126" s="1630"/>
      <c r="S126" s="1628"/>
      <c r="T126" s="1631"/>
      <c r="U126" s="2459">
        <f t="shared" si="43"/>
        <v>0</v>
      </c>
      <c r="V126" s="1631"/>
      <c r="W126" s="1628"/>
      <c r="X126" s="1633"/>
    </row>
    <row r="127" spans="1:24" ht="11.25" customHeight="1">
      <c r="A127" s="1170">
        <f>'Org structure'!E122</f>
        <v>0</v>
      </c>
      <c r="B127" s="293"/>
      <c r="C127" s="1628"/>
      <c r="D127" s="1628"/>
      <c r="E127" s="1631"/>
      <c r="F127" s="1630"/>
      <c r="G127" s="1628"/>
      <c r="H127" s="1629"/>
      <c r="I127" s="1631"/>
      <c r="J127" s="2466">
        <f t="shared" si="64"/>
        <v>0</v>
      </c>
      <c r="K127" s="942">
        <f t="shared" si="65"/>
        <v>0</v>
      </c>
      <c r="L127" s="2467">
        <f t="shared" si="66"/>
        <v>0</v>
      </c>
      <c r="M127" s="320"/>
      <c r="N127" s="1630"/>
      <c r="O127" s="1628"/>
      <c r="P127" s="1629"/>
      <c r="Q127" s="978">
        <f t="shared" si="67"/>
        <v>0</v>
      </c>
      <c r="R127" s="1630"/>
      <c r="S127" s="1628"/>
      <c r="T127" s="1631"/>
      <c r="U127" s="2459">
        <f t="shared" si="43"/>
        <v>0</v>
      </c>
      <c r="V127" s="1631"/>
      <c r="W127" s="1628"/>
      <c r="X127" s="1633"/>
    </row>
    <row r="128" spans="1:24" ht="15" customHeight="1">
      <c r="A128" s="1169" t="str">
        <f>'Org structure'!A13</f>
        <v>Vote 12 - [NAME OF VOTE 12]</v>
      </c>
      <c r="B128" s="293"/>
      <c r="C128" s="976">
        <f t="shared" ref="C128:L128" si="68">SUM(C129:C138)</f>
        <v>0</v>
      </c>
      <c r="D128" s="976">
        <f t="shared" si="68"/>
        <v>0</v>
      </c>
      <c r="E128" s="977">
        <f t="shared" si="68"/>
        <v>0</v>
      </c>
      <c r="F128" s="978">
        <f t="shared" si="68"/>
        <v>0</v>
      </c>
      <c r="G128" s="976">
        <f t="shared" si="68"/>
        <v>0</v>
      </c>
      <c r="H128" s="977">
        <f t="shared" si="68"/>
        <v>0</v>
      </c>
      <c r="I128" s="979">
        <f t="shared" si="68"/>
        <v>0</v>
      </c>
      <c r="J128" s="2466">
        <f t="shared" si="68"/>
        <v>0</v>
      </c>
      <c r="K128" s="942">
        <f t="shared" si="68"/>
        <v>0</v>
      </c>
      <c r="L128" s="2467">
        <f t="shared" si="68"/>
        <v>0</v>
      </c>
      <c r="M128" s="320"/>
      <c r="N128" s="978">
        <f t="shared" ref="N128:X128" si="69">SUM(N129:N138)</f>
        <v>0</v>
      </c>
      <c r="O128" s="976">
        <f t="shared" si="69"/>
        <v>0</v>
      </c>
      <c r="P128" s="977">
        <f t="shared" si="69"/>
        <v>0</v>
      </c>
      <c r="Q128" s="978">
        <f t="shared" si="69"/>
        <v>0</v>
      </c>
      <c r="R128" s="978">
        <f t="shared" si="69"/>
        <v>0</v>
      </c>
      <c r="S128" s="976">
        <f t="shared" si="69"/>
        <v>0</v>
      </c>
      <c r="T128" s="2463">
        <f t="shared" si="69"/>
        <v>0</v>
      </c>
      <c r="U128" s="2459">
        <f t="shared" si="69"/>
        <v>0</v>
      </c>
      <c r="V128" s="2464">
        <f t="shared" si="69"/>
        <v>0</v>
      </c>
      <c r="W128" s="976">
        <f t="shared" si="69"/>
        <v>0</v>
      </c>
      <c r="X128" s="2465">
        <f t="shared" si="69"/>
        <v>0</v>
      </c>
    </row>
    <row r="129" spans="1:24" ht="11.25" customHeight="1">
      <c r="A129" s="1170" t="str">
        <f>'Org structure'!E124</f>
        <v>12.1 - [Name of sub-vote]</v>
      </c>
      <c r="B129" s="293"/>
      <c r="C129" s="1628"/>
      <c r="D129" s="1628"/>
      <c r="E129" s="1631"/>
      <c r="F129" s="1630"/>
      <c r="G129" s="1628"/>
      <c r="H129" s="1629"/>
      <c r="I129" s="1631"/>
      <c r="J129" s="2466">
        <f t="shared" ref="J129:J138" si="70">Q129+V129</f>
        <v>0</v>
      </c>
      <c r="K129" s="942">
        <f t="shared" ref="K129:K138" si="71">U129+W129</f>
        <v>0</v>
      </c>
      <c r="L129" s="2467">
        <f t="shared" ref="L129:L138" si="72">X129</f>
        <v>0</v>
      </c>
      <c r="M129" s="320"/>
      <c r="N129" s="1630"/>
      <c r="O129" s="1628"/>
      <c r="P129" s="1629"/>
      <c r="Q129" s="978">
        <f t="shared" ref="Q129:Q138" si="73">SUM(N129:P129)</f>
        <v>0</v>
      </c>
      <c r="R129" s="1630"/>
      <c r="S129" s="1628"/>
      <c r="T129" s="1631"/>
      <c r="U129" s="2459">
        <f t="shared" si="43"/>
        <v>0</v>
      </c>
      <c r="V129" s="1631"/>
      <c r="W129" s="1628"/>
      <c r="X129" s="1633"/>
    </row>
    <row r="130" spans="1:24" ht="11.25" customHeight="1">
      <c r="A130" s="1170">
        <f>'Org structure'!E125</f>
        <v>0</v>
      </c>
      <c r="B130" s="293"/>
      <c r="C130" s="1628"/>
      <c r="D130" s="1628"/>
      <c r="E130" s="1631"/>
      <c r="F130" s="1630"/>
      <c r="G130" s="1628"/>
      <c r="H130" s="1629"/>
      <c r="I130" s="1631"/>
      <c r="J130" s="2466">
        <f t="shared" si="70"/>
        <v>0</v>
      </c>
      <c r="K130" s="942">
        <f t="shared" si="71"/>
        <v>0</v>
      </c>
      <c r="L130" s="2467">
        <f t="shared" si="72"/>
        <v>0</v>
      </c>
      <c r="M130" s="320"/>
      <c r="N130" s="1630"/>
      <c r="O130" s="1628"/>
      <c r="P130" s="1629"/>
      <c r="Q130" s="978">
        <f t="shared" si="73"/>
        <v>0</v>
      </c>
      <c r="R130" s="1630"/>
      <c r="S130" s="1628"/>
      <c r="T130" s="1631"/>
      <c r="U130" s="2459">
        <f t="shared" si="43"/>
        <v>0</v>
      </c>
      <c r="V130" s="1631"/>
      <c r="W130" s="1628"/>
      <c r="X130" s="1633"/>
    </row>
    <row r="131" spans="1:24" ht="11.25" customHeight="1">
      <c r="A131" s="1170">
        <f>'Org structure'!E126</f>
        <v>0</v>
      </c>
      <c r="B131" s="293"/>
      <c r="C131" s="1628"/>
      <c r="D131" s="1628"/>
      <c r="E131" s="1631"/>
      <c r="F131" s="1630"/>
      <c r="G131" s="1628"/>
      <c r="H131" s="1629"/>
      <c r="I131" s="1631"/>
      <c r="J131" s="2466">
        <f t="shared" si="70"/>
        <v>0</v>
      </c>
      <c r="K131" s="942">
        <f t="shared" si="71"/>
        <v>0</v>
      </c>
      <c r="L131" s="2467">
        <f t="shared" si="72"/>
        <v>0</v>
      </c>
      <c r="M131" s="320"/>
      <c r="N131" s="1630"/>
      <c r="O131" s="1628"/>
      <c r="P131" s="1629"/>
      <c r="Q131" s="978">
        <f t="shared" si="73"/>
        <v>0</v>
      </c>
      <c r="R131" s="1630"/>
      <c r="S131" s="1628"/>
      <c r="T131" s="1631"/>
      <c r="U131" s="2459">
        <f t="shared" si="43"/>
        <v>0</v>
      </c>
      <c r="V131" s="1631"/>
      <c r="W131" s="1628"/>
      <c r="X131" s="1633"/>
    </row>
    <row r="132" spans="1:24" ht="11.25" customHeight="1">
      <c r="A132" s="1170">
        <f>'Org structure'!E127</f>
        <v>0</v>
      </c>
      <c r="B132" s="293"/>
      <c r="C132" s="1628"/>
      <c r="D132" s="1628"/>
      <c r="E132" s="1631"/>
      <c r="F132" s="1630"/>
      <c r="G132" s="1628"/>
      <c r="H132" s="1629"/>
      <c r="I132" s="1631"/>
      <c r="J132" s="2466">
        <f t="shared" si="70"/>
        <v>0</v>
      </c>
      <c r="K132" s="942">
        <f t="shared" si="71"/>
        <v>0</v>
      </c>
      <c r="L132" s="2467">
        <f t="shared" si="72"/>
        <v>0</v>
      </c>
      <c r="M132" s="320"/>
      <c r="N132" s="1630"/>
      <c r="O132" s="1628"/>
      <c r="P132" s="1629"/>
      <c r="Q132" s="978">
        <f t="shared" si="73"/>
        <v>0</v>
      </c>
      <c r="R132" s="1630"/>
      <c r="S132" s="1628"/>
      <c r="T132" s="1631"/>
      <c r="U132" s="2459">
        <f t="shared" si="43"/>
        <v>0</v>
      </c>
      <c r="V132" s="1631"/>
      <c r="W132" s="1628"/>
      <c r="X132" s="1633"/>
    </row>
    <row r="133" spans="1:24" ht="11.25" customHeight="1">
      <c r="A133" s="1170">
        <f>'Org structure'!E128</f>
        <v>0</v>
      </c>
      <c r="B133" s="293"/>
      <c r="C133" s="1628"/>
      <c r="D133" s="1628"/>
      <c r="E133" s="1631"/>
      <c r="F133" s="1630"/>
      <c r="G133" s="1628"/>
      <c r="H133" s="1629"/>
      <c r="I133" s="1631"/>
      <c r="J133" s="2466">
        <f t="shared" si="70"/>
        <v>0</v>
      </c>
      <c r="K133" s="942">
        <f t="shared" si="71"/>
        <v>0</v>
      </c>
      <c r="L133" s="2467">
        <f t="shared" si="72"/>
        <v>0</v>
      </c>
      <c r="M133" s="320"/>
      <c r="N133" s="1630"/>
      <c r="O133" s="1628"/>
      <c r="P133" s="1629"/>
      <c r="Q133" s="978">
        <f t="shared" si="73"/>
        <v>0</v>
      </c>
      <c r="R133" s="1630"/>
      <c r="S133" s="1628"/>
      <c r="T133" s="1631"/>
      <c r="U133" s="2459">
        <f t="shared" si="43"/>
        <v>0</v>
      </c>
      <c r="V133" s="1631"/>
      <c r="W133" s="1628"/>
      <c r="X133" s="1633"/>
    </row>
    <row r="134" spans="1:24" ht="11.25" customHeight="1">
      <c r="A134" s="1170">
        <f>'Org structure'!E129</f>
        <v>0</v>
      </c>
      <c r="B134" s="293"/>
      <c r="C134" s="1628"/>
      <c r="D134" s="1628"/>
      <c r="E134" s="1631"/>
      <c r="F134" s="1630"/>
      <c r="G134" s="1628"/>
      <c r="H134" s="1629"/>
      <c r="I134" s="1631"/>
      <c r="J134" s="2466">
        <f>Q134+V134</f>
        <v>0</v>
      </c>
      <c r="K134" s="942">
        <f t="shared" si="71"/>
        <v>0</v>
      </c>
      <c r="L134" s="2467">
        <f t="shared" si="72"/>
        <v>0</v>
      </c>
      <c r="M134" s="320"/>
      <c r="N134" s="1630"/>
      <c r="O134" s="1628"/>
      <c r="P134" s="1629"/>
      <c r="Q134" s="978">
        <f t="shared" si="73"/>
        <v>0</v>
      </c>
      <c r="R134" s="1630"/>
      <c r="S134" s="1628"/>
      <c r="T134" s="1631"/>
      <c r="U134" s="2459">
        <f t="shared" si="43"/>
        <v>0</v>
      </c>
      <c r="V134" s="1631"/>
      <c r="W134" s="1628"/>
      <c r="X134" s="1633"/>
    </row>
    <row r="135" spans="1:24" ht="11.25" customHeight="1">
      <c r="A135" s="1170">
        <f>'Org structure'!E130</f>
        <v>0</v>
      </c>
      <c r="B135" s="293"/>
      <c r="C135" s="1628"/>
      <c r="D135" s="1628"/>
      <c r="E135" s="1631"/>
      <c r="F135" s="1630"/>
      <c r="G135" s="1628"/>
      <c r="H135" s="1629"/>
      <c r="I135" s="1631"/>
      <c r="J135" s="2466">
        <f t="shared" si="70"/>
        <v>0</v>
      </c>
      <c r="K135" s="942">
        <f t="shared" si="71"/>
        <v>0</v>
      </c>
      <c r="L135" s="2467">
        <f t="shared" si="72"/>
        <v>0</v>
      </c>
      <c r="M135" s="320"/>
      <c r="N135" s="1630"/>
      <c r="O135" s="1628"/>
      <c r="P135" s="1629"/>
      <c r="Q135" s="978">
        <f t="shared" si="73"/>
        <v>0</v>
      </c>
      <c r="R135" s="1630"/>
      <c r="S135" s="1628"/>
      <c r="T135" s="1631"/>
      <c r="U135" s="2459">
        <f t="shared" si="43"/>
        <v>0</v>
      </c>
      <c r="V135" s="1631"/>
      <c r="W135" s="1628"/>
      <c r="X135" s="1633"/>
    </row>
    <row r="136" spans="1:24" ht="11.25" customHeight="1">
      <c r="A136" s="1170">
        <f>'Org structure'!E131</f>
        <v>0</v>
      </c>
      <c r="B136" s="293"/>
      <c r="C136" s="1628"/>
      <c r="D136" s="1628"/>
      <c r="E136" s="1631"/>
      <c r="F136" s="1630"/>
      <c r="G136" s="1628"/>
      <c r="H136" s="1629"/>
      <c r="I136" s="1631"/>
      <c r="J136" s="2466">
        <f t="shared" si="70"/>
        <v>0</v>
      </c>
      <c r="K136" s="942">
        <f t="shared" si="71"/>
        <v>0</v>
      </c>
      <c r="L136" s="2467">
        <f t="shared" si="72"/>
        <v>0</v>
      </c>
      <c r="M136" s="320"/>
      <c r="N136" s="1630"/>
      <c r="O136" s="1628"/>
      <c r="P136" s="1629"/>
      <c r="Q136" s="978">
        <f t="shared" si="73"/>
        <v>0</v>
      </c>
      <c r="R136" s="1630"/>
      <c r="S136" s="1628"/>
      <c r="T136" s="1631"/>
      <c r="U136" s="2459">
        <f t="shared" si="43"/>
        <v>0</v>
      </c>
      <c r="V136" s="1631"/>
      <c r="W136" s="1628"/>
      <c r="X136" s="1633"/>
    </row>
    <row r="137" spans="1:24" ht="11.25" customHeight="1">
      <c r="A137" s="1170">
        <f>'Org structure'!E132</f>
        <v>0</v>
      </c>
      <c r="B137" s="293"/>
      <c r="C137" s="1628"/>
      <c r="D137" s="1628"/>
      <c r="E137" s="1631"/>
      <c r="F137" s="1630"/>
      <c r="G137" s="1628"/>
      <c r="H137" s="1629"/>
      <c r="I137" s="1631"/>
      <c r="J137" s="2466">
        <f t="shared" si="70"/>
        <v>0</v>
      </c>
      <c r="K137" s="942">
        <f t="shared" si="71"/>
        <v>0</v>
      </c>
      <c r="L137" s="2467">
        <f t="shared" si="72"/>
        <v>0</v>
      </c>
      <c r="M137" s="320"/>
      <c r="N137" s="1630"/>
      <c r="O137" s="1628"/>
      <c r="P137" s="1629"/>
      <c r="Q137" s="978">
        <f t="shared" si="73"/>
        <v>0</v>
      </c>
      <c r="R137" s="1630"/>
      <c r="S137" s="1628"/>
      <c r="T137" s="1631"/>
      <c r="U137" s="2459">
        <f t="shared" ref="U137:U171" si="74">SUM(R137:T137)</f>
        <v>0</v>
      </c>
      <c r="V137" s="1631"/>
      <c r="W137" s="1628"/>
      <c r="X137" s="1633"/>
    </row>
    <row r="138" spans="1:24" ht="11.25" customHeight="1">
      <c r="A138" s="1170">
        <f>'Org structure'!E133</f>
        <v>0</v>
      </c>
      <c r="B138" s="293"/>
      <c r="C138" s="1628"/>
      <c r="D138" s="1628"/>
      <c r="E138" s="1631"/>
      <c r="F138" s="1630"/>
      <c r="G138" s="1628"/>
      <c r="H138" s="1629"/>
      <c r="I138" s="1631"/>
      <c r="J138" s="2466">
        <f t="shared" si="70"/>
        <v>0</v>
      </c>
      <c r="K138" s="942">
        <f t="shared" si="71"/>
        <v>0</v>
      </c>
      <c r="L138" s="2467">
        <f t="shared" si="72"/>
        <v>0</v>
      </c>
      <c r="M138" s="320"/>
      <c r="N138" s="1630"/>
      <c r="O138" s="1628"/>
      <c r="P138" s="1629"/>
      <c r="Q138" s="978">
        <f t="shared" si="73"/>
        <v>0</v>
      </c>
      <c r="R138" s="1630"/>
      <c r="S138" s="1628"/>
      <c r="T138" s="1631"/>
      <c r="U138" s="2459">
        <f t="shared" si="74"/>
        <v>0</v>
      </c>
      <c r="V138" s="1631"/>
      <c r="W138" s="1628"/>
      <c r="X138" s="1633"/>
    </row>
    <row r="139" spans="1:24" ht="15" customHeight="1">
      <c r="A139" s="1169" t="str">
        <f>'Org structure'!A14</f>
        <v>Vote 13 - [NAME OF VOTE 13]</v>
      </c>
      <c r="B139" s="293"/>
      <c r="C139" s="976">
        <f t="shared" ref="C139:L139" si="75">SUM(C140:C149)</f>
        <v>0</v>
      </c>
      <c r="D139" s="976">
        <f t="shared" si="75"/>
        <v>0</v>
      </c>
      <c r="E139" s="977">
        <f t="shared" si="75"/>
        <v>0</v>
      </c>
      <c r="F139" s="978">
        <f t="shared" si="75"/>
        <v>0</v>
      </c>
      <c r="G139" s="976">
        <f t="shared" si="75"/>
        <v>0</v>
      </c>
      <c r="H139" s="977">
        <f t="shared" si="75"/>
        <v>0</v>
      </c>
      <c r="I139" s="979">
        <f t="shared" si="75"/>
        <v>0</v>
      </c>
      <c r="J139" s="2466">
        <f t="shared" si="75"/>
        <v>0</v>
      </c>
      <c r="K139" s="942">
        <f t="shared" si="75"/>
        <v>0</v>
      </c>
      <c r="L139" s="2467">
        <f t="shared" si="75"/>
        <v>0</v>
      </c>
      <c r="M139" s="320"/>
      <c r="N139" s="978">
        <f t="shared" ref="N139:X139" si="76">SUM(N140:N149)</f>
        <v>0</v>
      </c>
      <c r="O139" s="976">
        <f t="shared" si="76"/>
        <v>0</v>
      </c>
      <c r="P139" s="977">
        <f t="shared" si="76"/>
        <v>0</v>
      </c>
      <c r="Q139" s="978">
        <f t="shared" si="76"/>
        <v>0</v>
      </c>
      <c r="R139" s="978">
        <f t="shared" si="76"/>
        <v>0</v>
      </c>
      <c r="S139" s="976">
        <f t="shared" si="76"/>
        <v>0</v>
      </c>
      <c r="T139" s="2463">
        <f t="shared" si="76"/>
        <v>0</v>
      </c>
      <c r="U139" s="2459">
        <f t="shared" si="76"/>
        <v>0</v>
      </c>
      <c r="V139" s="2464">
        <f t="shared" si="76"/>
        <v>0</v>
      </c>
      <c r="W139" s="976">
        <f t="shared" si="76"/>
        <v>0</v>
      </c>
      <c r="X139" s="2465">
        <f t="shared" si="76"/>
        <v>0</v>
      </c>
    </row>
    <row r="140" spans="1:24" ht="11.25" customHeight="1">
      <c r="A140" s="1170" t="str">
        <f>'Org structure'!E135</f>
        <v>13.1 - [Name of sub-vote]</v>
      </c>
      <c r="B140" s="293"/>
      <c r="C140" s="1628"/>
      <c r="D140" s="1628"/>
      <c r="E140" s="1631"/>
      <c r="F140" s="1630"/>
      <c r="G140" s="1628"/>
      <c r="H140" s="1629"/>
      <c r="I140" s="1631"/>
      <c r="J140" s="2466">
        <f t="shared" ref="J140:J149" si="77">Q140+V140</f>
        <v>0</v>
      </c>
      <c r="K140" s="942">
        <f t="shared" ref="K140:K149" si="78">U140+W140</f>
        <v>0</v>
      </c>
      <c r="L140" s="2467">
        <f t="shared" ref="L140:L149" si="79">X140</f>
        <v>0</v>
      </c>
      <c r="M140" s="320"/>
      <c r="N140" s="1630"/>
      <c r="O140" s="1628"/>
      <c r="P140" s="1629"/>
      <c r="Q140" s="978">
        <f t="shared" ref="Q140:Q149" si="80">SUM(N140:P140)</f>
        <v>0</v>
      </c>
      <c r="R140" s="1630"/>
      <c r="S140" s="1628"/>
      <c r="T140" s="1631"/>
      <c r="U140" s="2459">
        <f t="shared" si="74"/>
        <v>0</v>
      </c>
      <c r="V140" s="1631"/>
      <c r="W140" s="1628"/>
      <c r="X140" s="1633"/>
    </row>
    <row r="141" spans="1:24" ht="11.25" customHeight="1">
      <c r="A141" s="1170">
        <f>'Org structure'!E136</f>
        <v>0</v>
      </c>
      <c r="B141" s="293"/>
      <c r="C141" s="1628"/>
      <c r="D141" s="1628"/>
      <c r="E141" s="1631"/>
      <c r="F141" s="1630"/>
      <c r="G141" s="1628"/>
      <c r="H141" s="1629"/>
      <c r="I141" s="1631"/>
      <c r="J141" s="2466">
        <f t="shared" si="77"/>
        <v>0</v>
      </c>
      <c r="K141" s="942">
        <f t="shared" si="78"/>
        <v>0</v>
      </c>
      <c r="L141" s="2467">
        <f t="shared" si="79"/>
        <v>0</v>
      </c>
      <c r="M141" s="320"/>
      <c r="N141" s="1630"/>
      <c r="O141" s="1628"/>
      <c r="P141" s="1629"/>
      <c r="Q141" s="978">
        <f t="shared" si="80"/>
        <v>0</v>
      </c>
      <c r="R141" s="1630"/>
      <c r="S141" s="1628"/>
      <c r="T141" s="1631"/>
      <c r="U141" s="2459">
        <f t="shared" si="74"/>
        <v>0</v>
      </c>
      <c r="V141" s="1631"/>
      <c r="W141" s="1628"/>
      <c r="X141" s="1633"/>
    </row>
    <row r="142" spans="1:24" ht="11.25" customHeight="1">
      <c r="A142" s="1170">
        <f>'Org structure'!E137</f>
        <v>0</v>
      </c>
      <c r="B142" s="293"/>
      <c r="C142" s="1628"/>
      <c r="D142" s="1628"/>
      <c r="E142" s="1631"/>
      <c r="F142" s="1630"/>
      <c r="G142" s="1628"/>
      <c r="H142" s="1629"/>
      <c r="I142" s="1631"/>
      <c r="J142" s="2466">
        <f t="shared" si="77"/>
        <v>0</v>
      </c>
      <c r="K142" s="942">
        <f t="shared" si="78"/>
        <v>0</v>
      </c>
      <c r="L142" s="2467">
        <f t="shared" si="79"/>
        <v>0</v>
      </c>
      <c r="M142" s="320"/>
      <c r="N142" s="1630"/>
      <c r="O142" s="1628"/>
      <c r="P142" s="1629"/>
      <c r="Q142" s="978">
        <f t="shared" si="80"/>
        <v>0</v>
      </c>
      <c r="R142" s="1630"/>
      <c r="S142" s="1628"/>
      <c r="T142" s="1631"/>
      <c r="U142" s="2459">
        <f t="shared" si="74"/>
        <v>0</v>
      </c>
      <c r="V142" s="1631"/>
      <c r="W142" s="1628"/>
      <c r="X142" s="1633"/>
    </row>
    <row r="143" spans="1:24" ht="11.25" customHeight="1">
      <c r="A143" s="1170">
        <f>'Org structure'!E138</f>
        <v>0</v>
      </c>
      <c r="B143" s="293"/>
      <c r="C143" s="1628"/>
      <c r="D143" s="1628"/>
      <c r="E143" s="1631"/>
      <c r="F143" s="1630"/>
      <c r="G143" s="1628"/>
      <c r="H143" s="1629"/>
      <c r="I143" s="1631"/>
      <c r="J143" s="2466">
        <f t="shared" si="77"/>
        <v>0</v>
      </c>
      <c r="K143" s="942">
        <f t="shared" si="78"/>
        <v>0</v>
      </c>
      <c r="L143" s="2467">
        <f t="shared" si="79"/>
        <v>0</v>
      </c>
      <c r="M143" s="320"/>
      <c r="N143" s="1630"/>
      <c r="O143" s="1628"/>
      <c r="P143" s="1629"/>
      <c r="Q143" s="978">
        <f t="shared" si="80"/>
        <v>0</v>
      </c>
      <c r="R143" s="1630"/>
      <c r="S143" s="1628"/>
      <c r="T143" s="1631"/>
      <c r="U143" s="2459">
        <f t="shared" si="74"/>
        <v>0</v>
      </c>
      <c r="V143" s="1631"/>
      <c r="W143" s="1628"/>
      <c r="X143" s="1633"/>
    </row>
    <row r="144" spans="1:24" ht="11.25" customHeight="1">
      <c r="A144" s="1170">
        <f>'Org structure'!E139</f>
        <v>0</v>
      </c>
      <c r="B144" s="293"/>
      <c r="C144" s="1628"/>
      <c r="D144" s="1628"/>
      <c r="E144" s="1631"/>
      <c r="F144" s="1630"/>
      <c r="G144" s="1628"/>
      <c r="H144" s="1629"/>
      <c r="I144" s="1631"/>
      <c r="J144" s="2466">
        <f t="shared" si="77"/>
        <v>0</v>
      </c>
      <c r="K144" s="942">
        <f t="shared" si="78"/>
        <v>0</v>
      </c>
      <c r="L144" s="2467">
        <f t="shared" si="79"/>
        <v>0</v>
      </c>
      <c r="M144" s="320"/>
      <c r="N144" s="1630"/>
      <c r="O144" s="1628"/>
      <c r="P144" s="1629"/>
      <c r="Q144" s="978">
        <f t="shared" si="80"/>
        <v>0</v>
      </c>
      <c r="R144" s="1630"/>
      <c r="S144" s="1628"/>
      <c r="T144" s="1631"/>
      <c r="U144" s="2459">
        <f t="shared" si="74"/>
        <v>0</v>
      </c>
      <c r="V144" s="1631"/>
      <c r="W144" s="1628"/>
      <c r="X144" s="1633"/>
    </row>
    <row r="145" spans="1:24" ht="11.25" customHeight="1">
      <c r="A145" s="1170">
        <f>'Org structure'!E140</f>
        <v>0</v>
      </c>
      <c r="B145" s="293"/>
      <c r="C145" s="1628"/>
      <c r="D145" s="1628"/>
      <c r="E145" s="1631"/>
      <c r="F145" s="1630"/>
      <c r="G145" s="1628"/>
      <c r="H145" s="1629"/>
      <c r="I145" s="1631"/>
      <c r="J145" s="2466">
        <f t="shared" si="77"/>
        <v>0</v>
      </c>
      <c r="K145" s="942">
        <f t="shared" si="78"/>
        <v>0</v>
      </c>
      <c r="L145" s="2467">
        <f t="shared" si="79"/>
        <v>0</v>
      </c>
      <c r="M145" s="320"/>
      <c r="N145" s="1630"/>
      <c r="O145" s="1628"/>
      <c r="P145" s="1629"/>
      <c r="Q145" s="978">
        <f t="shared" si="80"/>
        <v>0</v>
      </c>
      <c r="R145" s="1630"/>
      <c r="S145" s="1628"/>
      <c r="T145" s="1631"/>
      <c r="U145" s="2459">
        <f t="shared" si="74"/>
        <v>0</v>
      </c>
      <c r="V145" s="1631"/>
      <c r="W145" s="1628"/>
      <c r="X145" s="1633"/>
    </row>
    <row r="146" spans="1:24" ht="11.25" customHeight="1">
      <c r="A146" s="1170">
        <f>'Org structure'!E141</f>
        <v>0</v>
      </c>
      <c r="B146" s="293"/>
      <c r="C146" s="1628"/>
      <c r="D146" s="1628"/>
      <c r="E146" s="1631"/>
      <c r="F146" s="1630"/>
      <c r="G146" s="1628"/>
      <c r="H146" s="1629"/>
      <c r="I146" s="1631"/>
      <c r="J146" s="2466">
        <f t="shared" si="77"/>
        <v>0</v>
      </c>
      <c r="K146" s="942">
        <f t="shared" si="78"/>
        <v>0</v>
      </c>
      <c r="L146" s="2467">
        <f t="shared" si="79"/>
        <v>0</v>
      </c>
      <c r="M146" s="320"/>
      <c r="N146" s="1630"/>
      <c r="O146" s="1628"/>
      <c r="P146" s="1629"/>
      <c r="Q146" s="978">
        <f t="shared" si="80"/>
        <v>0</v>
      </c>
      <c r="R146" s="1630"/>
      <c r="S146" s="1628"/>
      <c r="T146" s="1631"/>
      <c r="U146" s="2459">
        <f t="shared" si="74"/>
        <v>0</v>
      </c>
      <c r="V146" s="1631"/>
      <c r="W146" s="1628"/>
      <c r="X146" s="1633"/>
    </row>
    <row r="147" spans="1:24" ht="11.25" customHeight="1">
      <c r="A147" s="1170">
        <f>'Org structure'!E142</f>
        <v>0</v>
      </c>
      <c r="B147" s="293"/>
      <c r="C147" s="1628"/>
      <c r="D147" s="1628"/>
      <c r="E147" s="1631"/>
      <c r="F147" s="1630"/>
      <c r="G147" s="1628"/>
      <c r="H147" s="1629"/>
      <c r="I147" s="1631"/>
      <c r="J147" s="2466">
        <f t="shared" si="77"/>
        <v>0</v>
      </c>
      <c r="K147" s="942">
        <f t="shared" si="78"/>
        <v>0</v>
      </c>
      <c r="L147" s="2467">
        <f t="shared" si="79"/>
        <v>0</v>
      </c>
      <c r="M147" s="320"/>
      <c r="N147" s="1630"/>
      <c r="O147" s="1628"/>
      <c r="P147" s="1629"/>
      <c r="Q147" s="978">
        <f t="shared" si="80"/>
        <v>0</v>
      </c>
      <c r="R147" s="1630"/>
      <c r="S147" s="1628"/>
      <c r="T147" s="1631"/>
      <c r="U147" s="2459">
        <f t="shared" si="74"/>
        <v>0</v>
      </c>
      <c r="V147" s="1631"/>
      <c r="W147" s="1628"/>
      <c r="X147" s="1633"/>
    </row>
    <row r="148" spans="1:24" ht="11.25" customHeight="1">
      <c r="A148" s="1170">
        <f>'Org structure'!E143</f>
        <v>0</v>
      </c>
      <c r="B148" s="293"/>
      <c r="C148" s="1628"/>
      <c r="D148" s="1628"/>
      <c r="E148" s="1631"/>
      <c r="F148" s="1630"/>
      <c r="G148" s="1628"/>
      <c r="H148" s="1629"/>
      <c r="I148" s="1631"/>
      <c r="J148" s="2466">
        <f t="shared" si="77"/>
        <v>0</v>
      </c>
      <c r="K148" s="942">
        <f t="shared" si="78"/>
        <v>0</v>
      </c>
      <c r="L148" s="2467">
        <f t="shared" si="79"/>
        <v>0</v>
      </c>
      <c r="M148" s="320"/>
      <c r="N148" s="1630"/>
      <c r="O148" s="1628"/>
      <c r="P148" s="1629"/>
      <c r="Q148" s="978">
        <f t="shared" si="80"/>
        <v>0</v>
      </c>
      <c r="R148" s="1630"/>
      <c r="S148" s="1628"/>
      <c r="T148" s="1631"/>
      <c r="U148" s="2459">
        <f t="shared" si="74"/>
        <v>0</v>
      </c>
      <c r="V148" s="1631"/>
      <c r="W148" s="1628"/>
      <c r="X148" s="1633"/>
    </row>
    <row r="149" spans="1:24" ht="11.25" customHeight="1">
      <c r="A149" s="1170">
        <f>'Org structure'!E144</f>
        <v>0</v>
      </c>
      <c r="B149" s="293"/>
      <c r="C149" s="1628"/>
      <c r="D149" s="1628"/>
      <c r="E149" s="1631"/>
      <c r="F149" s="1630"/>
      <c r="G149" s="1628"/>
      <c r="H149" s="1629"/>
      <c r="I149" s="1631"/>
      <c r="J149" s="2466">
        <f t="shared" si="77"/>
        <v>0</v>
      </c>
      <c r="K149" s="942">
        <f t="shared" si="78"/>
        <v>0</v>
      </c>
      <c r="L149" s="2467">
        <f t="shared" si="79"/>
        <v>0</v>
      </c>
      <c r="M149" s="320"/>
      <c r="N149" s="1630"/>
      <c r="O149" s="1628"/>
      <c r="P149" s="1629"/>
      <c r="Q149" s="978">
        <f t="shared" si="80"/>
        <v>0</v>
      </c>
      <c r="R149" s="1630"/>
      <c r="S149" s="1628"/>
      <c r="T149" s="1631"/>
      <c r="U149" s="2459">
        <f t="shared" si="74"/>
        <v>0</v>
      </c>
      <c r="V149" s="1631"/>
      <c r="W149" s="1628"/>
      <c r="X149" s="1633"/>
    </row>
    <row r="150" spans="1:24" ht="15" customHeight="1">
      <c r="A150" s="1169" t="str">
        <f>'Org structure'!A15</f>
        <v>Vote 14 - [NAME OF VOTE 14]</v>
      </c>
      <c r="B150" s="293"/>
      <c r="C150" s="976">
        <f t="shared" ref="C150:L150" si="81">SUM(C151:C160)</f>
        <v>0</v>
      </c>
      <c r="D150" s="976">
        <f t="shared" si="81"/>
        <v>0</v>
      </c>
      <c r="E150" s="977">
        <f t="shared" si="81"/>
        <v>0</v>
      </c>
      <c r="F150" s="978">
        <f t="shared" si="81"/>
        <v>0</v>
      </c>
      <c r="G150" s="976">
        <f t="shared" si="81"/>
        <v>0</v>
      </c>
      <c r="H150" s="977">
        <f t="shared" si="81"/>
        <v>0</v>
      </c>
      <c r="I150" s="979">
        <f t="shared" si="81"/>
        <v>0</v>
      </c>
      <c r="J150" s="2466">
        <f t="shared" si="81"/>
        <v>0</v>
      </c>
      <c r="K150" s="942">
        <f t="shared" si="81"/>
        <v>0</v>
      </c>
      <c r="L150" s="2467">
        <f t="shared" si="81"/>
        <v>0</v>
      </c>
      <c r="M150" s="320"/>
      <c r="N150" s="978">
        <f t="shared" ref="N150:X150" si="82">SUM(N151:N160)</f>
        <v>0</v>
      </c>
      <c r="O150" s="976">
        <f t="shared" si="82"/>
        <v>0</v>
      </c>
      <c r="P150" s="977">
        <f t="shared" si="82"/>
        <v>0</v>
      </c>
      <c r="Q150" s="978">
        <f t="shared" si="82"/>
        <v>0</v>
      </c>
      <c r="R150" s="978">
        <f t="shared" si="82"/>
        <v>0</v>
      </c>
      <c r="S150" s="976">
        <f t="shared" si="82"/>
        <v>0</v>
      </c>
      <c r="T150" s="2463">
        <f t="shared" si="82"/>
        <v>0</v>
      </c>
      <c r="U150" s="2459">
        <f t="shared" si="82"/>
        <v>0</v>
      </c>
      <c r="V150" s="2464">
        <f t="shared" si="82"/>
        <v>0</v>
      </c>
      <c r="W150" s="976">
        <f t="shared" si="82"/>
        <v>0</v>
      </c>
      <c r="X150" s="2465">
        <f t="shared" si="82"/>
        <v>0</v>
      </c>
    </row>
    <row r="151" spans="1:24" ht="11.25" customHeight="1">
      <c r="A151" s="1170" t="str">
        <f>'Org structure'!E146</f>
        <v>14.1 - [Name of sub-vote]</v>
      </c>
      <c r="B151" s="293"/>
      <c r="C151" s="1628"/>
      <c r="D151" s="1628"/>
      <c r="E151" s="1631"/>
      <c r="F151" s="1630"/>
      <c r="G151" s="1628"/>
      <c r="H151" s="1629"/>
      <c r="I151" s="1631"/>
      <c r="J151" s="2466">
        <f t="shared" ref="J151:J160" si="83">Q151+V151</f>
        <v>0</v>
      </c>
      <c r="K151" s="942">
        <f t="shared" ref="K151:K160" si="84">U151+W151</f>
        <v>0</v>
      </c>
      <c r="L151" s="2467">
        <f t="shared" ref="L151:L160" si="85">X151</f>
        <v>0</v>
      </c>
      <c r="M151" s="320"/>
      <c r="N151" s="1630"/>
      <c r="O151" s="1628"/>
      <c r="P151" s="1629"/>
      <c r="Q151" s="978">
        <f t="shared" ref="Q151:Q160" si="86">SUM(N151:P151)</f>
        <v>0</v>
      </c>
      <c r="R151" s="1630"/>
      <c r="S151" s="1628"/>
      <c r="T151" s="1631"/>
      <c r="U151" s="2459">
        <f t="shared" si="74"/>
        <v>0</v>
      </c>
      <c r="V151" s="1631"/>
      <c r="W151" s="1628"/>
      <c r="X151" s="1633"/>
    </row>
    <row r="152" spans="1:24" ht="11.25" customHeight="1">
      <c r="A152" s="1170">
        <f>'Org structure'!E147</f>
        <v>0</v>
      </c>
      <c r="B152" s="293"/>
      <c r="C152" s="1628"/>
      <c r="D152" s="1628"/>
      <c r="E152" s="1631"/>
      <c r="F152" s="1630"/>
      <c r="G152" s="1628"/>
      <c r="H152" s="1629"/>
      <c r="I152" s="1631"/>
      <c r="J152" s="2466">
        <f t="shared" si="83"/>
        <v>0</v>
      </c>
      <c r="K152" s="942">
        <f t="shared" si="84"/>
        <v>0</v>
      </c>
      <c r="L152" s="2467">
        <f t="shared" si="85"/>
        <v>0</v>
      </c>
      <c r="M152" s="320"/>
      <c r="N152" s="1630"/>
      <c r="O152" s="1628"/>
      <c r="P152" s="1629"/>
      <c r="Q152" s="978">
        <f t="shared" si="86"/>
        <v>0</v>
      </c>
      <c r="R152" s="1630"/>
      <c r="S152" s="1628"/>
      <c r="T152" s="1631"/>
      <c r="U152" s="2459">
        <f t="shared" si="74"/>
        <v>0</v>
      </c>
      <c r="V152" s="1631"/>
      <c r="W152" s="1628"/>
      <c r="X152" s="1633"/>
    </row>
    <row r="153" spans="1:24" ht="11.25" customHeight="1">
      <c r="A153" s="1170">
        <f>'Org structure'!E148</f>
        <v>0</v>
      </c>
      <c r="B153" s="293"/>
      <c r="C153" s="1628"/>
      <c r="D153" s="1628"/>
      <c r="E153" s="1631"/>
      <c r="F153" s="1630"/>
      <c r="G153" s="1628"/>
      <c r="H153" s="1629"/>
      <c r="I153" s="1631"/>
      <c r="J153" s="2466">
        <f t="shared" si="83"/>
        <v>0</v>
      </c>
      <c r="K153" s="942">
        <f t="shared" si="84"/>
        <v>0</v>
      </c>
      <c r="L153" s="2467">
        <f t="shared" si="85"/>
        <v>0</v>
      </c>
      <c r="M153" s="320"/>
      <c r="N153" s="1630"/>
      <c r="O153" s="1628"/>
      <c r="P153" s="1629"/>
      <c r="Q153" s="978">
        <f t="shared" si="86"/>
        <v>0</v>
      </c>
      <c r="R153" s="1630"/>
      <c r="S153" s="1628"/>
      <c r="T153" s="1631"/>
      <c r="U153" s="2459">
        <f t="shared" si="74"/>
        <v>0</v>
      </c>
      <c r="V153" s="1631"/>
      <c r="W153" s="1628"/>
      <c r="X153" s="1633"/>
    </row>
    <row r="154" spans="1:24" ht="11.25" customHeight="1">
      <c r="A154" s="1170">
        <f>'Org structure'!E149</f>
        <v>0</v>
      </c>
      <c r="B154" s="293"/>
      <c r="C154" s="1628"/>
      <c r="D154" s="1628"/>
      <c r="E154" s="1631"/>
      <c r="F154" s="1630"/>
      <c r="G154" s="1628"/>
      <c r="H154" s="1629"/>
      <c r="I154" s="1631"/>
      <c r="J154" s="2466">
        <f t="shared" si="83"/>
        <v>0</v>
      </c>
      <c r="K154" s="942">
        <f t="shared" si="84"/>
        <v>0</v>
      </c>
      <c r="L154" s="2467">
        <f t="shared" si="85"/>
        <v>0</v>
      </c>
      <c r="M154" s="320"/>
      <c r="N154" s="1630"/>
      <c r="O154" s="1628"/>
      <c r="P154" s="1629"/>
      <c r="Q154" s="978">
        <f t="shared" si="86"/>
        <v>0</v>
      </c>
      <c r="R154" s="1630"/>
      <c r="S154" s="1628"/>
      <c r="T154" s="1631"/>
      <c r="U154" s="2459">
        <f t="shared" si="74"/>
        <v>0</v>
      </c>
      <c r="V154" s="1631"/>
      <c r="W154" s="1628"/>
      <c r="X154" s="1633"/>
    </row>
    <row r="155" spans="1:24" ht="11.25" customHeight="1">
      <c r="A155" s="1170">
        <f>'Org structure'!E150</f>
        <v>0</v>
      </c>
      <c r="B155" s="293"/>
      <c r="C155" s="1628"/>
      <c r="D155" s="1628"/>
      <c r="E155" s="1631"/>
      <c r="F155" s="1630"/>
      <c r="G155" s="1628"/>
      <c r="H155" s="1629"/>
      <c r="I155" s="1631"/>
      <c r="J155" s="2466">
        <f t="shared" si="83"/>
        <v>0</v>
      </c>
      <c r="K155" s="942">
        <f t="shared" si="84"/>
        <v>0</v>
      </c>
      <c r="L155" s="2467">
        <f t="shared" si="85"/>
        <v>0</v>
      </c>
      <c r="M155" s="320"/>
      <c r="N155" s="1630"/>
      <c r="O155" s="1628"/>
      <c r="P155" s="1629"/>
      <c r="Q155" s="978">
        <f t="shared" si="86"/>
        <v>0</v>
      </c>
      <c r="R155" s="1630"/>
      <c r="S155" s="1628"/>
      <c r="T155" s="1631"/>
      <c r="U155" s="2459">
        <f t="shared" si="74"/>
        <v>0</v>
      </c>
      <c r="V155" s="1631"/>
      <c r="W155" s="1628"/>
      <c r="X155" s="1633"/>
    </row>
    <row r="156" spans="1:24" ht="11.25" customHeight="1">
      <c r="A156" s="1170">
        <f>'Org structure'!E151</f>
        <v>0</v>
      </c>
      <c r="B156" s="293"/>
      <c r="C156" s="1628"/>
      <c r="D156" s="1628"/>
      <c r="E156" s="1631"/>
      <c r="F156" s="1630"/>
      <c r="G156" s="1628"/>
      <c r="H156" s="1629"/>
      <c r="I156" s="1631"/>
      <c r="J156" s="2466">
        <f t="shared" si="83"/>
        <v>0</v>
      </c>
      <c r="K156" s="942">
        <f t="shared" si="84"/>
        <v>0</v>
      </c>
      <c r="L156" s="2467">
        <f t="shared" si="85"/>
        <v>0</v>
      </c>
      <c r="M156" s="320"/>
      <c r="N156" s="1630"/>
      <c r="O156" s="1628"/>
      <c r="P156" s="1629"/>
      <c r="Q156" s="978">
        <f t="shared" si="86"/>
        <v>0</v>
      </c>
      <c r="R156" s="1630"/>
      <c r="S156" s="1628"/>
      <c r="T156" s="1631"/>
      <c r="U156" s="2459">
        <f t="shared" si="74"/>
        <v>0</v>
      </c>
      <c r="V156" s="1631"/>
      <c r="W156" s="1628"/>
      <c r="X156" s="1633"/>
    </row>
    <row r="157" spans="1:24" ht="11.25" customHeight="1">
      <c r="A157" s="1170">
        <f>'Org structure'!E152</f>
        <v>0</v>
      </c>
      <c r="B157" s="293"/>
      <c r="C157" s="1628"/>
      <c r="D157" s="1628"/>
      <c r="E157" s="1631"/>
      <c r="F157" s="1630"/>
      <c r="G157" s="1628"/>
      <c r="H157" s="1629"/>
      <c r="I157" s="1631"/>
      <c r="J157" s="2466">
        <f t="shared" si="83"/>
        <v>0</v>
      </c>
      <c r="K157" s="942">
        <f t="shared" si="84"/>
        <v>0</v>
      </c>
      <c r="L157" s="2467">
        <f t="shared" si="85"/>
        <v>0</v>
      </c>
      <c r="M157" s="320"/>
      <c r="N157" s="1630"/>
      <c r="O157" s="1628"/>
      <c r="P157" s="1629"/>
      <c r="Q157" s="978">
        <f t="shared" si="86"/>
        <v>0</v>
      </c>
      <c r="R157" s="1630"/>
      <c r="S157" s="1628"/>
      <c r="T157" s="1631"/>
      <c r="U157" s="2459">
        <f t="shared" si="74"/>
        <v>0</v>
      </c>
      <c r="V157" s="1631"/>
      <c r="W157" s="1628"/>
      <c r="X157" s="1633"/>
    </row>
    <row r="158" spans="1:24" ht="11.25" customHeight="1">
      <c r="A158" s="1170">
        <f>'Org structure'!E153</f>
        <v>0</v>
      </c>
      <c r="B158" s="293"/>
      <c r="C158" s="1628"/>
      <c r="D158" s="1628"/>
      <c r="E158" s="1631"/>
      <c r="F158" s="1630"/>
      <c r="G158" s="1628"/>
      <c r="H158" s="1629"/>
      <c r="I158" s="1631"/>
      <c r="J158" s="2466">
        <f t="shared" si="83"/>
        <v>0</v>
      </c>
      <c r="K158" s="942">
        <f t="shared" si="84"/>
        <v>0</v>
      </c>
      <c r="L158" s="2467">
        <f t="shared" si="85"/>
        <v>0</v>
      </c>
      <c r="M158" s="320"/>
      <c r="N158" s="1630"/>
      <c r="O158" s="1628"/>
      <c r="P158" s="1629"/>
      <c r="Q158" s="978">
        <f t="shared" si="86"/>
        <v>0</v>
      </c>
      <c r="R158" s="1630"/>
      <c r="S158" s="1628"/>
      <c r="T158" s="1631"/>
      <c r="U158" s="2459">
        <f t="shared" si="74"/>
        <v>0</v>
      </c>
      <c r="V158" s="1631"/>
      <c r="W158" s="1628"/>
      <c r="X158" s="1633"/>
    </row>
    <row r="159" spans="1:24" ht="11.25" customHeight="1">
      <c r="A159" s="1170">
        <f>'Org structure'!E154</f>
        <v>0</v>
      </c>
      <c r="B159" s="293"/>
      <c r="C159" s="1628"/>
      <c r="D159" s="1628"/>
      <c r="E159" s="1631"/>
      <c r="F159" s="1630"/>
      <c r="G159" s="1628"/>
      <c r="H159" s="1629"/>
      <c r="I159" s="1631"/>
      <c r="J159" s="2466">
        <f t="shared" si="83"/>
        <v>0</v>
      </c>
      <c r="K159" s="942">
        <f t="shared" si="84"/>
        <v>0</v>
      </c>
      <c r="L159" s="2467">
        <f t="shared" si="85"/>
        <v>0</v>
      </c>
      <c r="M159" s="320"/>
      <c r="N159" s="1630"/>
      <c r="O159" s="1628"/>
      <c r="P159" s="1629"/>
      <c r="Q159" s="978">
        <f t="shared" si="86"/>
        <v>0</v>
      </c>
      <c r="R159" s="1630"/>
      <c r="S159" s="1628"/>
      <c r="T159" s="1631"/>
      <c r="U159" s="2459">
        <f t="shared" si="74"/>
        <v>0</v>
      </c>
      <c r="V159" s="1631"/>
      <c r="W159" s="1628"/>
      <c r="X159" s="1633"/>
    </row>
    <row r="160" spans="1:24" ht="11.25" customHeight="1">
      <c r="A160" s="1170">
        <f>'Org structure'!E155</f>
        <v>0</v>
      </c>
      <c r="B160" s="293"/>
      <c r="C160" s="1628"/>
      <c r="D160" s="1628"/>
      <c r="E160" s="1631"/>
      <c r="F160" s="1630"/>
      <c r="G160" s="1628"/>
      <c r="H160" s="1629"/>
      <c r="I160" s="1631"/>
      <c r="J160" s="2466">
        <f t="shared" si="83"/>
        <v>0</v>
      </c>
      <c r="K160" s="942">
        <f t="shared" si="84"/>
        <v>0</v>
      </c>
      <c r="L160" s="2467">
        <f t="shared" si="85"/>
        <v>0</v>
      </c>
      <c r="M160" s="320"/>
      <c r="N160" s="1630"/>
      <c r="O160" s="1628"/>
      <c r="P160" s="1629"/>
      <c r="Q160" s="978">
        <f t="shared" si="86"/>
        <v>0</v>
      </c>
      <c r="R160" s="1630"/>
      <c r="S160" s="1628"/>
      <c r="T160" s="1631"/>
      <c r="U160" s="2459">
        <f t="shared" si="74"/>
        <v>0</v>
      </c>
      <c r="V160" s="1631"/>
      <c r="W160" s="1628"/>
      <c r="X160" s="1633"/>
    </row>
    <row r="161" spans="1:24" ht="15" customHeight="1">
      <c r="A161" s="1169" t="str">
        <f>'Org structure'!A16</f>
        <v>Vote 15 - [NAME OF VOTE 15]</v>
      </c>
      <c r="B161" s="293"/>
      <c r="C161" s="976">
        <f t="shared" ref="C161:L161" si="87">SUM(C162:C171)</f>
        <v>0</v>
      </c>
      <c r="D161" s="976">
        <f t="shared" si="87"/>
        <v>0</v>
      </c>
      <c r="E161" s="977">
        <f t="shared" si="87"/>
        <v>0</v>
      </c>
      <c r="F161" s="978">
        <f t="shared" si="87"/>
        <v>0</v>
      </c>
      <c r="G161" s="976">
        <f t="shared" si="87"/>
        <v>0</v>
      </c>
      <c r="H161" s="977">
        <f t="shared" si="87"/>
        <v>0</v>
      </c>
      <c r="I161" s="979">
        <f t="shared" si="87"/>
        <v>0</v>
      </c>
      <c r="J161" s="2466">
        <f t="shared" si="87"/>
        <v>0</v>
      </c>
      <c r="K161" s="942">
        <f t="shared" si="87"/>
        <v>0</v>
      </c>
      <c r="L161" s="2467">
        <f t="shared" si="87"/>
        <v>0</v>
      </c>
      <c r="M161" s="320"/>
      <c r="N161" s="978">
        <f t="shared" ref="N161:X161" si="88">SUM(N162:N171)</f>
        <v>0</v>
      </c>
      <c r="O161" s="976">
        <f t="shared" si="88"/>
        <v>0</v>
      </c>
      <c r="P161" s="977">
        <f t="shared" si="88"/>
        <v>0</v>
      </c>
      <c r="Q161" s="978">
        <f t="shared" si="88"/>
        <v>0</v>
      </c>
      <c r="R161" s="978">
        <f t="shared" si="88"/>
        <v>0</v>
      </c>
      <c r="S161" s="976">
        <f t="shared" si="88"/>
        <v>0</v>
      </c>
      <c r="T161" s="2463">
        <f t="shared" si="88"/>
        <v>0</v>
      </c>
      <c r="U161" s="2459">
        <f t="shared" si="88"/>
        <v>0</v>
      </c>
      <c r="V161" s="2464">
        <f t="shared" si="88"/>
        <v>0</v>
      </c>
      <c r="W161" s="976">
        <f t="shared" si="88"/>
        <v>0</v>
      </c>
      <c r="X161" s="2465">
        <f t="shared" si="88"/>
        <v>0</v>
      </c>
    </row>
    <row r="162" spans="1:24" ht="11.25" customHeight="1">
      <c r="A162" s="1170" t="str">
        <f>'Org structure'!E157</f>
        <v>15.1 - [Name of sub-vote]</v>
      </c>
      <c r="B162" s="293"/>
      <c r="C162" s="1628"/>
      <c r="D162" s="1628"/>
      <c r="E162" s="1631"/>
      <c r="F162" s="1630"/>
      <c r="G162" s="1628"/>
      <c r="H162" s="1629"/>
      <c r="I162" s="1631"/>
      <c r="J162" s="2466">
        <f t="shared" ref="J162:J171" si="89">Q162+V162</f>
        <v>0</v>
      </c>
      <c r="K162" s="942">
        <f t="shared" ref="K162:K171" si="90">U162+W162</f>
        <v>0</v>
      </c>
      <c r="L162" s="2467">
        <f t="shared" ref="L162:L171" si="91">X162</f>
        <v>0</v>
      </c>
      <c r="M162" s="320"/>
      <c r="N162" s="1630"/>
      <c r="O162" s="1628"/>
      <c r="P162" s="1629"/>
      <c r="Q162" s="978">
        <f t="shared" ref="Q162:Q171" si="92">SUM(N162:P162)</f>
        <v>0</v>
      </c>
      <c r="R162" s="1630"/>
      <c r="S162" s="1628"/>
      <c r="T162" s="1631"/>
      <c r="U162" s="2459">
        <f t="shared" si="74"/>
        <v>0</v>
      </c>
      <c r="V162" s="1631"/>
      <c r="W162" s="1628"/>
      <c r="X162" s="1633"/>
    </row>
    <row r="163" spans="1:24" ht="11.25" customHeight="1">
      <c r="A163" s="1170">
        <f>'Org structure'!E158</f>
        <v>0</v>
      </c>
      <c r="B163" s="293"/>
      <c r="C163" s="1628"/>
      <c r="D163" s="1628"/>
      <c r="E163" s="1631"/>
      <c r="F163" s="1630"/>
      <c r="G163" s="1628"/>
      <c r="H163" s="1629"/>
      <c r="I163" s="1631"/>
      <c r="J163" s="2466">
        <f t="shared" si="89"/>
        <v>0</v>
      </c>
      <c r="K163" s="942">
        <f t="shared" si="90"/>
        <v>0</v>
      </c>
      <c r="L163" s="2467">
        <f t="shared" si="91"/>
        <v>0</v>
      </c>
      <c r="M163" s="320"/>
      <c r="N163" s="1630"/>
      <c r="O163" s="1628"/>
      <c r="P163" s="1629"/>
      <c r="Q163" s="978">
        <f t="shared" si="92"/>
        <v>0</v>
      </c>
      <c r="R163" s="1630"/>
      <c r="S163" s="1628"/>
      <c r="T163" s="1631"/>
      <c r="U163" s="2459">
        <f t="shared" si="74"/>
        <v>0</v>
      </c>
      <c r="V163" s="1631"/>
      <c r="W163" s="1628"/>
      <c r="X163" s="1633"/>
    </row>
    <row r="164" spans="1:24" ht="11.25" customHeight="1">
      <c r="A164" s="1170">
        <f>'Org structure'!E159</f>
        <v>0</v>
      </c>
      <c r="B164" s="293"/>
      <c r="C164" s="1628"/>
      <c r="D164" s="1628"/>
      <c r="E164" s="1631"/>
      <c r="F164" s="1630"/>
      <c r="G164" s="1628"/>
      <c r="H164" s="1629"/>
      <c r="I164" s="1631"/>
      <c r="J164" s="2466">
        <f t="shared" si="89"/>
        <v>0</v>
      </c>
      <c r="K164" s="942">
        <f t="shared" si="90"/>
        <v>0</v>
      </c>
      <c r="L164" s="2467">
        <f t="shared" si="91"/>
        <v>0</v>
      </c>
      <c r="M164" s="320"/>
      <c r="N164" s="1630"/>
      <c r="O164" s="1628"/>
      <c r="P164" s="1629"/>
      <c r="Q164" s="978">
        <f t="shared" si="92"/>
        <v>0</v>
      </c>
      <c r="R164" s="1630"/>
      <c r="S164" s="1628"/>
      <c r="T164" s="1631"/>
      <c r="U164" s="2459">
        <f t="shared" si="74"/>
        <v>0</v>
      </c>
      <c r="V164" s="1631"/>
      <c r="W164" s="1628"/>
      <c r="X164" s="1633"/>
    </row>
    <row r="165" spans="1:24" ht="11.25" customHeight="1">
      <c r="A165" s="1170">
        <f>'Org structure'!E160</f>
        <v>0</v>
      </c>
      <c r="B165" s="293"/>
      <c r="C165" s="1628"/>
      <c r="D165" s="1628"/>
      <c r="E165" s="1631"/>
      <c r="F165" s="1630"/>
      <c r="G165" s="1628"/>
      <c r="H165" s="1629"/>
      <c r="I165" s="1631"/>
      <c r="J165" s="2466">
        <f t="shared" si="89"/>
        <v>0</v>
      </c>
      <c r="K165" s="942">
        <f t="shared" si="90"/>
        <v>0</v>
      </c>
      <c r="L165" s="2467">
        <f t="shared" si="91"/>
        <v>0</v>
      </c>
      <c r="M165" s="320"/>
      <c r="N165" s="1630"/>
      <c r="O165" s="1628"/>
      <c r="P165" s="1629"/>
      <c r="Q165" s="978">
        <f t="shared" si="92"/>
        <v>0</v>
      </c>
      <c r="R165" s="1630"/>
      <c r="S165" s="1628"/>
      <c r="T165" s="1631"/>
      <c r="U165" s="2459">
        <f t="shared" si="74"/>
        <v>0</v>
      </c>
      <c r="V165" s="1631"/>
      <c r="W165" s="1628"/>
      <c r="X165" s="1633"/>
    </row>
    <row r="166" spans="1:24" ht="11.25" customHeight="1">
      <c r="A166" s="1170">
        <f>'Org structure'!E161</f>
        <v>0</v>
      </c>
      <c r="B166" s="293"/>
      <c r="C166" s="1628"/>
      <c r="D166" s="1628"/>
      <c r="E166" s="1631"/>
      <c r="F166" s="1630"/>
      <c r="G166" s="1628"/>
      <c r="H166" s="1629"/>
      <c r="I166" s="1631"/>
      <c r="J166" s="2466">
        <f t="shared" si="89"/>
        <v>0</v>
      </c>
      <c r="K166" s="942">
        <f t="shared" si="90"/>
        <v>0</v>
      </c>
      <c r="L166" s="2467">
        <f t="shared" si="91"/>
        <v>0</v>
      </c>
      <c r="M166" s="320"/>
      <c r="N166" s="1630"/>
      <c r="O166" s="1628"/>
      <c r="P166" s="1629"/>
      <c r="Q166" s="978">
        <f t="shared" si="92"/>
        <v>0</v>
      </c>
      <c r="R166" s="1630"/>
      <c r="S166" s="1628"/>
      <c r="T166" s="1631"/>
      <c r="U166" s="2459">
        <f t="shared" si="74"/>
        <v>0</v>
      </c>
      <c r="V166" s="1631"/>
      <c r="W166" s="1628"/>
      <c r="X166" s="1633"/>
    </row>
    <row r="167" spans="1:24" ht="11.25" customHeight="1">
      <c r="A167" s="1170">
        <f>'Org structure'!E162</f>
        <v>0</v>
      </c>
      <c r="B167" s="293"/>
      <c r="C167" s="1628"/>
      <c r="D167" s="1628"/>
      <c r="E167" s="1631"/>
      <c r="F167" s="1630"/>
      <c r="G167" s="1628"/>
      <c r="H167" s="1629"/>
      <c r="I167" s="1631"/>
      <c r="J167" s="2466">
        <f t="shared" si="89"/>
        <v>0</v>
      </c>
      <c r="K167" s="942">
        <f t="shared" si="90"/>
        <v>0</v>
      </c>
      <c r="L167" s="2467">
        <f t="shared" si="91"/>
        <v>0</v>
      </c>
      <c r="M167" s="320"/>
      <c r="N167" s="1630"/>
      <c r="O167" s="1628"/>
      <c r="P167" s="1629"/>
      <c r="Q167" s="978">
        <f t="shared" si="92"/>
        <v>0</v>
      </c>
      <c r="R167" s="1630"/>
      <c r="S167" s="1628"/>
      <c r="T167" s="1631"/>
      <c r="U167" s="2459">
        <f t="shared" si="74"/>
        <v>0</v>
      </c>
      <c r="V167" s="1631"/>
      <c r="W167" s="1628"/>
      <c r="X167" s="1633"/>
    </row>
    <row r="168" spans="1:24" ht="11.25" customHeight="1">
      <c r="A168" s="1170">
        <f>'Org structure'!E163</f>
        <v>0</v>
      </c>
      <c r="B168" s="293"/>
      <c r="C168" s="1628"/>
      <c r="D168" s="1628"/>
      <c r="E168" s="1631"/>
      <c r="F168" s="1630"/>
      <c r="G168" s="1628"/>
      <c r="H168" s="1629"/>
      <c r="I168" s="1631"/>
      <c r="J168" s="2466">
        <f t="shared" si="89"/>
        <v>0</v>
      </c>
      <c r="K168" s="942">
        <f t="shared" si="90"/>
        <v>0</v>
      </c>
      <c r="L168" s="2467">
        <f t="shared" si="91"/>
        <v>0</v>
      </c>
      <c r="M168" s="320"/>
      <c r="N168" s="1630"/>
      <c r="O168" s="1628"/>
      <c r="P168" s="1629"/>
      <c r="Q168" s="978">
        <f t="shared" si="92"/>
        <v>0</v>
      </c>
      <c r="R168" s="1630"/>
      <c r="S168" s="1628"/>
      <c r="T168" s="1631"/>
      <c r="U168" s="2459">
        <f t="shared" si="74"/>
        <v>0</v>
      </c>
      <c r="V168" s="1631"/>
      <c r="W168" s="1628"/>
      <c r="X168" s="1633"/>
    </row>
    <row r="169" spans="1:24" ht="11.25" customHeight="1">
      <c r="A169" s="1170">
        <f>'Org structure'!E164</f>
        <v>0</v>
      </c>
      <c r="B169" s="293"/>
      <c r="C169" s="1628"/>
      <c r="D169" s="1628"/>
      <c r="E169" s="1631"/>
      <c r="F169" s="1630"/>
      <c r="G169" s="1628"/>
      <c r="H169" s="1629"/>
      <c r="I169" s="1631"/>
      <c r="J169" s="2466">
        <f t="shared" si="89"/>
        <v>0</v>
      </c>
      <c r="K169" s="942">
        <f t="shared" si="90"/>
        <v>0</v>
      </c>
      <c r="L169" s="2467">
        <f t="shared" si="91"/>
        <v>0</v>
      </c>
      <c r="M169" s="320"/>
      <c r="N169" s="1630"/>
      <c r="O169" s="1628"/>
      <c r="P169" s="1629"/>
      <c r="Q169" s="978">
        <f t="shared" si="92"/>
        <v>0</v>
      </c>
      <c r="R169" s="1630"/>
      <c r="S169" s="1628"/>
      <c r="T169" s="1631"/>
      <c r="U169" s="2459">
        <f t="shared" si="74"/>
        <v>0</v>
      </c>
      <c r="V169" s="1631"/>
      <c r="W169" s="1628"/>
      <c r="X169" s="1633"/>
    </row>
    <row r="170" spans="1:24" ht="11.25" customHeight="1">
      <c r="A170" s="1170">
        <f>'Org structure'!E165</f>
        <v>0</v>
      </c>
      <c r="B170" s="293"/>
      <c r="C170" s="1628"/>
      <c r="D170" s="1628"/>
      <c r="E170" s="1631"/>
      <c r="F170" s="1630"/>
      <c r="G170" s="1628"/>
      <c r="H170" s="1629"/>
      <c r="I170" s="1631"/>
      <c r="J170" s="2466">
        <f t="shared" si="89"/>
        <v>0</v>
      </c>
      <c r="K170" s="942">
        <f t="shared" si="90"/>
        <v>0</v>
      </c>
      <c r="L170" s="2467">
        <f t="shared" si="91"/>
        <v>0</v>
      </c>
      <c r="M170" s="320"/>
      <c r="N170" s="1630"/>
      <c r="O170" s="1628"/>
      <c r="P170" s="1629"/>
      <c r="Q170" s="978">
        <f t="shared" si="92"/>
        <v>0</v>
      </c>
      <c r="R170" s="1630"/>
      <c r="S170" s="1628"/>
      <c r="T170" s="1631"/>
      <c r="U170" s="2459">
        <f t="shared" si="74"/>
        <v>0</v>
      </c>
      <c r="V170" s="1631"/>
      <c r="W170" s="1628"/>
      <c r="X170" s="1633"/>
    </row>
    <row r="171" spans="1:24" ht="11.25" customHeight="1">
      <c r="A171" s="1170">
        <f>'Org structure'!E166</f>
        <v>0</v>
      </c>
      <c r="B171" s="293"/>
      <c r="C171" s="1628"/>
      <c r="D171" s="1628"/>
      <c r="E171" s="1631"/>
      <c r="F171" s="1630"/>
      <c r="G171" s="1628"/>
      <c r="H171" s="1629"/>
      <c r="I171" s="1631"/>
      <c r="J171" s="2466">
        <f t="shared" si="89"/>
        <v>0</v>
      </c>
      <c r="K171" s="942">
        <f t="shared" si="90"/>
        <v>0</v>
      </c>
      <c r="L171" s="2467">
        <f t="shared" si="91"/>
        <v>0</v>
      </c>
      <c r="M171" s="320"/>
      <c r="N171" s="1630"/>
      <c r="O171" s="1628"/>
      <c r="P171" s="1629"/>
      <c r="Q171" s="978">
        <f t="shared" si="92"/>
        <v>0</v>
      </c>
      <c r="R171" s="1630"/>
      <c r="S171" s="1628"/>
      <c r="T171" s="1631"/>
      <c r="U171" s="2459">
        <f t="shared" si="74"/>
        <v>0</v>
      </c>
      <c r="V171" s="1631"/>
      <c r="W171" s="1628"/>
      <c r="X171" s="1633"/>
    </row>
    <row r="172" spans="1:24">
      <c r="A172" s="197" t="s">
        <v>197</v>
      </c>
      <c r="B172" s="293"/>
      <c r="C172" s="198">
        <f t="shared" ref="C172:L172" si="93">C6+C17+C29+C40+C51+C62+C73+C84+C95+C106+C117+C128+C139+C150+C161</f>
        <v>241991399</v>
      </c>
      <c r="D172" s="198">
        <f t="shared" si="93"/>
        <v>209010835</v>
      </c>
      <c r="E172" s="1567">
        <f t="shared" si="93"/>
        <v>307647919</v>
      </c>
      <c r="F172" s="1566">
        <f t="shared" si="93"/>
        <v>914672984</v>
      </c>
      <c r="G172" s="198">
        <f t="shared" si="93"/>
        <v>975648854</v>
      </c>
      <c r="H172" s="1567">
        <f t="shared" si="93"/>
        <v>975648854</v>
      </c>
      <c r="I172" s="2462">
        <f t="shared" si="93"/>
        <v>975648854</v>
      </c>
      <c r="J172" s="2468">
        <f t="shared" si="93"/>
        <v>1313659181</v>
      </c>
      <c r="K172" s="1353">
        <f t="shared" si="93"/>
        <v>1810421648</v>
      </c>
      <c r="L172" s="2469">
        <f t="shared" si="93"/>
        <v>1041880000</v>
      </c>
      <c r="M172" s="370"/>
      <c r="N172" s="2460">
        <f t="shared" ref="N172:S172" si="94">N6+N17+N29+N40+N51+N62+N73+N84+N95+N106+N117+N128+N139+N150+N161</f>
        <v>0</v>
      </c>
      <c r="O172" s="198">
        <f t="shared" si="94"/>
        <v>0</v>
      </c>
      <c r="P172" s="1567">
        <f t="shared" si="94"/>
        <v>0</v>
      </c>
      <c r="Q172" s="2472">
        <f t="shared" si="94"/>
        <v>0</v>
      </c>
      <c r="R172" s="2460">
        <f t="shared" si="94"/>
        <v>0</v>
      </c>
      <c r="S172" s="198">
        <f t="shared" si="94"/>
        <v>0</v>
      </c>
      <c r="T172" s="2461"/>
      <c r="U172" s="1568">
        <f>U6+U17+U29+U40+U51+U62+U73+U84+U95+U106+U117+U128+U139+U150+U161</f>
        <v>0</v>
      </c>
      <c r="V172" s="1566">
        <f>V6+V17+V29+V40+V51+V62+V73+V84+V95+V106+V117+V128+V139+V150+V161</f>
        <v>1313659181</v>
      </c>
      <c r="W172" s="198">
        <f>W6+W17+W29+W40+W51+W62+W73+W84+W95+W106+W117+W128+W139+W150+W161</f>
        <v>1810421648</v>
      </c>
      <c r="X172" s="198">
        <f>X6+X17+X29+X40+X51+X62+X73+X84+X95+X106+X117+X128+X139+X150+X161</f>
        <v>1041880000</v>
      </c>
    </row>
    <row r="173" spans="1:24" ht="5" customHeight="1">
      <c r="A173" s="336"/>
      <c r="B173" s="347"/>
      <c r="C173" s="433"/>
      <c r="D173" s="1023"/>
      <c r="E173" s="436"/>
      <c r="F173" s="435"/>
      <c r="G173" s="433"/>
      <c r="H173" s="434"/>
      <c r="I173" s="436"/>
      <c r="J173" s="435"/>
      <c r="K173" s="433"/>
      <c r="L173" s="434"/>
      <c r="M173" s="370"/>
      <c r="N173" s="435"/>
      <c r="O173" s="433"/>
      <c r="P173" s="434"/>
      <c r="Q173" s="436"/>
      <c r="R173" s="435"/>
      <c r="S173" s="433"/>
      <c r="T173" s="436"/>
      <c r="U173" s="2061"/>
      <c r="V173" s="436"/>
      <c r="W173" s="433"/>
      <c r="X173" s="434"/>
    </row>
    <row r="174" spans="1:24" ht="11.25" customHeight="1">
      <c r="A174" s="181" t="s">
        <v>1817</v>
      </c>
      <c r="B174" s="291"/>
      <c r="C174" s="311"/>
      <c r="D174" s="311"/>
      <c r="E174" s="312"/>
      <c r="F174" s="313"/>
      <c r="G174" s="311"/>
      <c r="H174" s="314"/>
      <c r="I174" s="312"/>
      <c r="J174" s="313"/>
      <c r="K174" s="311"/>
      <c r="L174" s="314"/>
      <c r="M174" s="370"/>
    </row>
    <row r="175" spans="1:24" ht="11.25" customHeight="1">
      <c r="A175" s="181" t="s">
        <v>1036</v>
      </c>
      <c r="B175" s="293">
        <v>2</v>
      </c>
      <c r="C175" s="315"/>
      <c r="D175" s="315"/>
      <c r="E175" s="316"/>
      <c r="F175" s="317"/>
      <c r="G175" s="315"/>
      <c r="H175" s="318"/>
      <c r="I175" s="316"/>
      <c r="J175" s="317"/>
      <c r="K175" s="315"/>
      <c r="L175" s="318"/>
      <c r="M175" s="1555"/>
    </row>
    <row r="176" spans="1:24" ht="15" customHeight="1">
      <c r="A176" s="1169" t="str">
        <f t="shared" ref="A176:A194" si="95">A6</f>
        <v>Vote 1 - EXECUTIVE MAYOR</v>
      </c>
      <c r="B176" s="981"/>
      <c r="C176" s="976">
        <f t="shared" ref="C176:L176" si="96">SUM(C177:C186)</f>
        <v>0</v>
      </c>
      <c r="D176" s="976">
        <f t="shared" si="96"/>
        <v>0</v>
      </c>
      <c r="E176" s="977">
        <f t="shared" si="96"/>
        <v>0</v>
      </c>
      <c r="F176" s="978">
        <f t="shared" si="96"/>
        <v>0</v>
      </c>
      <c r="G176" s="976">
        <f t="shared" si="96"/>
        <v>0</v>
      </c>
      <c r="H176" s="977">
        <f t="shared" si="96"/>
        <v>0</v>
      </c>
      <c r="I176" s="943">
        <f t="shared" si="96"/>
        <v>0</v>
      </c>
      <c r="J176" s="978">
        <f t="shared" si="96"/>
        <v>0</v>
      </c>
      <c r="K176" s="976">
        <f t="shared" si="96"/>
        <v>0</v>
      </c>
      <c r="L176" s="977">
        <f t="shared" si="96"/>
        <v>0</v>
      </c>
      <c r="M176" s="1555"/>
    </row>
    <row r="177" spans="1:13" ht="11.25" customHeight="1">
      <c r="A177" s="1169" t="str">
        <f t="shared" si="95"/>
        <v>1.1 - 001 - OFFICE OF THE EXECUTIVE MAYOR</v>
      </c>
      <c r="B177" s="293"/>
      <c r="C177" s="1054"/>
      <c r="D177" s="1052"/>
      <c r="E177" s="1635"/>
      <c r="F177" s="1051"/>
      <c r="G177" s="1628"/>
      <c r="H177" s="1629"/>
      <c r="I177" s="2537"/>
      <c r="J177" s="1051"/>
      <c r="K177" s="1049">
        <v>0</v>
      </c>
      <c r="L177" s="1050">
        <v>0</v>
      </c>
      <c r="M177" s="1555"/>
    </row>
    <row r="178" spans="1:13" ht="11.25" customHeight="1">
      <c r="A178" s="1169" t="str">
        <f t="shared" si="95"/>
        <v>1.2 - 002 - OFFICE OF THE SPEAKER</v>
      </c>
      <c r="B178" s="293"/>
      <c r="C178" s="1050"/>
      <c r="D178" s="1052"/>
      <c r="E178" s="1629"/>
      <c r="F178" s="1051"/>
      <c r="G178" s="1628"/>
      <c r="H178" s="1629"/>
      <c r="I178" s="2537"/>
      <c r="J178" s="1051"/>
      <c r="K178" s="1049">
        <v>0</v>
      </c>
      <c r="L178" s="1050">
        <v>0</v>
      </c>
      <c r="M178" s="1555"/>
    </row>
    <row r="179" spans="1:13" ht="11.25" customHeight="1">
      <c r="A179" s="1169" t="str">
        <f t="shared" si="95"/>
        <v>1.3 - 003 - MAYORAL COMMITTEE</v>
      </c>
      <c r="B179" s="293"/>
      <c r="C179" s="1050"/>
      <c r="D179" s="1052"/>
      <c r="E179" s="1629"/>
      <c r="F179" s="1051"/>
      <c r="G179" s="1628"/>
      <c r="H179" s="1629"/>
      <c r="I179" s="2537"/>
      <c r="J179" s="1051"/>
      <c r="K179" s="1049">
        <v>0</v>
      </c>
      <c r="L179" s="1050">
        <v>0</v>
      </c>
      <c r="M179" s="1555"/>
    </row>
    <row r="180" spans="1:13" ht="11.25" customHeight="1">
      <c r="A180" s="1169" t="str">
        <f t="shared" si="95"/>
        <v>1.4 - 004 - COUNCIL GENERAL</v>
      </c>
      <c r="B180" s="293"/>
      <c r="C180" s="1050"/>
      <c r="D180" s="1052"/>
      <c r="E180" s="1629"/>
      <c r="F180" s="1051"/>
      <c r="G180" s="1628"/>
      <c r="H180" s="1629"/>
      <c r="I180" s="2537"/>
      <c r="J180" s="1051"/>
      <c r="K180" s="1049">
        <v>0</v>
      </c>
      <c r="L180" s="1050">
        <v>0</v>
      </c>
      <c r="M180" s="1555"/>
    </row>
    <row r="181" spans="1:13" ht="11.25" customHeight="1">
      <c r="A181" s="1169" t="str">
        <f t="shared" si="95"/>
        <v>1.5 - 005 - OFFICE OF THE CHIEF WHIP</v>
      </c>
      <c r="B181" s="293"/>
      <c r="C181" s="1050"/>
      <c r="D181" s="1052"/>
      <c r="E181" s="1629"/>
      <c r="F181" s="1051"/>
      <c r="G181" s="1628"/>
      <c r="H181" s="1629"/>
      <c r="I181" s="2537"/>
      <c r="J181" s="1051"/>
      <c r="K181" s="1049">
        <v>0</v>
      </c>
      <c r="L181" s="1050">
        <v>0</v>
      </c>
      <c r="M181" s="1555"/>
    </row>
    <row r="182" spans="1:13" ht="11.25" customHeight="1">
      <c r="A182" s="1169" t="str">
        <f t="shared" si="95"/>
        <v>1.6 - 006 - INTERGOVERNMENTAL RELATIONS</v>
      </c>
      <c r="B182" s="293"/>
      <c r="C182" s="1050"/>
      <c r="D182" s="1052"/>
      <c r="E182" s="1629"/>
      <c r="F182" s="1051"/>
      <c r="G182" s="1628"/>
      <c r="H182" s="1629"/>
      <c r="I182" s="2537"/>
      <c r="J182" s="1051"/>
      <c r="K182" s="1049">
        <v>0</v>
      </c>
      <c r="L182" s="1050">
        <v>0</v>
      </c>
      <c r="M182" s="1555"/>
    </row>
    <row r="183" spans="1:13" ht="11.25" customHeight="1">
      <c r="A183" s="1169" t="str">
        <f t="shared" si="95"/>
        <v>1.7 - 007 - OFFICE OF THE MUNICIPAL PUBLIC ACCOUNTS</v>
      </c>
      <c r="B183" s="293"/>
      <c r="C183" s="1628"/>
      <c r="D183" s="1628"/>
      <c r="E183" s="1629"/>
      <c r="F183" s="1630"/>
      <c r="G183" s="1628"/>
      <c r="H183" s="1629"/>
      <c r="I183" s="1631"/>
      <c r="J183" s="1630"/>
      <c r="K183" s="1628"/>
      <c r="L183" s="1629"/>
      <c r="M183" s="1555"/>
    </row>
    <row r="184" spans="1:13" ht="11.25" customHeight="1">
      <c r="A184" s="1169">
        <f t="shared" si="95"/>
        <v>0</v>
      </c>
      <c r="B184" s="293"/>
      <c r="C184" s="1628"/>
      <c r="D184" s="1628"/>
      <c r="E184" s="1629"/>
      <c r="F184" s="1630"/>
      <c r="G184" s="1628"/>
      <c r="H184" s="1629"/>
      <c r="I184" s="1631"/>
      <c r="J184" s="1630"/>
      <c r="K184" s="1628"/>
      <c r="L184" s="1629"/>
      <c r="M184" s="1555"/>
    </row>
    <row r="185" spans="1:13" ht="11.25" customHeight="1">
      <c r="A185" s="1169">
        <f t="shared" si="95"/>
        <v>0</v>
      </c>
      <c r="B185" s="293"/>
      <c r="C185" s="1628"/>
      <c r="D185" s="1628"/>
      <c r="E185" s="1629"/>
      <c r="F185" s="1630"/>
      <c r="G185" s="1628"/>
      <c r="H185" s="1629"/>
      <c r="I185" s="1631"/>
      <c r="J185" s="1630"/>
      <c r="K185" s="1628"/>
      <c r="L185" s="1629"/>
      <c r="M185" s="1555"/>
    </row>
    <row r="186" spans="1:13" ht="11.25" customHeight="1">
      <c r="A186" s="1169">
        <f t="shared" si="95"/>
        <v>0</v>
      </c>
      <c r="B186" s="293"/>
      <c r="C186" s="1628"/>
      <c r="D186" s="1628"/>
      <c r="E186" s="1629"/>
      <c r="F186" s="1630"/>
      <c r="G186" s="1628"/>
      <c r="H186" s="1629"/>
      <c r="I186" s="1631"/>
      <c r="J186" s="1630"/>
      <c r="K186" s="1628"/>
      <c r="L186" s="1629"/>
      <c r="M186" s="1555"/>
    </row>
    <row r="187" spans="1:13" ht="15" customHeight="1">
      <c r="A187" s="1169" t="str">
        <f t="shared" si="95"/>
        <v>Vote 2 - MUNICIPAL MANAGER</v>
      </c>
      <c r="B187" s="981"/>
      <c r="C187" s="976">
        <f t="shared" ref="C187:L187" si="97">SUM(C188:C199)</f>
        <v>0</v>
      </c>
      <c r="D187" s="976">
        <f t="shared" si="97"/>
        <v>0</v>
      </c>
      <c r="E187" s="977">
        <f t="shared" si="97"/>
        <v>0</v>
      </c>
      <c r="F187" s="978">
        <f t="shared" si="97"/>
        <v>0</v>
      </c>
      <c r="G187" s="976">
        <f t="shared" si="97"/>
        <v>0</v>
      </c>
      <c r="H187" s="977">
        <f t="shared" si="97"/>
        <v>0</v>
      </c>
      <c r="I187" s="979">
        <f t="shared" si="97"/>
        <v>0</v>
      </c>
      <c r="J187" s="978">
        <f t="shared" si="97"/>
        <v>0</v>
      </c>
      <c r="K187" s="976">
        <f t="shared" si="97"/>
        <v>0</v>
      </c>
      <c r="L187" s="977">
        <f t="shared" si="97"/>
        <v>0</v>
      </c>
      <c r="M187" s="1555"/>
    </row>
    <row r="188" spans="1:13" ht="11.25" customHeight="1">
      <c r="A188" s="1169" t="str">
        <f t="shared" si="95"/>
        <v>2.1 - 010 - OFFICE OF THE MUNICIPAL MANAGER</v>
      </c>
      <c r="B188" s="293"/>
      <c r="C188" s="1050"/>
      <c r="D188" s="1052"/>
      <c r="E188" s="1629"/>
      <c r="F188" s="1051"/>
      <c r="G188" s="1628"/>
      <c r="H188" s="1629"/>
      <c r="I188" s="1629"/>
      <c r="J188" s="1051"/>
      <c r="K188" s="1049"/>
      <c r="L188" s="1050"/>
      <c r="M188" s="1555"/>
    </row>
    <row r="189" spans="1:13" ht="11.25" customHeight="1">
      <c r="A189" s="1169" t="str">
        <f t="shared" si="95"/>
        <v>2.2 - 011 - INTERNAL AUDITING</v>
      </c>
      <c r="B189" s="293"/>
      <c r="C189" s="1050"/>
      <c r="D189" s="1052"/>
      <c r="E189" s="1629"/>
      <c r="F189" s="1051"/>
      <c r="G189" s="1628"/>
      <c r="H189" s="1629"/>
      <c r="I189" s="1629"/>
      <c r="J189" s="1051"/>
      <c r="K189" s="1049"/>
      <c r="L189" s="1050"/>
      <c r="M189" s="1555"/>
    </row>
    <row r="190" spans="1:13" ht="11.25" customHeight="1">
      <c r="A190" s="1169" t="str">
        <f t="shared" si="95"/>
        <v>2.3 - 012 - INTEGRATED DEVELOPMENT PLAN (IDP)</v>
      </c>
      <c r="B190" s="293"/>
      <c r="C190" s="1050"/>
      <c r="D190" s="1052"/>
      <c r="E190" s="1629"/>
      <c r="F190" s="1051"/>
      <c r="G190" s="1628"/>
      <c r="H190" s="1629"/>
      <c r="I190" s="1629"/>
      <c r="J190" s="1051"/>
      <c r="K190" s="1049"/>
      <c r="L190" s="1050"/>
      <c r="M190" s="1555"/>
    </row>
    <row r="191" spans="1:13" ht="11.25" customHeight="1">
      <c r="A191" s="1169" t="str">
        <f t="shared" si="95"/>
        <v>2.4 - 013 - CORPORATE ADVISORY</v>
      </c>
      <c r="B191" s="293"/>
      <c r="C191" s="1050"/>
      <c r="D191" s="1052"/>
      <c r="E191" s="1629"/>
      <c r="F191" s="1051"/>
      <c r="G191" s="1628"/>
      <c r="H191" s="1629"/>
      <c r="I191" s="1629"/>
      <c r="J191" s="1051"/>
      <c r="K191" s="1049"/>
      <c r="L191" s="1050"/>
      <c r="M191" s="1555"/>
    </row>
    <row r="192" spans="1:13" ht="11.25" customHeight="1">
      <c r="A192" s="1169" t="str">
        <f t="shared" si="95"/>
        <v>2.5 - 014 - PERFORMANCE MANAGEMENT SYSTEM</v>
      </c>
      <c r="B192" s="293"/>
      <c r="C192" s="1050"/>
      <c r="D192" s="1052"/>
      <c r="E192" s="1629"/>
      <c r="F192" s="1051"/>
      <c r="G192" s="1628"/>
      <c r="H192" s="1629"/>
      <c r="I192" s="1629"/>
      <c r="J192" s="1051"/>
      <c r="K192" s="1049"/>
      <c r="L192" s="1050"/>
      <c r="M192" s="1555"/>
    </row>
    <row r="193" spans="1:13" ht="11.25" customHeight="1">
      <c r="A193" s="1169" t="str">
        <f t="shared" si="95"/>
        <v>2.6 - 015 - INFORMATION TECHNOLOGY</v>
      </c>
      <c r="B193" s="293"/>
      <c r="C193" s="1050"/>
      <c r="D193" s="1052"/>
      <c r="E193" s="1629"/>
      <c r="F193" s="1051"/>
      <c r="G193" s="1628"/>
      <c r="H193" s="1629"/>
      <c r="I193" s="1629"/>
      <c r="J193" s="1051"/>
      <c r="K193" s="1049"/>
      <c r="L193" s="1050"/>
      <c r="M193" s="1555"/>
    </row>
    <row r="194" spans="1:13" ht="11.25" customHeight="1">
      <c r="A194" s="1169" t="str">
        <f t="shared" si="95"/>
        <v>2.7 - 016 - COORDINATOR 2010</v>
      </c>
      <c r="B194" s="293"/>
      <c r="C194" s="1050"/>
      <c r="D194" s="1052"/>
      <c r="E194" s="1629"/>
      <c r="F194" s="1051"/>
      <c r="G194" s="1628"/>
      <c r="H194" s="1629"/>
      <c r="I194" s="1629"/>
      <c r="J194" s="1051"/>
      <c r="K194" s="1049"/>
      <c r="L194" s="1050"/>
      <c r="M194" s="1555"/>
    </row>
    <row r="195" spans="1:13" ht="12">
      <c r="A195" s="1169" t="str">
        <f>A25</f>
        <v>2.8 - 017 - REGIONAL COMMUNITY CENTRES</v>
      </c>
      <c r="B195" s="293"/>
      <c r="C195" s="1050"/>
      <c r="D195" s="1052"/>
      <c r="E195" s="1629"/>
      <c r="F195" s="1051"/>
      <c r="G195" s="1628"/>
      <c r="H195" s="1629"/>
      <c r="I195" s="1629"/>
      <c r="J195" s="1051"/>
      <c r="K195" s="1049"/>
      <c r="L195" s="1050"/>
      <c r="M195" s="1555"/>
    </row>
    <row r="196" spans="1:13" ht="11.25" customHeight="1">
      <c r="A196" s="1169" t="str">
        <f>A26</f>
        <v>2.9 - 018 - PROJECT MANAGEMENT UNIT</v>
      </c>
      <c r="B196" s="293"/>
      <c r="C196" s="1050"/>
      <c r="D196" s="1052"/>
      <c r="E196" s="1629"/>
      <c r="F196" s="1051"/>
      <c r="G196" s="1628"/>
      <c r="H196" s="1629"/>
      <c r="I196" s="1629"/>
      <c r="J196" s="1051"/>
      <c r="K196" s="1049"/>
      <c r="L196" s="1050"/>
      <c r="M196" s="1555"/>
    </row>
    <row r="197" spans="1:13" ht="11.25" customHeight="1">
      <c r="A197" s="1169" t="s">
        <v>2473</v>
      </c>
      <c r="B197" s="293"/>
      <c r="C197" s="1628"/>
      <c r="D197" s="1628"/>
      <c r="E197" s="1629"/>
      <c r="F197" s="1051"/>
      <c r="G197" s="1628"/>
      <c r="H197" s="1629"/>
      <c r="I197" s="1629"/>
      <c r="J197" s="1051"/>
      <c r="K197" s="1049"/>
      <c r="L197" s="1050"/>
      <c r="M197" s="1555"/>
    </row>
    <row r="198" spans="1:13" ht="11.25" customHeight="1">
      <c r="A198" s="1169" t="s">
        <v>2472</v>
      </c>
      <c r="B198" s="293"/>
      <c r="C198" s="1628"/>
      <c r="D198" s="1628"/>
      <c r="E198" s="1629"/>
      <c r="F198" s="1051"/>
      <c r="G198" s="1628"/>
      <c r="H198" s="1629"/>
      <c r="I198" s="1629"/>
      <c r="J198" s="1051"/>
      <c r="K198" s="1049"/>
      <c r="L198" s="1050"/>
      <c r="M198" s="1555"/>
    </row>
    <row r="199" spans="1:13" ht="11.25" customHeight="1">
      <c r="A199" s="1169" t="str">
        <f>A27</f>
        <v>2.10 - 019 - OFFICE OF THE CHIEF OPERATIONS OFFICER</v>
      </c>
      <c r="B199" s="293"/>
      <c r="C199" s="1628"/>
      <c r="D199" s="1628"/>
      <c r="E199" s="1629"/>
      <c r="F199" s="1051">
        <v>0</v>
      </c>
      <c r="G199" s="1628"/>
      <c r="H199" s="1629"/>
      <c r="I199" s="1631"/>
      <c r="J199" s="1630"/>
      <c r="K199" s="1628"/>
      <c r="L199" s="1629"/>
      <c r="M199" s="1555"/>
    </row>
    <row r="200" spans="1:13" ht="15" customHeight="1">
      <c r="A200" s="1169" t="str">
        <f t="shared" ref="A200:A242" si="98">A29</f>
        <v>Vote 3 - CORPORATE SUPPORT SERVICES</v>
      </c>
      <c r="B200" s="981"/>
      <c r="C200" s="976">
        <f t="shared" ref="C200:L200" si="99">SUM(C201:C210)</f>
        <v>0</v>
      </c>
      <c r="D200" s="976">
        <f t="shared" si="99"/>
        <v>0</v>
      </c>
      <c r="E200" s="977">
        <f t="shared" si="99"/>
        <v>0</v>
      </c>
      <c r="F200" s="978">
        <f t="shared" si="99"/>
        <v>0</v>
      </c>
      <c r="G200" s="976">
        <f t="shared" si="99"/>
        <v>0</v>
      </c>
      <c r="H200" s="977">
        <f t="shared" si="99"/>
        <v>0</v>
      </c>
      <c r="I200" s="979">
        <f t="shared" si="99"/>
        <v>0</v>
      </c>
      <c r="J200" s="978">
        <f t="shared" si="99"/>
        <v>0</v>
      </c>
      <c r="K200" s="976">
        <f t="shared" si="99"/>
        <v>0</v>
      </c>
      <c r="L200" s="977">
        <f t="shared" si="99"/>
        <v>0</v>
      </c>
      <c r="M200" s="1555"/>
    </row>
    <row r="201" spans="1:13" ht="11.25" customHeight="1">
      <c r="A201" s="1169" t="str">
        <f t="shared" si="98"/>
        <v>3.1 - 020 - OFFICE OF THE DIRECTOR CORPORATE SUPPORT SERVICES</v>
      </c>
      <c r="B201" s="293"/>
      <c r="C201" s="1628"/>
      <c r="D201" s="1629"/>
      <c r="E201" s="1629"/>
      <c r="F201" s="1051"/>
      <c r="G201" s="1628"/>
      <c r="H201" s="1629"/>
      <c r="I201" s="2537"/>
      <c r="J201" s="1051"/>
      <c r="K201" s="1049"/>
      <c r="L201" s="1050"/>
      <c r="M201" s="1555"/>
    </row>
    <row r="202" spans="1:13" ht="11.25" customHeight="1">
      <c r="A202" s="1169" t="str">
        <f t="shared" si="98"/>
        <v>3.2 - 025 - ADMINISTRATIVE SUPPORT</v>
      </c>
      <c r="B202" s="293"/>
      <c r="C202" s="1628"/>
      <c r="D202" s="1629"/>
      <c r="E202" s="1629"/>
      <c r="F202" s="1051"/>
      <c r="G202" s="1628"/>
      <c r="H202" s="1629"/>
      <c r="I202" s="1629"/>
      <c r="J202" s="1051"/>
      <c r="K202" s="1049"/>
      <c r="L202" s="1050"/>
      <c r="M202" s="1555"/>
    </row>
    <row r="203" spans="1:13" ht="11.25" customHeight="1">
      <c r="A203" s="1169" t="str">
        <f t="shared" si="98"/>
        <v>3.3 - 030 - HUMAN RESOURCE MANAGEMENT</v>
      </c>
      <c r="B203" s="293"/>
      <c r="C203" s="1628"/>
      <c r="D203" s="1629"/>
      <c r="E203" s="1629"/>
      <c r="F203" s="1051"/>
      <c r="G203" s="1628"/>
      <c r="H203" s="1629"/>
      <c r="I203" s="1629"/>
      <c r="J203" s="1051"/>
      <c r="K203" s="1049"/>
      <c r="L203" s="1050"/>
      <c r="M203" s="1555"/>
    </row>
    <row r="204" spans="1:13" ht="11.25" customHeight="1">
      <c r="A204" s="1169" t="str">
        <f t="shared" si="98"/>
        <v>3.4 - 050 - LEGAL AND VALUATION SERVICES</v>
      </c>
      <c r="B204" s="293"/>
      <c r="C204" s="1049"/>
      <c r="D204" s="1050"/>
      <c r="E204" s="1050"/>
      <c r="F204" s="1051"/>
      <c r="G204" s="1049"/>
      <c r="H204" s="1050"/>
      <c r="I204" s="1052"/>
      <c r="J204" s="1051"/>
      <c r="K204" s="1049"/>
      <c r="L204" s="1050"/>
      <c r="M204" s="1555"/>
    </row>
    <row r="205" spans="1:13" ht="11.25" customHeight="1">
      <c r="A205" s="1169" t="str">
        <f t="shared" si="98"/>
        <v>3.5 - 015 - INFORMATION TECHNOLOGY</v>
      </c>
      <c r="B205" s="293"/>
      <c r="C205" s="1049"/>
      <c r="D205" s="1050"/>
      <c r="E205" s="1050"/>
      <c r="F205" s="1051"/>
      <c r="G205" s="1049"/>
      <c r="H205" s="1050"/>
      <c r="I205" s="1052"/>
      <c r="J205" s="1051"/>
      <c r="K205" s="1049"/>
      <c r="L205" s="1050"/>
      <c r="M205" s="1555"/>
    </row>
    <row r="206" spans="1:13" ht="11.25" customHeight="1">
      <c r="A206" s="1169">
        <f t="shared" si="98"/>
        <v>0</v>
      </c>
      <c r="B206" s="293"/>
      <c r="C206" s="1049"/>
      <c r="D206" s="1049"/>
      <c r="E206" s="1050"/>
      <c r="F206" s="1051"/>
      <c r="G206" s="1049"/>
      <c r="H206" s="1050"/>
      <c r="I206" s="1052"/>
      <c r="J206" s="1051"/>
      <c r="K206" s="1049"/>
      <c r="L206" s="1050"/>
      <c r="M206" s="1555"/>
    </row>
    <row r="207" spans="1:13" ht="12">
      <c r="A207" s="1169">
        <f t="shared" si="98"/>
        <v>0</v>
      </c>
      <c r="B207" s="293"/>
      <c r="C207" s="1049"/>
      <c r="D207" s="1049"/>
      <c r="E207" s="1050"/>
      <c r="F207" s="1051"/>
      <c r="G207" s="1049"/>
      <c r="H207" s="1050"/>
      <c r="I207" s="1052"/>
      <c r="J207" s="1051"/>
      <c r="K207" s="1049"/>
      <c r="L207" s="1050"/>
      <c r="M207" s="1555"/>
    </row>
    <row r="208" spans="1:13" ht="12">
      <c r="A208" s="1169">
        <f t="shared" si="98"/>
        <v>0</v>
      </c>
      <c r="B208" s="293"/>
      <c r="C208" s="1049"/>
      <c r="D208" s="1049"/>
      <c r="E208" s="1050"/>
      <c r="F208" s="1051"/>
      <c r="G208" s="1049"/>
      <c r="H208" s="1050"/>
      <c r="I208" s="1052"/>
      <c r="J208" s="1051"/>
      <c r="K208" s="1049"/>
      <c r="L208" s="1050"/>
      <c r="M208" s="1555"/>
    </row>
    <row r="209" spans="1:13" ht="11.25" customHeight="1">
      <c r="A209" s="1169">
        <f t="shared" si="98"/>
        <v>0</v>
      </c>
      <c r="B209" s="293"/>
      <c r="C209" s="1049"/>
      <c r="D209" s="1049"/>
      <c r="E209" s="1050"/>
      <c r="F209" s="1051"/>
      <c r="G209" s="1049"/>
      <c r="H209" s="1050"/>
      <c r="I209" s="1052"/>
      <c r="J209" s="1051"/>
      <c r="K209" s="1049"/>
      <c r="L209" s="1050"/>
      <c r="M209" s="1555"/>
    </row>
    <row r="210" spans="1:13" ht="12">
      <c r="A210" s="1169">
        <f t="shared" si="98"/>
        <v>0</v>
      </c>
      <c r="B210" s="293"/>
      <c r="C210" s="1049"/>
      <c r="D210" s="1049"/>
      <c r="E210" s="1050"/>
      <c r="F210" s="1051"/>
      <c r="G210" s="1049"/>
      <c r="H210" s="1050"/>
      <c r="I210" s="1052"/>
      <c r="J210" s="1051"/>
      <c r="K210" s="1049"/>
      <c r="L210" s="1050"/>
      <c r="M210" s="1555"/>
    </row>
    <row r="211" spans="1:13" ht="15" customHeight="1">
      <c r="A211" s="1169" t="str">
        <f t="shared" si="98"/>
        <v>Vote 4 - BUDGET AND TREASURY OFFICE</v>
      </c>
      <c r="B211" s="981"/>
      <c r="C211" s="976">
        <f t="shared" ref="C211:L211" si="100">SUM(C212:C221)</f>
        <v>0</v>
      </c>
      <c r="D211" s="976">
        <f t="shared" si="100"/>
        <v>0</v>
      </c>
      <c r="E211" s="977">
        <f t="shared" si="100"/>
        <v>0</v>
      </c>
      <c r="F211" s="982">
        <f t="shared" si="100"/>
        <v>0</v>
      </c>
      <c r="G211" s="976">
        <f t="shared" si="100"/>
        <v>0</v>
      </c>
      <c r="H211" s="977">
        <f t="shared" si="100"/>
        <v>0</v>
      </c>
      <c r="I211" s="979">
        <f t="shared" si="100"/>
        <v>0</v>
      </c>
      <c r="J211" s="978">
        <f t="shared" si="100"/>
        <v>0</v>
      </c>
      <c r="K211" s="976">
        <f t="shared" si="100"/>
        <v>0</v>
      </c>
      <c r="L211" s="983">
        <f t="shared" si="100"/>
        <v>0</v>
      </c>
      <c r="M211" s="1555"/>
    </row>
    <row r="212" spans="1:13" ht="12">
      <c r="A212" s="1169" t="str">
        <f t="shared" si="98"/>
        <v>4.1 - 070 - OFFICE OF THE DIRECTOR BUDGET AND TREASURY</v>
      </c>
      <c r="B212" s="293"/>
      <c r="C212" s="1050"/>
      <c r="D212" s="1052"/>
      <c r="E212" s="1050"/>
      <c r="F212" s="1051"/>
      <c r="G212" s="1049"/>
      <c r="H212" s="1050"/>
      <c r="I212" s="1050"/>
      <c r="J212" s="1051"/>
      <c r="K212" s="1049"/>
      <c r="L212" s="1050"/>
      <c r="M212" s="1555"/>
    </row>
    <row r="213" spans="1:13" ht="12">
      <c r="A213" s="1169" t="str">
        <f t="shared" si="98"/>
        <v>4.2 - 075 - ACCOUNTING SERVICES</v>
      </c>
      <c r="B213" s="293"/>
      <c r="C213" s="1050"/>
      <c r="D213" s="1052"/>
      <c r="E213" s="1050"/>
      <c r="F213" s="1051"/>
      <c r="G213" s="1049"/>
      <c r="H213" s="1050"/>
      <c r="I213" s="1052"/>
      <c r="J213" s="1051"/>
      <c r="K213" s="1049"/>
      <c r="L213" s="1050"/>
      <c r="M213" s="1555"/>
    </row>
    <row r="214" spans="1:13" ht="11.25" customHeight="1">
      <c r="A214" s="1169" t="str">
        <f t="shared" si="98"/>
        <v>4.3 - 080 - FINANCIAL CONTROL</v>
      </c>
      <c r="B214" s="293"/>
      <c r="C214" s="1050"/>
      <c r="D214" s="1052"/>
      <c r="E214" s="1050"/>
      <c r="F214" s="1051"/>
      <c r="G214" s="1049"/>
      <c r="H214" s="1050"/>
      <c r="I214" s="1052"/>
      <c r="J214" s="1051"/>
      <c r="K214" s="1049"/>
      <c r="L214" s="1050"/>
      <c r="M214" s="1555"/>
    </row>
    <row r="215" spans="1:13" s="335" customFormat="1" ht="11.25" customHeight="1">
      <c r="A215" s="1169" t="str">
        <f t="shared" si="98"/>
        <v>4.4 - 090 - FINANCIAL MANAGEMENT SERVICES</v>
      </c>
      <c r="B215" s="293"/>
      <c r="C215" s="1050"/>
      <c r="D215" s="1052"/>
      <c r="E215" s="1050"/>
      <c r="F215" s="1051"/>
      <c r="G215" s="1049"/>
      <c r="H215" s="1050"/>
      <c r="I215" s="1052"/>
      <c r="J215" s="1051"/>
      <c r="K215" s="1049"/>
      <c r="L215" s="1050"/>
      <c r="M215" s="1555"/>
    </row>
    <row r="216" spans="1:13" s="335" customFormat="1" ht="11.25" customHeight="1">
      <c r="A216" s="1169">
        <f t="shared" si="98"/>
        <v>0</v>
      </c>
      <c r="B216" s="293"/>
      <c r="C216" s="1049"/>
      <c r="D216" s="1050"/>
      <c r="E216" s="1050"/>
      <c r="F216" s="1051"/>
      <c r="G216" s="1049"/>
      <c r="H216" s="1050"/>
      <c r="I216" s="1052"/>
      <c r="J216" s="1051"/>
      <c r="K216" s="1049"/>
      <c r="L216" s="1050"/>
      <c r="M216" s="1555"/>
    </row>
    <row r="217" spans="1:13" ht="11.25" customHeight="1">
      <c r="A217" s="1169">
        <f t="shared" si="98"/>
        <v>0</v>
      </c>
      <c r="B217" s="293"/>
      <c r="C217" s="1049"/>
      <c r="D217" s="1049"/>
      <c r="E217" s="1050"/>
      <c r="F217" s="1051"/>
      <c r="G217" s="1049"/>
      <c r="H217" s="1050"/>
      <c r="I217" s="1052"/>
      <c r="J217" s="1051"/>
      <c r="K217" s="1049"/>
      <c r="L217" s="1050"/>
      <c r="M217" s="1555"/>
    </row>
    <row r="218" spans="1:13" ht="11.25" customHeight="1">
      <c r="A218" s="1169">
        <f t="shared" si="98"/>
        <v>0</v>
      </c>
      <c r="B218" s="293"/>
      <c r="C218" s="1049"/>
      <c r="D218" s="1049"/>
      <c r="E218" s="1050"/>
      <c r="F218" s="1051"/>
      <c r="G218" s="1049"/>
      <c r="H218" s="1050"/>
      <c r="I218" s="1052"/>
      <c r="J218" s="1051"/>
      <c r="K218" s="1049"/>
      <c r="L218" s="1050"/>
      <c r="M218" s="1555"/>
    </row>
    <row r="219" spans="1:13" ht="11.25" customHeight="1">
      <c r="A219" s="1169">
        <f t="shared" si="98"/>
        <v>0</v>
      </c>
      <c r="B219" s="293"/>
      <c r="C219" s="1049"/>
      <c r="D219" s="1049"/>
      <c r="E219" s="1050"/>
      <c r="F219" s="1051"/>
      <c r="G219" s="1049"/>
      <c r="H219" s="1050"/>
      <c r="I219" s="1052"/>
      <c r="J219" s="1051"/>
      <c r="K219" s="1049"/>
      <c r="L219" s="1050"/>
      <c r="M219" s="1555"/>
    </row>
    <row r="220" spans="1:13" ht="11.25" customHeight="1">
      <c r="A220" s="1169">
        <f t="shared" si="98"/>
        <v>0</v>
      </c>
      <c r="B220" s="293"/>
      <c r="C220" s="1049"/>
      <c r="D220" s="1049"/>
      <c r="E220" s="1050"/>
      <c r="F220" s="1051"/>
      <c r="G220" s="1049"/>
      <c r="H220" s="1050"/>
      <c r="I220" s="1052"/>
      <c r="J220" s="1051"/>
      <c r="K220" s="1049"/>
      <c r="L220" s="1050"/>
      <c r="M220" s="1555"/>
    </row>
    <row r="221" spans="1:13" ht="11.25" customHeight="1">
      <c r="A221" s="1169">
        <f t="shared" si="98"/>
        <v>0</v>
      </c>
      <c r="B221" s="293"/>
      <c r="C221" s="1049"/>
      <c r="D221" s="1049"/>
      <c r="E221" s="1050"/>
      <c r="F221" s="1051"/>
      <c r="G221" s="1049"/>
      <c r="H221" s="1050"/>
      <c r="I221" s="1052"/>
      <c r="J221" s="1051"/>
      <c r="K221" s="1049"/>
      <c r="L221" s="1050"/>
      <c r="M221" s="1555"/>
    </row>
    <row r="222" spans="1:13" ht="15" customHeight="1">
      <c r="A222" s="1169" t="str">
        <f t="shared" si="98"/>
        <v>Vote 5 - PUBLIC SAFETY</v>
      </c>
      <c r="B222" s="981"/>
      <c r="C222" s="976">
        <f t="shared" ref="C222:L222" si="101">SUM(C223:C232)</f>
        <v>0</v>
      </c>
      <c r="D222" s="976">
        <f t="shared" si="101"/>
        <v>0</v>
      </c>
      <c r="E222" s="977">
        <f t="shared" si="101"/>
        <v>0</v>
      </c>
      <c r="F222" s="978">
        <f t="shared" si="101"/>
        <v>0</v>
      </c>
      <c r="G222" s="976">
        <f t="shared" si="101"/>
        <v>0</v>
      </c>
      <c r="H222" s="977">
        <f t="shared" si="101"/>
        <v>0</v>
      </c>
      <c r="I222" s="979">
        <f t="shared" si="101"/>
        <v>0</v>
      </c>
      <c r="J222" s="978">
        <f t="shared" si="101"/>
        <v>0</v>
      </c>
      <c r="K222" s="976">
        <f t="shared" si="101"/>
        <v>0</v>
      </c>
      <c r="L222" s="977">
        <f t="shared" si="101"/>
        <v>0</v>
      </c>
      <c r="M222" s="1555"/>
    </row>
    <row r="223" spans="1:13" ht="11.25" customHeight="1">
      <c r="A223" s="1169" t="str">
        <f t="shared" si="98"/>
        <v>5.1 - 100 - OFFICE OF THE DIRECTOR PUBLIC SAFETY</v>
      </c>
      <c r="B223" s="293"/>
      <c r="C223" s="1050"/>
      <c r="D223" s="1052"/>
      <c r="E223" s="1050"/>
      <c r="F223" s="1051"/>
      <c r="G223" s="1049"/>
      <c r="H223" s="1050"/>
      <c r="I223" s="1052"/>
      <c r="J223" s="1051"/>
      <c r="K223" s="1049"/>
      <c r="L223" s="1050"/>
      <c r="M223" s="1555"/>
    </row>
    <row r="224" spans="1:13" ht="11.25" customHeight="1">
      <c r="A224" s="1169" t="str">
        <f t="shared" si="98"/>
        <v>5.2 - 105 - MUNICIPAL POLICE AND SECURITY SERVICES</v>
      </c>
      <c r="B224" s="293"/>
      <c r="C224" s="1050"/>
      <c r="D224" s="1052"/>
      <c r="E224" s="1050"/>
      <c r="F224" s="1051"/>
      <c r="G224" s="1049"/>
      <c r="H224" s="1050"/>
      <c r="I224" s="1052"/>
      <c r="J224" s="1051"/>
      <c r="K224" s="1049"/>
      <c r="L224" s="1050"/>
      <c r="M224" s="1555"/>
    </row>
    <row r="225" spans="1:13" ht="11.25" customHeight="1">
      <c r="A225" s="1169" t="str">
        <f t="shared" si="98"/>
        <v>5.3 - 115 - EMERGENCY AND DISASTER MANAGEMENT</v>
      </c>
      <c r="B225" s="293"/>
      <c r="C225" s="1050"/>
      <c r="D225" s="1052"/>
      <c r="E225" s="1050"/>
      <c r="F225" s="1051"/>
      <c r="G225" s="1049"/>
      <c r="H225" s="1050"/>
      <c r="I225" s="1050"/>
      <c r="J225" s="1051"/>
      <c r="K225" s="1049"/>
      <c r="L225" s="1050"/>
      <c r="M225" s="1555"/>
    </row>
    <row r="226" spans="1:13" ht="11.25" customHeight="1">
      <c r="A226" s="1169" t="str">
        <f t="shared" si="98"/>
        <v>5.4 - 130 - TRAFFIC SERVICES</v>
      </c>
      <c r="B226" s="293"/>
      <c r="C226" s="1050"/>
      <c r="D226" s="1052"/>
      <c r="E226" s="1050"/>
      <c r="F226" s="1051"/>
      <c r="G226" s="1049"/>
      <c r="H226" s="1050"/>
      <c r="I226" s="1050"/>
      <c r="J226" s="1051"/>
      <c r="K226" s="1049"/>
      <c r="L226" s="1050"/>
      <c r="M226" s="1555"/>
    </row>
    <row r="227" spans="1:13" ht="11.25" customHeight="1">
      <c r="A227" s="1169" t="str">
        <f t="shared" si="98"/>
        <v>5.5 - 140 - TESTING AND LICENSES</v>
      </c>
      <c r="B227" s="293"/>
      <c r="C227" s="1050"/>
      <c r="D227" s="1052"/>
      <c r="E227" s="1050"/>
      <c r="F227" s="1051"/>
      <c r="G227" s="1049"/>
      <c r="H227" s="1050"/>
      <c r="I227" s="1052"/>
      <c r="J227" s="1051"/>
      <c r="K227" s="1049"/>
      <c r="L227" s="1050"/>
      <c r="M227" s="1555"/>
    </row>
    <row r="228" spans="1:13" ht="11.25" customHeight="1">
      <c r="A228" s="1169" t="str">
        <f t="shared" si="98"/>
        <v>5.6 - 141 - LAW ENFORCEMENT</v>
      </c>
      <c r="B228" s="293"/>
      <c r="C228" s="1049"/>
      <c r="D228" s="1050"/>
      <c r="E228" s="1050"/>
      <c r="F228" s="1051"/>
      <c r="G228" s="1049"/>
      <c r="H228" s="1050"/>
      <c r="I228" s="1052"/>
      <c r="J228" s="1051"/>
      <c r="K228" s="1049"/>
      <c r="L228" s="1050"/>
      <c r="M228" s="1555"/>
    </row>
    <row r="229" spans="1:13" ht="11.25" customHeight="1">
      <c r="A229" s="1169">
        <f t="shared" si="98"/>
        <v>0</v>
      </c>
      <c r="B229" s="293"/>
      <c r="C229" s="1049"/>
      <c r="D229" s="1049"/>
      <c r="E229" s="1050"/>
      <c r="F229" s="1051"/>
      <c r="G229" s="1049"/>
      <c r="H229" s="1050"/>
      <c r="I229" s="1052"/>
      <c r="J229" s="1051"/>
      <c r="K229" s="1049"/>
      <c r="L229" s="1050"/>
      <c r="M229" s="1555"/>
    </row>
    <row r="230" spans="1:13" ht="11.25" customHeight="1">
      <c r="A230" s="1169">
        <f t="shared" si="98"/>
        <v>0</v>
      </c>
      <c r="B230" s="293"/>
      <c r="C230" s="1049"/>
      <c r="D230" s="1049"/>
      <c r="E230" s="1050"/>
      <c r="F230" s="1051"/>
      <c r="G230" s="1049"/>
      <c r="H230" s="1050"/>
      <c r="I230" s="1052"/>
      <c r="J230" s="1051"/>
      <c r="K230" s="1049"/>
      <c r="L230" s="1050"/>
      <c r="M230" s="1555"/>
    </row>
    <row r="231" spans="1:13" ht="11.25" customHeight="1">
      <c r="A231" s="1169">
        <f t="shared" si="98"/>
        <v>0</v>
      </c>
      <c r="B231" s="293"/>
      <c r="C231" s="1049"/>
      <c r="D231" s="1049"/>
      <c r="E231" s="1050"/>
      <c r="F231" s="1051"/>
      <c r="G231" s="1049"/>
      <c r="H231" s="1050"/>
      <c r="I231" s="1052"/>
      <c r="J231" s="1051"/>
      <c r="K231" s="1049"/>
      <c r="L231" s="1050"/>
      <c r="M231" s="1555"/>
    </row>
    <row r="232" spans="1:13" ht="11.25" customHeight="1">
      <c r="A232" s="1169">
        <f t="shared" si="98"/>
        <v>0</v>
      </c>
      <c r="B232" s="293"/>
      <c r="C232" s="1049"/>
      <c r="D232" s="1049"/>
      <c r="E232" s="1050"/>
      <c r="F232" s="1051"/>
      <c r="G232" s="1049"/>
      <c r="H232" s="1050"/>
      <c r="I232" s="1052"/>
      <c r="J232" s="1051"/>
      <c r="K232" s="1049"/>
      <c r="L232" s="1050"/>
      <c r="M232" s="1555"/>
    </row>
    <row r="233" spans="1:13" ht="15" customHeight="1">
      <c r="A233" s="1169" t="str">
        <f t="shared" si="98"/>
        <v>Vote 6 - PLANNING &amp; HUMAN SETTLEMENT</v>
      </c>
      <c r="B233" s="981"/>
      <c r="C233" s="976">
        <f t="shared" ref="C233:L233" si="102">SUM(C234:C243)</f>
        <v>0</v>
      </c>
      <c r="D233" s="976">
        <f t="shared" si="102"/>
        <v>0</v>
      </c>
      <c r="E233" s="977">
        <f t="shared" si="102"/>
        <v>0</v>
      </c>
      <c r="F233" s="978">
        <f t="shared" si="102"/>
        <v>0</v>
      </c>
      <c r="G233" s="976">
        <f t="shared" si="102"/>
        <v>0</v>
      </c>
      <c r="H233" s="977">
        <f t="shared" si="102"/>
        <v>0</v>
      </c>
      <c r="I233" s="979">
        <f t="shared" si="102"/>
        <v>0</v>
      </c>
      <c r="J233" s="978">
        <f t="shared" si="102"/>
        <v>0</v>
      </c>
      <c r="K233" s="976">
        <f t="shared" si="102"/>
        <v>0</v>
      </c>
      <c r="L233" s="977">
        <f t="shared" si="102"/>
        <v>0</v>
      </c>
      <c r="M233" s="370"/>
    </row>
    <row r="234" spans="1:13" ht="11.25" customHeight="1">
      <c r="A234" s="1169" t="str">
        <f t="shared" si="98"/>
        <v>6.1 - 150 - OFFICE OF THE DIRECTOR PLANNING AND HUMAN SETLEMENT</v>
      </c>
      <c r="B234" s="293"/>
      <c r="C234" s="1050"/>
      <c r="D234" s="1052"/>
      <c r="E234" s="1050"/>
      <c r="F234" s="1051"/>
      <c r="G234" s="1049"/>
      <c r="H234" s="1050"/>
      <c r="I234" s="1052"/>
      <c r="J234" s="1051"/>
      <c r="K234" s="1049"/>
      <c r="L234" s="1050"/>
      <c r="M234" s="370"/>
    </row>
    <row r="235" spans="1:13" ht="11.25" customHeight="1">
      <c r="A235" s="1169" t="str">
        <f t="shared" si="98"/>
        <v>6.2 - 155 - DEVELOPMENT PLANNING</v>
      </c>
      <c r="B235" s="293"/>
      <c r="C235" s="1050"/>
      <c r="D235" s="1052"/>
      <c r="E235" s="1050"/>
      <c r="F235" s="1051"/>
      <c r="G235" s="1049"/>
      <c r="H235" s="1050"/>
      <c r="I235" s="1050"/>
      <c r="J235" s="1051"/>
      <c r="K235" s="1049"/>
      <c r="L235" s="1050"/>
      <c r="M235" s="370"/>
    </row>
    <row r="236" spans="1:13" ht="11.25" customHeight="1">
      <c r="A236" s="1169" t="str">
        <f t="shared" si="98"/>
        <v>6.3 - 156 - ESTATES</v>
      </c>
      <c r="B236" s="293"/>
      <c r="C236" s="1050"/>
      <c r="D236" s="1052"/>
      <c r="E236" s="1050"/>
      <c r="F236" s="1051"/>
      <c r="G236" s="1049"/>
      <c r="H236" s="1050"/>
      <c r="I236" s="1050"/>
      <c r="J236" s="1051"/>
      <c r="K236" s="1049"/>
      <c r="L236" s="1050"/>
      <c r="M236" s="370"/>
    </row>
    <row r="237" spans="1:13" ht="11.25" customHeight="1">
      <c r="A237" s="1169" t="str">
        <f t="shared" si="98"/>
        <v>6.4 - 160 - HOUSING PROVISION</v>
      </c>
      <c r="B237" s="293"/>
      <c r="C237" s="1050"/>
      <c r="D237" s="1052"/>
      <c r="E237" s="1050"/>
      <c r="F237" s="1051"/>
      <c r="G237" s="1049"/>
      <c r="H237" s="1050"/>
      <c r="I237" s="1052"/>
      <c r="J237" s="1051"/>
      <c r="K237" s="1049"/>
      <c r="L237" s="1050"/>
      <c r="M237" s="370"/>
    </row>
    <row r="238" spans="1:13" ht="11.25" customHeight="1">
      <c r="A238" s="1169" t="str">
        <f t="shared" si="98"/>
        <v>6.5 - 165 - BUILDING CONTROL AND REGULATIONS</v>
      </c>
      <c r="B238" s="293"/>
      <c r="C238" s="1050"/>
      <c r="D238" s="1052"/>
      <c r="E238" s="1050"/>
      <c r="F238" s="1051"/>
      <c r="G238" s="1049"/>
      <c r="H238" s="1050"/>
      <c r="I238" s="1052"/>
      <c r="J238" s="1051"/>
      <c r="K238" s="1049"/>
      <c r="L238" s="1050"/>
      <c r="M238" s="370"/>
    </row>
    <row r="239" spans="1:13" ht="11.25" customHeight="1">
      <c r="A239" s="1169" t="str">
        <f t="shared" si="98"/>
        <v>6.6 - 175 - INTEGRATED ENVIRONMENTAL MANAGEMENT</v>
      </c>
      <c r="B239" s="293"/>
      <c r="C239" s="1050"/>
      <c r="D239" s="1052"/>
      <c r="E239" s="1050"/>
      <c r="F239" s="1051"/>
      <c r="G239" s="1049"/>
      <c r="H239" s="1050"/>
      <c r="I239" s="1052"/>
      <c r="J239" s="1051"/>
      <c r="K239" s="1049"/>
      <c r="L239" s="1050"/>
      <c r="M239" s="370"/>
    </row>
    <row r="240" spans="1:13" ht="11.25" customHeight="1">
      <c r="A240" s="1169">
        <f t="shared" si="98"/>
        <v>0</v>
      </c>
      <c r="B240" s="293"/>
      <c r="C240" s="1049"/>
      <c r="D240" s="1049"/>
      <c r="E240" s="1050"/>
      <c r="F240" s="1051"/>
      <c r="G240" s="1049"/>
      <c r="H240" s="1050"/>
      <c r="I240" s="1052"/>
      <c r="J240" s="1051"/>
      <c r="K240" s="1049"/>
      <c r="L240" s="1050"/>
      <c r="M240" s="370"/>
    </row>
    <row r="241" spans="1:13" ht="11.25" customHeight="1">
      <c r="A241" s="1169">
        <f t="shared" si="98"/>
        <v>0</v>
      </c>
      <c r="B241" s="293"/>
      <c r="C241" s="1049"/>
      <c r="D241" s="1049"/>
      <c r="E241" s="1050"/>
      <c r="F241" s="1051"/>
      <c r="G241" s="1049"/>
      <c r="H241" s="1050"/>
      <c r="I241" s="1052"/>
      <c r="J241" s="1051"/>
      <c r="K241" s="1049"/>
      <c r="L241" s="1050"/>
      <c r="M241" s="370"/>
    </row>
    <row r="242" spans="1:13" ht="11.25" customHeight="1">
      <c r="A242" s="1169">
        <f t="shared" si="98"/>
        <v>0</v>
      </c>
      <c r="B242" s="293"/>
      <c r="C242" s="1049"/>
      <c r="D242" s="1049"/>
      <c r="E242" s="1050"/>
      <c r="F242" s="1051"/>
      <c r="G242" s="1049"/>
      <c r="H242" s="1050"/>
      <c r="I242" s="1052"/>
      <c r="J242" s="1051"/>
      <c r="K242" s="1049"/>
      <c r="L242" s="1050"/>
      <c r="M242" s="370"/>
    </row>
    <row r="243" spans="1:13" ht="11.25" customHeight="1">
      <c r="A243" s="1169">
        <f t="shared" ref="A243:A306" si="103">A72</f>
        <v>0</v>
      </c>
      <c r="B243" s="293"/>
      <c r="C243" s="1049"/>
      <c r="D243" s="1049"/>
      <c r="E243" s="1050"/>
      <c r="F243" s="1051"/>
      <c r="G243" s="1049"/>
      <c r="H243" s="1050"/>
      <c r="I243" s="1052"/>
      <c r="J243" s="1051"/>
      <c r="K243" s="1049"/>
      <c r="L243" s="1050"/>
      <c r="M243" s="370"/>
    </row>
    <row r="244" spans="1:13" ht="15" customHeight="1">
      <c r="A244" s="1169" t="str">
        <f t="shared" si="103"/>
        <v xml:space="preserve">Vote 7 - LOCAL ECONOMIC DEVELOPMENT </v>
      </c>
      <c r="B244" s="981"/>
      <c r="C244" s="976">
        <f t="shared" ref="C244:L244" si="104">SUM(C245:C254)</f>
        <v>0</v>
      </c>
      <c r="D244" s="976">
        <f t="shared" si="104"/>
        <v>0</v>
      </c>
      <c r="E244" s="977">
        <f t="shared" si="104"/>
        <v>0</v>
      </c>
      <c r="F244" s="978">
        <f t="shared" si="104"/>
        <v>0</v>
      </c>
      <c r="G244" s="976">
        <f t="shared" si="104"/>
        <v>0</v>
      </c>
      <c r="H244" s="977">
        <f t="shared" si="104"/>
        <v>0</v>
      </c>
      <c r="I244" s="979">
        <f t="shared" si="104"/>
        <v>0</v>
      </c>
      <c r="J244" s="978">
        <f t="shared" si="104"/>
        <v>0</v>
      </c>
      <c r="K244" s="976">
        <f t="shared" si="104"/>
        <v>0</v>
      </c>
      <c r="L244" s="977">
        <f t="shared" si="104"/>
        <v>0</v>
      </c>
      <c r="M244" s="370"/>
    </row>
    <row r="245" spans="1:13" ht="11.25" customHeight="1">
      <c r="A245" s="1169" t="str">
        <f t="shared" si="103"/>
        <v>7.1 - 180 - LOCAL ECONOMIC DEVELOPMENT</v>
      </c>
      <c r="B245" s="293"/>
      <c r="C245" s="1050"/>
      <c r="D245" s="1052"/>
      <c r="E245" s="1050"/>
      <c r="F245" s="1051"/>
      <c r="G245" s="1049"/>
      <c r="H245" s="1050"/>
      <c r="I245" s="1050"/>
      <c r="J245" s="1051"/>
      <c r="K245" s="1049"/>
      <c r="L245" s="1050"/>
      <c r="M245" s="370"/>
    </row>
    <row r="246" spans="1:13" ht="11.25" customHeight="1">
      <c r="A246" s="1169" t="str">
        <f t="shared" si="103"/>
        <v>7.2 - 181 - BUSINESS ADVICE CENTRE</v>
      </c>
      <c r="B246" s="293"/>
      <c r="C246" s="1050"/>
      <c r="D246" s="1052"/>
      <c r="E246" s="1050"/>
      <c r="F246" s="1051"/>
      <c r="G246" s="1049"/>
      <c r="H246" s="1050"/>
      <c r="I246" s="1052"/>
      <c r="J246" s="1051"/>
      <c r="K246" s="1049"/>
      <c r="L246" s="1050"/>
      <c r="M246" s="370"/>
    </row>
    <row r="247" spans="1:13" ht="11.25" customHeight="1">
      <c r="A247" s="1169" t="str">
        <f t="shared" si="103"/>
        <v>7.3 - 185 - ENTERPRISE / SMME DEVELOPMENT</v>
      </c>
      <c r="B247" s="293"/>
      <c r="C247" s="1050"/>
      <c r="D247" s="1052"/>
      <c r="E247" s="1050"/>
      <c r="F247" s="1051"/>
      <c r="G247" s="1049"/>
      <c r="H247" s="1050"/>
      <c r="I247" s="1052"/>
      <c r="J247" s="1051"/>
      <c r="K247" s="1049"/>
      <c r="L247" s="1050"/>
      <c r="M247" s="370"/>
    </row>
    <row r="248" spans="1:13" ht="11.25" customHeight="1">
      <c r="A248" s="1169" t="str">
        <f t="shared" si="103"/>
        <v>7.4 - 190 - POLICY RESERCH AND MARKETING</v>
      </c>
      <c r="B248" s="293"/>
      <c r="C248" s="1050"/>
      <c r="D248" s="1052"/>
      <c r="E248" s="1050"/>
      <c r="F248" s="1051"/>
      <c r="G248" s="1049"/>
      <c r="H248" s="1050"/>
      <c r="I248" s="1052"/>
      <c r="J248" s="1051"/>
      <c r="K248" s="1049"/>
      <c r="L248" s="1050"/>
      <c r="M248" s="370"/>
    </row>
    <row r="249" spans="1:13" ht="11.25" customHeight="1">
      <c r="A249" s="1169" t="str">
        <f t="shared" si="103"/>
        <v>7.5 - 195 - INTER GOVERNMENTAL RELATIONS</v>
      </c>
      <c r="B249" s="293"/>
      <c r="C249" s="1050"/>
      <c r="D249" s="1052"/>
      <c r="E249" s="1050"/>
      <c r="F249" s="1051"/>
      <c r="G249" s="1049"/>
      <c r="H249" s="1050"/>
      <c r="I249" s="1052"/>
      <c r="J249" s="1051"/>
      <c r="K249" s="1049"/>
      <c r="L249" s="1050"/>
      <c r="M249" s="370"/>
    </row>
    <row r="250" spans="1:13" ht="11.25" customHeight="1">
      <c r="A250" s="1169">
        <f t="shared" si="103"/>
        <v>0</v>
      </c>
      <c r="B250" s="293"/>
      <c r="C250" s="1049"/>
      <c r="D250" s="1050"/>
      <c r="E250" s="1050"/>
      <c r="F250" s="1051"/>
      <c r="G250" s="1049"/>
      <c r="H250" s="1050"/>
      <c r="I250" s="1052"/>
      <c r="J250" s="1051"/>
      <c r="K250" s="1049"/>
      <c r="L250" s="1050"/>
      <c r="M250" s="370"/>
    </row>
    <row r="251" spans="1:13" ht="11.25" customHeight="1">
      <c r="A251" s="1169">
        <f t="shared" si="103"/>
        <v>0</v>
      </c>
      <c r="B251" s="293"/>
      <c r="C251" s="1049"/>
      <c r="D251" s="1049"/>
      <c r="E251" s="1050"/>
      <c r="F251" s="1051"/>
      <c r="G251" s="1049"/>
      <c r="H251" s="1050"/>
      <c r="I251" s="1052"/>
      <c r="J251" s="1051"/>
      <c r="K251" s="1049"/>
      <c r="L251" s="1050"/>
      <c r="M251" s="370"/>
    </row>
    <row r="252" spans="1:13" ht="11.25" customHeight="1">
      <c r="A252" s="1169">
        <f t="shared" si="103"/>
        <v>0</v>
      </c>
      <c r="B252" s="293"/>
      <c r="C252" s="1049"/>
      <c r="D252" s="1049"/>
      <c r="E252" s="1050"/>
      <c r="F252" s="1051"/>
      <c r="G252" s="1049"/>
      <c r="H252" s="1050"/>
      <c r="I252" s="1052"/>
      <c r="J252" s="1051"/>
      <c r="K252" s="1049"/>
      <c r="L252" s="1050"/>
      <c r="M252" s="370"/>
    </row>
    <row r="253" spans="1:13" ht="11.25" customHeight="1">
      <c r="A253" s="1169">
        <f t="shared" si="103"/>
        <v>0</v>
      </c>
      <c r="B253" s="293"/>
      <c r="C253" s="1049"/>
      <c r="D253" s="1049"/>
      <c r="E253" s="1050"/>
      <c r="F253" s="1051"/>
      <c r="G253" s="1049"/>
      <c r="H253" s="1050"/>
      <c r="I253" s="1052"/>
      <c r="J253" s="1051"/>
      <c r="K253" s="1049"/>
      <c r="L253" s="1050"/>
      <c r="M253" s="370"/>
    </row>
    <row r="254" spans="1:13" ht="11.25" customHeight="1">
      <c r="A254" s="1169">
        <f t="shared" si="103"/>
        <v>0</v>
      </c>
      <c r="B254" s="293"/>
      <c r="C254" s="1049"/>
      <c r="D254" s="1049"/>
      <c r="E254" s="1050"/>
      <c r="F254" s="1051"/>
      <c r="G254" s="1049"/>
      <c r="H254" s="1050"/>
      <c r="I254" s="1052"/>
      <c r="J254" s="1051"/>
      <c r="K254" s="1049"/>
      <c r="L254" s="1050"/>
      <c r="M254" s="370"/>
    </row>
    <row r="255" spans="1:13" ht="15" customHeight="1">
      <c r="A255" s="1169" t="str">
        <f t="shared" si="103"/>
        <v>Vote 8 - COMMUNITY DEVELOPMENT</v>
      </c>
      <c r="B255" s="293"/>
      <c r="C255" s="976">
        <f t="shared" ref="C255:L255" si="105">SUM(C256:C265)</f>
        <v>0</v>
      </c>
      <c r="D255" s="976">
        <f t="shared" si="105"/>
        <v>0</v>
      </c>
      <c r="E255" s="977">
        <f t="shared" si="105"/>
        <v>0</v>
      </c>
      <c r="F255" s="978">
        <f t="shared" si="105"/>
        <v>0</v>
      </c>
      <c r="G255" s="976">
        <f t="shared" si="105"/>
        <v>0</v>
      </c>
      <c r="H255" s="977">
        <f t="shared" si="105"/>
        <v>0</v>
      </c>
      <c r="I255" s="979">
        <f t="shared" si="105"/>
        <v>0</v>
      </c>
      <c r="J255" s="978">
        <f t="shared" si="105"/>
        <v>0</v>
      </c>
      <c r="K255" s="976">
        <f t="shared" si="105"/>
        <v>0</v>
      </c>
      <c r="L255" s="977">
        <f t="shared" si="105"/>
        <v>0</v>
      </c>
      <c r="M255" s="370"/>
    </row>
    <row r="256" spans="1:13">
      <c r="A256" s="1169" t="str">
        <f t="shared" si="103"/>
        <v>8.1 - 200 - OFFICE OF THE DIRECTOR COMMUNITY DEVELOPMENT</v>
      </c>
      <c r="B256" s="293"/>
      <c r="C256" s="1052"/>
      <c r="D256" s="1052"/>
      <c r="E256" s="1052"/>
      <c r="F256" s="1051"/>
      <c r="G256" s="1049"/>
      <c r="H256" s="1050"/>
      <c r="I256" s="1050"/>
      <c r="J256" s="1051"/>
      <c r="K256" s="1049"/>
      <c r="L256" s="1050"/>
      <c r="M256" s="370"/>
    </row>
    <row r="257" spans="1:13">
      <c r="A257" s="1169" t="str">
        <f t="shared" si="103"/>
        <v>8.2 - 205 - ENVIRONMENTAL HEALTH SERVICES</v>
      </c>
      <c r="B257" s="293"/>
      <c r="C257" s="1052"/>
      <c r="D257" s="1052"/>
      <c r="E257" s="1052"/>
      <c r="F257" s="1051"/>
      <c r="G257" s="1049"/>
      <c r="H257" s="1050"/>
      <c r="I257" s="1050"/>
      <c r="J257" s="1051"/>
      <c r="K257" s="1049"/>
      <c r="L257" s="1050"/>
      <c r="M257" s="370"/>
    </row>
    <row r="258" spans="1:13">
      <c r="A258" s="1169" t="str">
        <f t="shared" si="103"/>
        <v>8.3 - 210 - CLINIC SERVICES</v>
      </c>
      <c r="B258" s="293"/>
      <c r="C258" s="1052"/>
      <c r="D258" s="1052"/>
      <c r="E258" s="1052"/>
      <c r="F258" s="1051"/>
      <c r="G258" s="1049"/>
      <c r="H258" s="1050"/>
      <c r="I258" s="1050"/>
      <c r="J258" s="1051"/>
      <c r="K258" s="1049"/>
      <c r="L258" s="1050"/>
      <c r="M258" s="370"/>
    </row>
    <row r="259" spans="1:13">
      <c r="A259" s="1169" t="str">
        <f t="shared" si="103"/>
        <v>8.4 - 215 - LIBRARY AND INFORMATION SERVICES</v>
      </c>
      <c r="B259" s="293"/>
      <c r="C259" s="1052"/>
      <c r="D259" s="1052"/>
      <c r="E259" s="1052"/>
      <c r="F259" s="1051"/>
      <c r="G259" s="1049"/>
      <c r="H259" s="1050"/>
      <c r="I259" s="1050"/>
      <c r="J259" s="1051"/>
      <c r="K259" s="1049"/>
      <c r="L259" s="1050"/>
      <c r="M259" s="370"/>
    </row>
    <row r="260" spans="1:13">
      <c r="A260" s="1169" t="str">
        <f t="shared" si="103"/>
        <v>8.5 - 220 - CEMETERIES</v>
      </c>
      <c r="B260" s="293"/>
      <c r="C260" s="1052"/>
      <c r="D260" s="1052"/>
      <c r="E260" s="1052"/>
      <c r="F260" s="1051"/>
      <c r="G260" s="1049"/>
      <c r="H260" s="1050"/>
      <c r="I260" s="1050"/>
      <c r="J260" s="1051"/>
      <c r="K260" s="1049"/>
      <c r="L260" s="1050"/>
      <c r="M260" s="370"/>
    </row>
    <row r="261" spans="1:13">
      <c r="A261" s="1169" t="str">
        <f t="shared" si="103"/>
        <v>8.6 - 225 - COMMUNITY HALLS</v>
      </c>
      <c r="B261" s="293"/>
      <c r="C261" s="1052"/>
      <c r="D261" s="1052"/>
      <c r="E261" s="1052"/>
      <c r="F261" s="1051"/>
      <c r="G261" s="1049"/>
      <c r="H261" s="1050"/>
      <c r="I261" s="1050"/>
      <c r="J261" s="1051"/>
      <c r="K261" s="1049"/>
      <c r="L261" s="1050"/>
      <c r="M261" s="370"/>
    </row>
    <row r="262" spans="1:13">
      <c r="A262" s="1169" t="str">
        <f t="shared" si="103"/>
        <v>8.7 - 230 - KLOOF HOLIDAY RESORT</v>
      </c>
      <c r="B262" s="293"/>
      <c r="C262" s="1052"/>
      <c r="D262" s="1052"/>
      <c r="E262" s="1052"/>
      <c r="F262" s="1051"/>
      <c r="G262" s="1049"/>
      <c r="H262" s="1050"/>
      <c r="I262" s="1050"/>
      <c r="J262" s="1051"/>
      <c r="K262" s="1049"/>
      <c r="L262" s="1050"/>
      <c r="M262" s="370"/>
    </row>
    <row r="263" spans="1:13">
      <c r="A263" s="1169" t="str">
        <f t="shared" si="103"/>
        <v>8.8 - 235 - PARKS AND OPEN AREAS</v>
      </c>
      <c r="B263" s="293"/>
      <c r="C263" s="1052"/>
      <c r="D263" s="1052"/>
      <c r="E263" s="1052"/>
      <c r="F263" s="1051"/>
      <c r="G263" s="1049"/>
      <c r="H263" s="1050"/>
      <c r="I263" s="1050"/>
      <c r="J263" s="1051"/>
      <c r="K263" s="1049"/>
      <c r="L263" s="1050"/>
      <c r="M263" s="370"/>
    </row>
    <row r="264" spans="1:13">
      <c r="A264" s="1169" t="str">
        <f t="shared" si="103"/>
        <v>8.9 - 245 - SPORT FACILITIES</v>
      </c>
      <c r="B264" s="293"/>
      <c r="C264" s="1052"/>
      <c r="D264" s="1052"/>
      <c r="E264" s="1052"/>
      <c r="F264" s="1051"/>
      <c r="G264" s="1049"/>
      <c r="H264" s="1050"/>
      <c r="I264" s="1050"/>
      <c r="J264" s="1051"/>
      <c r="K264" s="1049"/>
      <c r="L264" s="1050"/>
      <c r="M264" s="370"/>
    </row>
    <row r="265" spans="1:13">
      <c r="A265" s="1169" t="str">
        <f t="shared" si="103"/>
        <v>8.10 - 250 - SWIMMING POOLS</v>
      </c>
      <c r="B265" s="293"/>
      <c r="C265" s="1052"/>
      <c r="D265" s="1052"/>
      <c r="E265" s="1052"/>
      <c r="F265" s="1051"/>
      <c r="G265" s="1049"/>
      <c r="H265" s="1050"/>
      <c r="I265" s="1052"/>
      <c r="J265" s="1051"/>
      <c r="K265" s="1049"/>
      <c r="L265" s="1050"/>
      <c r="M265" s="370"/>
    </row>
    <row r="266" spans="1:13" ht="15" customHeight="1">
      <c r="A266" s="1169" t="str">
        <f t="shared" si="103"/>
        <v>Vote 9 - TECHNICAL AND INFRASTRUCTURE</v>
      </c>
      <c r="B266" s="293"/>
      <c r="C266" s="976">
        <f t="shared" ref="C266:L266" si="106">SUM(C267:C276)</f>
        <v>0</v>
      </c>
      <c r="D266" s="976">
        <f t="shared" si="106"/>
        <v>0</v>
      </c>
      <c r="E266" s="977">
        <f t="shared" si="106"/>
        <v>0</v>
      </c>
      <c r="F266" s="978">
        <f t="shared" si="106"/>
        <v>0</v>
      </c>
      <c r="G266" s="976">
        <f t="shared" si="106"/>
        <v>0</v>
      </c>
      <c r="H266" s="977">
        <f t="shared" si="106"/>
        <v>0</v>
      </c>
      <c r="I266" s="979">
        <f t="shared" si="106"/>
        <v>0</v>
      </c>
      <c r="J266" s="978">
        <f t="shared" si="106"/>
        <v>0</v>
      </c>
      <c r="K266" s="976">
        <f t="shared" si="106"/>
        <v>0</v>
      </c>
      <c r="L266" s="977">
        <f t="shared" si="106"/>
        <v>0</v>
      </c>
      <c r="M266" s="370"/>
    </row>
    <row r="267" spans="1:13">
      <c r="A267" s="1169" t="str">
        <f t="shared" si="103"/>
        <v>9.1 - 300 - OFFICE OF THE DIRECTOR TECHNICAL SERVICSE AND INFRASTRUCTURE DEVELOPMENT</v>
      </c>
      <c r="B267" s="293"/>
      <c r="C267" s="1052"/>
      <c r="D267" s="1052"/>
      <c r="E267" s="1052"/>
      <c r="F267" s="1051"/>
      <c r="G267" s="1049"/>
      <c r="H267" s="1050"/>
      <c r="I267" s="1052"/>
      <c r="J267" s="1051"/>
      <c r="K267" s="1049"/>
      <c r="L267" s="1050"/>
      <c r="M267" s="370"/>
    </row>
    <row r="268" spans="1:13">
      <c r="A268" s="1169" t="str">
        <f t="shared" si="103"/>
        <v>9.2 - 305 - CIVIL FACILITIES DEVELOPMENT AND MANAGEMENT</v>
      </c>
      <c r="B268" s="293"/>
      <c r="C268" s="1052"/>
      <c r="D268" s="1052"/>
      <c r="E268" s="1052"/>
      <c r="F268" s="1051"/>
      <c r="G268" s="1049"/>
      <c r="H268" s="1050"/>
      <c r="I268" s="1050"/>
      <c r="J268" s="1051"/>
      <c r="K268" s="1049"/>
      <c r="L268" s="1050"/>
      <c r="M268" s="370"/>
    </row>
    <row r="269" spans="1:13">
      <c r="A269" s="1169" t="str">
        <f t="shared" si="103"/>
        <v>9.3 - 310 - ELECTRICAL ENGINEERING SERVICES</v>
      </c>
      <c r="B269" s="293"/>
      <c r="C269" s="1052"/>
      <c r="D269" s="1052"/>
      <c r="E269" s="1052"/>
      <c r="F269" s="1051"/>
      <c r="G269" s="1049"/>
      <c r="H269" s="1050"/>
      <c r="I269" s="1050"/>
      <c r="J269" s="1051"/>
      <c r="K269" s="1049"/>
      <c r="L269" s="1050"/>
      <c r="M269" s="370"/>
    </row>
    <row r="270" spans="1:13">
      <c r="A270" s="1169" t="str">
        <f t="shared" si="103"/>
        <v>9.4 - 315 - STREET LIGHTING</v>
      </c>
      <c r="B270" s="293"/>
      <c r="C270" s="1052"/>
      <c r="D270" s="1052"/>
      <c r="E270" s="1052"/>
      <c r="F270" s="1051"/>
      <c r="G270" s="1049"/>
      <c r="H270" s="1050"/>
      <c r="I270" s="1050"/>
      <c r="J270" s="1051"/>
      <c r="K270" s="1049"/>
      <c r="L270" s="1050"/>
      <c r="M270" s="370"/>
    </row>
    <row r="271" spans="1:13">
      <c r="A271" s="1169" t="str">
        <f t="shared" si="103"/>
        <v>9.5 - 335 - ROADS AND STORMWATER</v>
      </c>
      <c r="B271" s="293"/>
      <c r="C271" s="1052"/>
      <c r="D271" s="1052"/>
      <c r="E271" s="1052"/>
      <c r="F271" s="1051"/>
      <c r="G271" s="1049"/>
      <c r="H271" s="1050"/>
      <c r="I271" s="1050"/>
      <c r="J271" s="1051"/>
      <c r="K271" s="1049"/>
      <c r="L271" s="1050"/>
      <c r="M271" s="370"/>
    </row>
    <row r="272" spans="1:13">
      <c r="A272" s="1169" t="str">
        <f t="shared" si="103"/>
        <v>9.6 - 325 - MECHANICAL ENGINEERING SERVICES</v>
      </c>
      <c r="B272" s="293"/>
      <c r="C272" s="1052"/>
      <c r="D272" s="1052"/>
      <c r="E272" s="1052"/>
      <c r="F272" s="1051"/>
      <c r="G272" s="1049"/>
      <c r="H272" s="1050"/>
      <c r="I272" s="1050"/>
      <c r="J272" s="1051"/>
      <c r="K272" s="1049"/>
      <c r="L272" s="1050"/>
      <c r="M272" s="370"/>
    </row>
    <row r="273" spans="1:13">
      <c r="A273" s="1169" t="str">
        <f t="shared" si="103"/>
        <v>9.7 - 340 - WATER SERVICE &amp; 341 - BOSPOORT WATERWORKS</v>
      </c>
      <c r="B273" s="293"/>
      <c r="C273" s="1052"/>
      <c r="D273" s="1052"/>
      <c r="E273" s="1052"/>
      <c r="F273" s="1051"/>
      <c r="G273" s="1049"/>
      <c r="H273" s="1050"/>
      <c r="I273" s="1050"/>
      <c r="J273" s="1051"/>
      <c r="K273" s="1049"/>
      <c r="L273" s="1050"/>
      <c r="M273" s="370"/>
    </row>
    <row r="274" spans="1:13">
      <c r="A274" s="1169" t="str">
        <f t="shared" si="103"/>
        <v>9.8 - 345 - SANITATION SERVICE</v>
      </c>
      <c r="B274" s="293"/>
      <c r="C274" s="1052"/>
      <c r="D274" s="1052"/>
      <c r="E274" s="1052"/>
      <c r="F274" s="1051"/>
      <c r="G274" s="1049"/>
      <c r="H274" s="1050"/>
      <c r="I274" s="1050"/>
      <c r="J274" s="1051"/>
      <c r="K274" s="1049"/>
      <c r="L274" s="1050"/>
      <c r="M274" s="370"/>
    </row>
    <row r="275" spans="1:13">
      <c r="A275" s="1169" t="str">
        <f t="shared" si="103"/>
        <v>9.9 - 350 - SEWERAGE PURIFICATION</v>
      </c>
      <c r="B275" s="293"/>
      <c r="C275" s="1052"/>
      <c r="D275" s="1052"/>
      <c r="E275" s="1052"/>
      <c r="F275" s="1051"/>
      <c r="G275" s="1049"/>
      <c r="H275" s="1050"/>
      <c r="I275" s="1050"/>
      <c r="J275" s="1051"/>
      <c r="K275" s="1049"/>
      <c r="L275" s="1050"/>
      <c r="M275" s="370"/>
    </row>
    <row r="276" spans="1:13">
      <c r="A276" s="1169" t="str">
        <f t="shared" si="103"/>
        <v>9.10 - 360 - WASTE MANAGEMENT</v>
      </c>
      <c r="B276" s="293"/>
      <c r="C276" s="1052"/>
      <c r="D276" s="1052"/>
      <c r="E276" s="1052"/>
      <c r="F276" s="1051"/>
      <c r="G276" s="1049"/>
      <c r="H276" s="1050"/>
      <c r="I276" s="1050"/>
      <c r="J276" s="1051"/>
      <c r="K276" s="1049"/>
      <c r="L276" s="1050"/>
      <c r="M276" s="370"/>
    </row>
    <row r="277" spans="1:13" ht="15" customHeight="1">
      <c r="A277" s="1169" t="str">
        <f t="shared" si="103"/>
        <v>Vote 10 - RUSTENBURG WATER SERVICE TRUST</v>
      </c>
      <c r="B277" s="293"/>
      <c r="C277" s="976">
        <f t="shared" ref="C277:L277" si="107">SUM(C278:C287)</f>
        <v>0</v>
      </c>
      <c r="D277" s="976">
        <f t="shared" si="107"/>
        <v>0</v>
      </c>
      <c r="E277" s="977">
        <f t="shared" si="107"/>
        <v>0</v>
      </c>
      <c r="F277" s="978">
        <f t="shared" si="107"/>
        <v>0</v>
      </c>
      <c r="G277" s="976">
        <f t="shared" si="107"/>
        <v>0</v>
      </c>
      <c r="H277" s="977">
        <f t="shared" si="107"/>
        <v>0</v>
      </c>
      <c r="I277" s="979">
        <f t="shared" si="107"/>
        <v>0</v>
      </c>
      <c r="J277" s="978">
        <f t="shared" si="107"/>
        <v>0</v>
      </c>
      <c r="K277" s="976">
        <f t="shared" si="107"/>
        <v>0</v>
      </c>
      <c r="L277" s="977">
        <f t="shared" si="107"/>
        <v>0</v>
      </c>
      <c r="M277" s="370"/>
    </row>
    <row r="278" spans="1:13">
      <c r="A278" s="1169" t="str">
        <f t="shared" si="103"/>
        <v>10.1 - RUSTENBURG WATER SERVICE TRUST</v>
      </c>
      <c r="B278" s="293"/>
      <c r="C278" s="1049"/>
      <c r="D278" s="1049"/>
      <c r="E278" s="1052"/>
      <c r="F278" s="1051"/>
      <c r="G278" s="1049"/>
      <c r="H278" s="1050"/>
      <c r="I278" s="1052"/>
      <c r="J278" s="1051"/>
      <c r="K278" s="1049"/>
      <c r="L278" s="1050"/>
      <c r="M278" s="370"/>
    </row>
    <row r="279" spans="1:13">
      <c r="A279" s="1169">
        <f t="shared" si="103"/>
        <v>0</v>
      </c>
      <c r="B279" s="293"/>
      <c r="C279" s="1049"/>
      <c r="D279" s="1049"/>
      <c r="E279" s="1052"/>
      <c r="F279" s="1051"/>
      <c r="G279" s="1049"/>
      <c r="H279" s="1050"/>
      <c r="I279" s="1052"/>
      <c r="J279" s="1051"/>
      <c r="K279" s="1049"/>
      <c r="L279" s="1050"/>
      <c r="M279" s="370"/>
    </row>
    <row r="280" spans="1:13">
      <c r="A280" s="1169">
        <f t="shared" si="103"/>
        <v>0</v>
      </c>
      <c r="B280" s="293"/>
      <c r="C280" s="1049"/>
      <c r="D280" s="1049"/>
      <c r="E280" s="1052"/>
      <c r="F280" s="1051"/>
      <c r="G280" s="1049"/>
      <c r="H280" s="1050"/>
      <c r="I280" s="1052"/>
      <c r="J280" s="1051"/>
      <c r="K280" s="1049"/>
      <c r="L280" s="1050"/>
      <c r="M280" s="370"/>
    </row>
    <row r="281" spans="1:13">
      <c r="A281" s="1169">
        <f t="shared" si="103"/>
        <v>0</v>
      </c>
      <c r="B281" s="293"/>
      <c r="C281" s="1049"/>
      <c r="D281" s="1049"/>
      <c r="E281" s="1052"/>
      <c r="F281" s="1051"/>
      <c r="G281" s="1049"/>
      <c r="H281" s="1050"/>
      <c r="I281" s="1052"/>
      <c r="J281" s="1051"/>
      <c r="K281" s="1049"/>
      <c r="L281" s="1050"/>
      <c r="M281" s="370"/>
    </row>
    <row r="282" spans="1:13">
      <c r="A282" s="1169">
        <f t="shared" si="103"/>
        <v>0</v>
      </c>
      <c r="B282" s="293"/>
      <c r="C282" s="1049"/>
      <c r="D282" s="1049"/>
      <c r="E282" s="1052"/>
      <c r="F282" s="1051"/>
      <c r="G282" s="1049"/>
      <c r="H282" s="1050"/>
      <c r="I282" s="1052"/>
      <c r="J282" s="1051"/>
      <c r="K282" s="1049"/>
      <c r="L282" s="1050"/>
      <c r="M282" s="370"/>
    </row>
    <row r="283" spans="1:13">
      <c r="A283" s="1169">
        <f t="shared" si="103"/>
        <v>0</v>
      </c>
      <c r="B283" s="293"/>
      <c r="C283" s="1049"/>
      <c r="D283" s="1049"/>
      <c r="E283" s="1052"/>
      <c r="F283" s="1051"/>
      <c r="G283" s="1049"/>
      <c r="H283" s="1050"/>
      <c r="I283" s="1052"/>
      <c r="J283" s="1051"/>
      <c r="K283" s="1049"/>
      <c r="L283" s="1050"/>
      <c r="M283" s="370"/>
    </row>
    <row r="284" spans="1:13">
      <c r="A284" s="1169">
        <f t="shared" si="103"/>
        <v>0</v>
      </c>
      <c r="B284" s="293"/>
      <c r="C284" s="1049"/>
      <c r="D284" s="1049"/>
      <c r="E284" s="1052"/>
      <c r="F284" s="1051"/>
      <c r="G284" s="1049"/>
      <c r="H284" s="1050"/>
      <c r="I284" s="1052"/>
      <c r="J284" s="1051"/>
      <c r="K284" s="1049"/>
      <c r="L284" s="1050"/>
      <c r="M284" s="370"/>
    </row>
    <row r="285" spans="1:13">
      <c r="A285" s="1169">
        <f t="shared" si="103"/>
        <v>0</v>
      </c>
      <c r="B285" s="293"/>
      <c r="C285" s="1049"/>
      <c r="D285" s="1049"/>
      <c r="E285" s="1052"/>
      <c r="F285" s="1051"/>
      <c r="G285" s="1049"/>
      <c r="H285" s="1050"/>
      <c r="I285" s="1052"/>
      <c r="J285" s="1051"/>
      <c r="K285" s="1049"/>
      <c r="L285" s="1050"/>
      <c r="M285" s="370"/>
    </row>
    <row r="286" spans="1:13">
      <c r="A286" s="1169">
        <f t="shared" si="103"/>
        <v>0</v>
      </c>
      <c r="B286" s="293"/>
      <c r="C286" s="1049"/>
      <c r="D286" s="1049"/>
      <c r="E286" s="1052"/>
      <c r="F286" s="1051"/>
      <c r="G286" s="1049"/>
      <c r="H286" s="1050"/>
      <c r="I286" s="1052"/>
      <c r="J286" s="1051"/>
      <c r="K286" s="1049"/>
      <c r="L286" s="1050"/>
      <c r="M286" s="370"/>
    </row>
    <row r="287" spans="1:13">
      <c r="A287" s="1169">
        <f t="shared" si="103"/>
        <v>0</v>
      </c>
      <c r="B287" s="293"/>
      <c r="C287" s="1049"/>
      <c r="D287" s="1049"/>
      <c r="E287" s="1052"/>
      <c r="F287" s="1051"/>
      <c r="G287" s="1049"/>
      <c r="H287" s="1050"/>
      <c r="I287" s="1052"/>
      <c r="J287" s="1051"/>
      <c r="K287" s="1049"/>
      <c r="L287" s="1050"/>
      <c r="M287" s="370"/>
    </row>
    <row r="288" spans="1:13" ht="15" customHeight="1">
      <c r="A288" s="1169" t="str">
        <f t="shared" si="103"/>
        <v>Vote 11 - [NAME OF VOTE 11]</v>
      </c>
      <c r="B288" s="293"/>
      <c r="C288" s="976">
        <f t="shared" ref="C288:L288" si="108">SUM(C289:C298)</f>
        <v>0</v>
      </c>
      <c r="D288" s="976">
        <f t="shared" si="108"/>
        <v>0</v>
      </c>
      <c r="E288" s="977">
        <f t="shared" si="108"/>
        <v>0</v>
      </c>
      <c r="F288" s="978">
        <f t="shared" si="108"/>
        <v>0</v>
      </c>
      <c r="G288" s="976">
        <f t="shared" si="108"/>
        <v>0</v>
      </c>
      <c r="H288" s="977">
        <f t="shared" si="108"/>
        <v>0</v>
      </c>
      <c r="I288" s="979">
        <f t="shared" si="108"/>
        <v>0</v>
      </c>
      <c r="J288" s="978">
        <f t="shared" si="108"/>
        <v>0</v>
      </c>
      <c r="K288" s="976">
        <f t="shared" si="108"/>
        <v>0</v>
      </c>
      <c r="L288" s="977">
        <f t="shared" si="108"/>
        <v>0</v>
      </c>
      <c r="M288" s="370"/>
    </row>
    <row r="289" spans="1:13">
      <c r="A289" s="1169" t="str">
        <f t="shared" si="103"/>
        <v>11.1 - [Name of sub-vote]</v>
      </c>
      <c r="B289" s="293"/>
      <c r="C289" s="1049"/>
      <c r="D289" s="1049"/>
      <c r="E289" s="1052"/>
      <c r="F289" s="1051"/>
      <c r="G289" s="1049"/>
      <c r="H289" s="1050"/>
      <c r="I289" s="1052"/>
      <c r="J289" s="1051"/>
      <c r="K289" s="1049"/>
      <c r="L289" s="1050"/>
      <c r="M289" s="370"/>
    </row>
    <row r="290" spans="1:13">
      <c r="A290" s="1169">
        <f t="shared" si="103"/>
        <v>0</v>
      </c>
      <c r="B290" s="293"/>
      <c r="C290" s="1049"/>
      <c r="D290" s="1049"/>
      <c r="E290" s="1052"/>
      <c r="F290" s="1051"/>
      <c r="G290" s="1049"/>
      <c r="H290" s="1050"/>
      <c r="I290" s="1052"/>
      <c r="J290" s="1051"/>
      <c r="K290" s="1049"/>
      <c r="L290" s="1050"/>
      <c r="M290" s="370"/>
    </row>
    <row r="291" spans="1:13">
      <c r="A291" s="1169">
        <f t="shared" si="103"/>
        <v>0</v>
      </c>
      <c r="B291" s="293"/>
      <c r="C291" s="1049"/>
      <c r="D291" s="1049"/>
      <c r="E291" s="1052"/>
      <c r="F291" s="1051"/>
      <c r="G291" s="1049"/>
      <c r="H291" s="1050"/>
      <c r="I291" s="1052"/>
      <c r="J291" s="1051"/>
      <c r="K291" s="1049"/>
      <c r="L291" s="1050"/>
      <c r="M291" s="370"/>
    </row>
    <row r="292" spans="1:13">
      <c r="A292" s="1169">
        <f t="shared" si="103"/>
        <v>0</v>
      </c>
      <c r="B292" s="293"/>
      <c r="C292" s="1049"/>
      <c r="D292" s="1049"/>
      <c r="E292" s="1052"/>
      <c r="F292" s="1051"/>
      <c r="G292" s="1049"/>
      <c r="H292" s="1050"/>
      <c r="I292" s="1052"/>
      <c r="J292" s="1051"/>
      <c r="K292" s="1049"/>
      <c r="L292" s="1050"/>
      <c r="M292" s="370"/>
    </row>
    <row r="293" spans="1:13">
      <c r="A293" s="1169">
        <f t="shared" si="103"/>
        <v>0</v>
      </c>
      <c r="B293" s="293"/>
      <c r="C293" s="1049"/>
      <c r="D293" s="1049"/>
      <c r="E293" s="1052"/>
      <c r="F293" s="1051"/>
      <c r="G293" s="1049"/>
      <c r="H293" s="1050"/>
      <c r="I293" s="1052"/>
      <c r="J293" s="1051"/>
      <c r="K293" s="1049"/>
      <c r="L293" s="1050"/>
      <c r="M293" s="370"/>
    </row>
    <row r="294" spans="1:13">
      <c r="A294" s="1169">
        <f t="shared" si="103"/>
        <v>0</v>
      </c>
      <c r="B294" s="293"/>
      <c r="C294" s="1049"/>
      <c r="D294" s="1049"/>
      <c r="E294" s="1052"/>
      <c r="F294" s="1051"/>
      <c r="G294" s="1049"/>
      <c r="H294" s="1050"/>
      <c r="I294" s="1052"/>
      <c r="J294" s="1051"/>
      <c r="K294" s="1049"/>
      <c r="L294" s="1050"/>
      <c r="M294" s="370"/>
    </row>
    <row r="295" spans="1:13">
      <c r="A295" s="1169">
        <f t="shared" si="103"/>
        <v>0</v>
      </c>
      <c r="B295" s="293"/>
      <c r="C295" s="1049"/>
      <c r="D295" s="1049"/>
      <c r="E295" s="1052"/>
      <c r="F295" s="1051"/>
      <c r="G295" s="1049"/>
      <c r="H295" s="1050"/>
      <c r="I295" s="1052"/>
      <c r="J295" s="1051"/>
      <c r="K295" s="1049"/>
      <c r="L295" s="1050"/>
      <c r="M295" s="370"/>
    </row>
    <row r="296" spans="1:13">
      <c r="A296" s="1169">
        <f t="shared" si="103"/>
        <v>0</v>
      </c>
      <c r="B296" s="293"/>
      <c r="C296" s="1049"/>
      <c r="D296" s="1049"/>
      <c r="E296" s="1052"/>
      <c r="F296" s="1051"/>
      <c r="G296" s="1049"/>
      <c r="H296" s="1050"/>
      <c r="I296" s="1052"/>
      <c r="J296" s="1051"/>
      <c r="K296" s="1049"/>
      <c r="L296" s="1050"/>
      <c r="M296" s="370"/>
    </row>
    <row r="297" spans="1:13">
      <c r="A297" s="1169">
        <f t="shared" si="103"/>
        <v>0</v>
      </c>
      <c r="B297" s="293"/>
      <c r="C297" s="1049"/>
      <c r="D297" s="1049"/>
      <c r="E297" s="1052"/>
      <c r="F297" s="1051"/>
      <c r="G297" s="1049"/>
      <c r="H297" s="1050"/>
      <c r="I297" s="1052"/>
      <c r="J297" s="1051"/>
      <c r="K297" s="1049"/>
      <c r="L297" s="1050"/>
      <c r="M297" s="370"/>
    </row>
    <row r="298" spans="1:13">
      <c r="A298" s="1169">
        <f t="shared" si="103"/>
        <v>0</v>
      </c>
      <c r="B298" s="293"/>
      <c r="C298" s="1049"/>
      <c r="D298" s="1049"/>
      <c r="E298" s="1052"/>
      <c r="F298" s="1051"/>
      <c r="G298" s="1049"/>
      <c r="H298" s="1050"/>
      <c r="I298" s="1052"/>
      <c r="J298" s="1051"/>
      <c r="K298" s="1049"/>
      <c r="L298" s="1050"/>
      <c r="M298" s="370"/>
    </row>
    <row r="299" spans="1:13" ht="15" customHeight="1">
      <c r="A299" s="1169" t="str">
        <f t="shared" si="103"/>
        <v>Vote 12 - [NAME OF VOTE 12]</v>
      </c>
      <c r="B299" s="293"/>
      <c r="C299" s="976">
        <f t="shared" ref="C299:L299" si="109">SUM(C300:C309)</f>
        <v>0</v>
      </c>
      <c r="D299" s="976">
        <f t="shared" si="109"/>
        <v>0</v>
      </c>
      <c r="E299" s="977">
        <f t="shared" si="109"/>
        <v>0</v>
      </c>
      <c r="F299" s="978">
        <f t="shared" si="109"/>
        <v>0</v>
      </c>
      <c r="G299" s="976">
        <f t="shared" si="109"/>
        <v>0</v>
      </c>
      <c r="H299" s="977">
        <f t="shared" si="109"/>
        <v>0</v>
      </c>
      <c r="I299" s="979">
        <f t="shared" si="109"/>
        <v>0</v>
      </c>
      <c r="J299" s="978">
        <f t="shared" si="109"/>
        <v>0</v>
      </c>
      <c r="K299" s="976">
        <f t="shared" si="109"/>
        <v>0</v>
      </c>
      <c r="L299" s="977">
        <f t="shared" si="109"/>
        <v>0</v>
      </c>
      <c r="M299" s="370"/>
    </row>
    <row r="300" spans="1:13">
      <c r="A300" s="1169" t="str">
        <f t="shared" si="103"/>
        <v>12.1 - [Name of sub-vote]</v>
      </c>
      <c r="B300" s="293"/>
      <c r="C300" s="1049"/>
      <c r="D300" s="1049"/>
      <c r="E300" s="1052"/>
      <c r="F300" s="1051"/>
      <c r="G300" s="1049"/>
      <c r="H300" s="1050"/>
      <c r="I300" s="1052"/>
      <c r="J300" s="1051"/>
      <c r="K300" s="1049"/>
      <c r="L300" s="1050"/>
      <c r="M300" s="370"/>
    </row>
    <row r="301" spans="1:13">
      <c r="A301" s="1169">
        <f t="shared" si="103"/>
        <v>0</v>
      </c>
      <c r="B301" s="293"/>
      <c r="C301" s="1049"/>
      <c r="D301" s="1049"/>
      <c r="E301" s="1052"/>
      <c r="F301" s="1051"/>
      <c r="G301" s="1049"/>
      <c r="H301" s="1050"/>
      <c r="I301" s="1052"/>
      <c r="J301" s="1051"/>
      <c r="K301" s="1049"/>
      <c r="L301" s="1050"/>
      <c r="M301" s="370"/>
    </row>
    <row r="302" spans="1:13">
      <c r="A302" s="1169">
        <f t="shared" si="103"/>
        <v>0</v>
      </c>
      <c r="B302" s="293"/>
      <c r="C302" s="1049"/>
      <c r="D302" s="1049"/>
      <c r="E302" s="1052"/>
      <c r="F302" s="1051"/>
      <c r="G302" s="1049"/>
      <c r="H302" s="1050"/>
      <c r="I302" s="1052"/>
      <c r="J302" s="1051"/>
      <c r="K302" s="1049"/>
      <c r="L302" s="1050"/>
      <c r="M302" s="370"/>
    </row>
    <row r="303" spans="1:13">
      <c r="A303" s="1169">
        <f t="shared" si="103"/>
        <v>0</v>
      </c>
      <c r="B303" s="293"/>
      <c r="C303" s="1049"/>
      <c r="D303" s="1049"/>
      <c r="E303" s="1052"/>
      <c r="F303" s="1051"/>
      <c r="G303" s="1049"/>
      <c r="H303" s="1050"/>
      <c r="I303" s="1052"/>
      <c r="J303" s="1051"/>
      <c r="K303" s="1049"/>
      <c r="L303" s="1050"/>
      <c r="M303" s="370"/>
    </row>
    <row r="304" spans="1:13">
      <c r="A304" s="1169">
        <f t="shared" si="103"/>
        <v>0</v>
      </c>
      <c r="B304" s="293"/>
      <c r="C304" s="1049"/>
      <c r="D304" s="1049"/>
      <c r="E304" s="1052"/>
      <c r="F304" s="1051"/>
      <c r="G304" s="1049"/>
      <c r="H304" s="1050"/>
      <c r="I304" s="1052"/>
      <c r="J304" s="1051"/>
      <c r="K304" s="1049"/>
      <c r="L304" s="1050"/>
      <c r="M304" s="370"/>
    </row>
    <row r="305" spans="1:13">
      <c r="A305" s="1169">
        <f t="shared" si="103"/>
        <v>0</v>
      </c>
      <c r="B305" s="293"/>
      <c r="C305" s="1049"/>
      <c r="D305" s="1049"/>
      <c r="E305" s="1052"/>
      <c r="F305" s="1051"/>
      <c r="G305" s="1049"/>
      <c r="H305" s="1050"/>
      <c r="I305" s="1052"/>
      <c r="J305" s="1051"/>
      <c r="K305" s="1049"/>
      <c r="L305" s="1050"/>
      <c r="M305" s="370"/>
    </row>
    <row r="306" spans="1:13">
      <c r="A306" s="1169">
        <f t="shared" si="103"/>
        <v>0</v>
      </c>
      <c r="B306" s="293"/>
      <c r="C306" s="1049"/>
      <c r="D306" s="1049"/>
      <c r="E306" s="1052"/>
      <c r="F306" s="1051"/>
      <c r="G306" s="1049"/>
      <c r="H306" s="1050"/>
      <c r="I306" s="1052"/>
      <c r="J306" s="1051"/>
      <c r="K306" s="1049"/>
      <c r="L306" s="1050"/>
      <c r="M306" s="370"/>
    </row>
    <row r="307" spans="1:13">
      <c r="A307" s="1169">
        <f t="shared" ref="A307:A342" si="110">A136</f>
        <v>0</v>
      </c>
      <c r="B307" s="293"/>
      <c r="C307" s="1049"/>
      <c r="D307" s="1049"/>
      <c r="E307" s="1052"/>
      <c r="F307" s="1051"/>
      <c r="G307" s="1049"/>
      <c r="H307" s="1050"/>
      <c r="I307" s="1052"/>
      <c r="J307" s="1051"/>
      <c r="K307" s="1049"/>
      <c r="L307" s="1050"/>
      <c r="M307" s="370"/>
    </row>
    <row r="308" spans="1:13">
      <c r="A308" s="1169">
        <f t="shared" si="110"/>
        <v>0</v>
      </c>
      <c r="B308" s="293"/>
      <c r="C308" s="1049"/>
      <c r="D308" s="1049"/>
      <c r="E308" s="1052"/>
      <c r="F308" s="1051"/>
      <c r="G308" s="1049"/>
      <c r="H308" s="1050"/>
      <c r="I308" s="1052"/>
      <c r="J308" s="1051"/>
      <c r="K308" s="1049"/>
      <c r="L308" s="1050"/>
      <c r="M308" s="370"/>
    </row>
    <row r="309" spans="1:13">
      <c r="A309" s="1169">
        <f t="shared" si="110"/>
        <v>0</v>
      </c>
      <c r="B309" s="293"/>
      <c r="C309" s="1049"/>
      <c r="D309" s="1049"/>
      <c r="E309" s="1052"/>
      <c r="F309" s="1051"/>
      <c r="G309" s="1049"/>
      <c r="H309" s="1050"/>
      <c r="I309" s="1052"/>
      <c r="J309" s="1051"/>
      <c r="K309" s="1049"/>
      <c r="L309" s="1050"/>
      <c r="M309" s="370"/>
    </row>
    <row r="310" spans="1:13" ht="15" customHeight="1">
      <c r="A310" s="1169" t="str">
        <f t="shared" si="110"/>
        <v>Vote 13 - [NAME OF VOTE 13]</v>
      </c>
      <c r="B310" s="293"/>
      <c r="C310" s="976">
        <f t="shared" ref="C310:L310" si="111">SUM(C311:C320)</f>
        <v>0</v>
      </c>
      <c r="D310" s="976">
        <f t="shared" si="111"/>
        <v>0</v>
      </c>
      <c r="E310" s="977">
        <f t="shared" si="111"/>
        <v>0</v>
      </c>
      <c r="F310" s="978">
        <f t="shared" si="111"/>
        <v>0</v>
      </c>
      <c r="G310" s="976">
        <f t="shared" si="111"/>
        <v>0</v>
      </c>
      <c r="H310" s="977">
        <f t="shared" si="111"/>
        <v>0</v>
      </c>
      <c r="I310" s="979">
        <f t="shared" si="111"/>
        <v>0</v>
      </c>
      <c r="J310" s="978">
        <f t="shared" si="111"/>
        <v>0</v>
      </c>
      <c r="K310" s="976">
        <f t="shared" si="111"/>
        <v>0</v>
      </c>
      <c r="L310" s="977">
        <f t="shared" si="111"/>
        <v>0</v>
      </c>
      <c r="M310" s="370"/>
    </row>
    <row r="311" spans="1:13">
      <c r="A311" s="1169" t="str">
        <f t="shared" si="110"/>
        <v>13.1 - [Name of sub-vote]</v>
      </c>
      <c r="B311" s="293"/>
      <c r="C311" s="1049"/>
      <c r="D311" s="1049"/>
      <c r="E311" s="1052"/>
      <c r="F311" s="1051"/>
      <c r="G311" s="1049"/>
      <c r="H311" s="1050"/>
      <c r="I311" s="1052"/>
      <c r="J311" s="1051"/>
      <c r="K311" s="1049"/>
      <c r="L311" s="1050"/>
      <c r="M311" s="370"/>
    </row>
    <row r="312" spans="1:13">
      <c r="A312" s="1169">
        <f t="shared" si="110"/>
        <v>0</v>
      </c>
      <c r="B312" s="293"/>
      <c r="C312" s="1049"/>
      <c r="D312" s="1049"/>
      <c r="E312" s="1052"/>
      <c r="F312" s="1051"/>
      <c r="G312" s="1049"/>
      <c r="H312" s="1050"/>
      <c r="I312" s="1052"/>
      <c r="J312" s="1051"/>
      <c r="K312" s="1049"/>
      <c r="L312" s="1050"/>
      <c r="M312" s="370"/>
    </row>
    <row r="313" spans="1:13">
      <c r="A313" s="1169">
        <f t="shared" si="110"/>
        <v>0</v>
      </c>
      <c r="B313" s="293"/>
      <c r="C313" s="1049"/>
      <c r="D313" s="1049"/>
      <c r="E313" s="1052"/>
      <c r="F313" s="1051"/>
      <c r="G313" s="1049"/>
      <c r="H313" s="1050"/>
      <c r="I313" s="1052"/>
      <c r="J313" s="1051"/>
      <c r="K313" s="1049"/>
      <c r="L313" s="1050"/>
      <c r="M313" s="370"/>
    </row>
    <row r="314" spans="1:13">
      <c r="A314" s="1169">
        <f t="shared" si="110"/>
        <v>0</v>
      </c>
      <c r="B314" s="293"/>
      <c r="C314" s="1049"/>
      <c r="D314" s="1049"/>
      <c r="E314" s="1052"/>
      <c r="F314" s="1051"/>
      <c r="G314" s="1049"/>
      <c r="H314" s="1050"/>
      <c r="I314" s="1052"/>
      <c r="J314" s="1051"/>
      <c r="K314" s="1049"/>
      <c r="L314" s="1050"/>
      <c r="M314" s="370"/>
    </row>
    <row r="315" spans="1:13">
      <c r="A315" s="1169">
        <f t="shared" si="110"/>
        <v>0</v>
      </c>
      <c r="B315" s="293"/>
      <c r="C315" s="1049"/>
      <c r="D315" s="1049"/>
      <c r="E315" s="1052"/>
      <c r="F315" s="1051"/>
      <c r="G315" s="1049"/>
      <c r="H315" s="1050"/>
      <c r="I315" s="1052"/>
      <c r="J315" s="1051"/>
      <c r="K315" s="1049"/>
      <c r="L315" s="1050"/>
      <c r="M315" s="370"/>
    </row>
    <row r="316" spans="1:13">
      <c r="A316" s="1169">
        <f t="shared" si="110"/>
        <v>0</v>
      </c>
      <c r="B316" s="293"/>
      <c r="C316" s="1049"/>
      <c r="D316" s="1049"/>
      <c r="E316" s="1052"/>
      <c r="F316" s="1051"/>
      <c r="G316" s="1049"/>
      <c r="H316" s="1050"/>
      <c r="I316" s="1052"/>
      <c r="J316" s="1051"/>
      <c r="K316" s="1049"/>
      <c r="L316" s="1050"/>
      <c r="M316" s="370"/>
    </row>
    <row r="317" spans="1:13">
      <c r="A317" s="1169">
        <f t="shared" si="110"/>
        <v>0</v>
      </c>
      <c r="B317" s="293"/>
      <c r="C317" s="1049"/>
      <c r="D317" s="1049"/>
      <c r="E317" s="1052"/>
      <c r="F317" s="1051"/>
      <c r="G317" s="1049"/>
      <c r="H317" s="1050"/>
      <c r="I317" s="1052"/>
      <c r="J317" s="1051"/>
      <c r="K317" s="1049"/>
      <c r="L317" s="1050"/>
      <c r="M317" s="370"/>
    </row>
    <row r="318" spans="1:13">
      <c r="A318" s="1169">
        <f t="shared" si="110"/>
        <v>0</v>
      </c>
      <c r="B318" s="293"/>
      <c r="C318" s="1049"/>
      <c r="D318" s="1049"/>
      <c r="E318" s="1052"/>
      <c r="F318" s="1051"/>
      <c r="G318" s="1049"/>
      <c r="H318" s="1050"/>
      <c r="I318" s="1052"/>
      <c r="J318" s="1051"/>
      <c r="K318" s="1049"/>
      <c r="L318" s="1050"/>
      <c r="M318" s="370"/>
    </row>
    <row r="319" spans="1:13">
      <c r="A319" s="1169">
        <f t="shared" si="110"/>
        <v>0</v>
      </c>
      <c r="B319" s="293"/>
      <c r="C319" s="1049"/>
      <c r="D319" s="1049"/>
      <c r="E319" s="1052"/>
      <c r="F319" s="1051"/>
      <c r="G319" s="1049"/>
      <c r="H319" s="1050"/>
      <c r="I319" s="1052"/>
      <c r="J319" s="1051"/>
      <c r="K319" s="1049"/>
      <c r="L319" s="1050"/>
      <c r="M319" s="370"/>
    </row>
    <row r="320" spans="1:13">
      <c r="A320" s="1169">
        <f t="shared" si="110"/>
        <v>0</v>
      </c>
      <c r="B320" s="293"/>
      <c r="C320" s="1049"/>
      <c r="D320" s="1049"/>
      <c r="E320" s="1052"/>
      <c r="F320" s="1051"/>
      <c r="G320" s="1049"/>
      <c r="H320" s="1050"/>
      <c r="I320" s="1052"/>
      <c r="J320" s="1051"/>
      <c r="K320" s="1049"/>
      <c r="L320" s="1050"/>
      <c r="M320" s="370"/>
    </row>
    <row r="321" spans="1:13" ht="15" customHeight="1">
      <c r="A321" s="1169" t="str">
        <f t="shared" si="110"/>
        <v>Vote 14 - [NAME OF VOTE 14]</v>
      </c>
      <c r="B321" s="293"/>
      <c r="C321" s="976">
        <f t="shared" ref="C321:L321" si="112">SUM(C322:C331)</f>
        <v>0</v>
      </c>
      <c r="D321" s="976">
        <f t="shared" si="112"/>
        <v>0</v>
      </c>
      <c r="E321" s="977">
        <f t="shared" si="112"/>
        <v>0</v>
      </c>
      <c r="F321" s="978">
        <f t="shared" si="112"/>
        <v>0</v>
      </c>
      <c r="G321" s="976">
        <f t="shared" si="112"/>
        <v>0</v>
      </c>
      <c r="H321" s="977">
        <f t="shared" si="112"/>
        <v>0</v>
      </c>
      <c r="I321" s="979">
        <f t="shared" si="112"/>
        <v>0</v>
      </c>
      <c r="J321" s="978">
        <f t="shared" si="112"/>
        <v>0</v>
      </c>
      <c r="K321" s="976">
        <f t="shared" si="112"/>
        <v>0</v>
      </c>
      <c r="L321" s="977">
        <f t="shared" si="112"/>
        <v>0</v>
      </c>
      <c r="M321" s="370"/>
    </row>
    <row r="322" spans="1:13">
      <c r="A322" s="1169" t="str">
        <f t="shared" si="110"/>
        <v>14.1 - [Name of sub-vote]</v>
      </c>
      <c r="B322" s="293"/>
      <c r="C322" s="1049"/>
      <c r="D322" s="1049"/>
      <c r="E322" s="1052"/>
      <c r="F322" s="1051"/>
      <c r="G322" s="1049"/>
      <c r="H322" s="1050"/>
      <c r="I322" s="1052"/>
      <c r="J322" s="1051"/>
      <c r="K322" s="1049"/>
      <c r="L322" s="1050"/>
      <c r="M322" s="370"/>
    </row>
    <row r="323" spans="1:13">
      <c r="A323" s="1169">
        <f t="shared" si="110"/>
        <v>0</v>
      </c>
      <c r="B323" s="293"/>
      <c r="C323" s="1049"/>
      <c r="D323" s="1049"/>
      <c r="E323" s="1052"/>
      <c r="F323" s="1051"/>
      <c r="G323" s="1049"/>
      <c r="H323" s="1050"/>
      <c r="I323" s="1052"/>
      <c r="J323" s="1051"/>
      <c r="K323" s="1049"/>
      <c r="L323" s="1050"/>
      <c r="M323" s="370"/>
    </row>
    <row r="324" spans="1:13">
      <c r="A324" s="1169">
        <f t="shared" si="110"/>
        <v>0</v>
      </c>
      <c r="B324" s="293"/>
      <c r="C324" s="1049"/>
      <c r="D324" s="1049"/>
      <c r="E324" s="1052"/>
      <c r="F324" s="1051"/>
      <c r="G324" s="1049"/>
      <c r="H324" s="1050"/>
      <c r="I324" s="1052"/>
      <c r="J324" s="1051"/>
      <c r="K324" s="1049"/>
      <c r="L324" s="1050"/>
      <c r="M324" s="370"/>
    </row>
    <row r="325" spans="1:13">
      <c r="A325" s="1169">
        <f t="shared" si="110"/>
        <v>0</v>
      </c>
      <c r="B325" s="293"/>
      <c r="C325" s="1049"/>
      <c r="D325" s="1049"/>
      <c r="E325" s="1052"/>
      <c r="F325" s="1051"/>
      <c r="G325" s="1049"/>
      <c r="H325" s="1050"/>
      <c r="I325" s="1052"/>
      <c r="J325" s="1051"/>
      <c r="K325" s="1049"/>
      <c r="L325" s="1050"/>
      <c r="M325" s="370"/>
    </row>
    <row r="326" spans="1:13">
      <c r="A326" s="1169">
        <f t="shared" si="110"/>
        <v>0</v>
      </c>
      <c r="B326" s="293"/>
      <c r="C326" s="1049"/>
      <c r="D326" s="1049"/>
      <c r="E326" s="1052"/>
      <c r="F326" s="1051"/>
      <c r="G326" s="1049"/>
      <c r="H326" s="1050"/>
      <c r="I326" s="1052"/>
      <c r="J326" s="1051"/>
      <c r="K326" s="1049"/>
      <c r="L326" s="1050"/>
      <c r="M326" s="370"/>
    </row>
    <row r="327" spans="1:13">
      <c r="A327" s="1169">
        <f t="shared" si="110"/>
        <v>0</v>
      </c>
      <c r="B327" s="293"/>
      <c r="C327" s="1049"/>
      <c r="D327" s="1049"/>
      <c r="E327" s="1052"/>
      <c r="F327" s="1051"/>
      <c r="G327" s="1049"/>
      <c r="H327" s="1050"/>
      <c r="I327" s="1052"/>
      <c r="J327" s="1051"/>
      <c r="K327" s="1049"/>
      <c r="L327" s="1050"/>
      <c r="M327" s="370"/>
    </row>
    <row r="328" spans="1:13">
      <c r="A328" s="1169">
        <f t="shared" si="110"/>
        <v>0</v>
      </c>
      <c r="B328" s="293"/>
      <c r="C328" s="1049"/>
      <c r="D328" s="1049"/>
      <c r="E328" s="1052"/>
      <c r="F328" s="1051"/>
      <c r="G328" s="1049"/>
      <c r="H328" s="1050"/>
      <c r="I328" s="1052"/>
      <c r="J328" s="1051"/>
      <c r="K328" s="1049"/>
      <c r="L328" s="1050"/>
      <c r="M328" s="370"/>
    </row>
    <row r="329" spans="1:13">
      <c r="A329" s="1169">
        <f t="shared" si="110"/>
        <v>0</v>
      </c>
      <c r="B329" s="293"/>
      <c r="C329" s="1049"/>
      <c r="D329" s="1049"/>
      <c r="E329" s="1052"/>
      <c r="F329" s="1051"/>
      <c r="G329" s="1049"/>
      <c r="H329" s="1050"/>
      <c r="I329" s="1052"/>
      <c r="J329" s="1051"/>
      <c r="K329" s="1049"/>
      <c r="L329" s="1050"/>
      <c r="M329" s="370"/>
    </row>
    <row r="330" spans="1:13">
      <c r="A330" s="1169">
        <f t="shared" si="110"/>
        <v>0</v>
      </c>
      <c r="B330" s="293"/>
      <c r="C330" s="1049"/>
      <c r="D330" s="1049"/>
      <c r="E330" s="1052"/>
      <c r="F330" s="1051"/>
      <c r="G330" s="1049"/>
      <c r="H330" s="1050"/>
      <c r="I330" s="1052"/>
      <c r="J330" s="1051"/>
      <c r="K330" s="1049"/>
      <c r="L330" s="1050"/>
      <c r="M330" s="370"/>
    </row>
    <row r="331" spans="1:13">
      <c r="A331" s="1169">
        <f t="shared" si="110"/>
        <v>0</v>
      </c>
      <c r="B331" s="293"/>
      <c r="C331" s="1049"/>
      <c r="D331" s="1049"/>
      <c r="E331" s="1052"/>
      <c r="F331" s="1051"/>
      <c r="G331" s="1049"/>
      <c r="H331" s="1050"/>
      <c r="I331" s="1052"/>
      <c r="J331" s="1051"/>
      <c r="K331" s="1049"/>
      <c r="L331" s="1050"/>
      <c r="M331" s="370"/>
    </row>
    <row r="332" spans="1:13" ht="15" customHeight="1">
      <c r="A332" s="1169" t="str">
        <f t="shared" si="110"/>
        <v>Vote 15 - [NAME OF VOTE 15]</v>
      </c>
      <c r="B332" s="293"/>
      <c r="C332" s="976">
        <f t="shared" ref="C332:L332" si="113">SUM(C333:C342)</f>
        <v>0</v>
      </c>
      <c r="D332" s="976">
        <f t="shared" si="113"/>
        <v>0</v>
      </c>
      <c r="E332" s="977">
        <f t="shared" si="113"/>
        <v>0</v>
      </c>
      <c r="F332" s="978">
        <f t="shared" si="113"/>
        <v>0</v>
      </c>
      <c r="G332" s="976">
        <f t="shared" si="113"/>
        <v>0</v>
      </c>
      <c r="H332" s="977">
        <f t="shared" si="113"/>
        <v>0</v>
      </c>
      <c r="I332" s="979">
        <f t="shared" si="113"/>
        <v>0</v>
      </c>
      <c r="J332" s="978">
        <f t="shared" si="113"/>
        <v>0</v>
      </c>
      <c r="K332" s="976">
        <f t="shared" si="113"/>
        <v>0</v>
      </c>
      <c r="L332" s="977">
        <f t="shared" si="113"/>
        <v>0</v>
      </c>
      <c r="M332" s="370"/>
    </row>
    <row r="333" spans="1:13">
      <c r="A333" s="1169" t="str">
        <f t="shared" si="110"/>
        <v>15.1 - [Name of sub-vote]</v>
      </c>
      <c r="B333" s="293"/>
      <c r="C333" s="1049"/>
      <c r="D333" s="1049"/>
      <c r="E333" s="1052"/>
      <c r="F333" s="1051"/>
      <c r="G333" s="1049"/>
      <c r="H333" s="1050"/>
      <c r="I333" s="1052"/>
      <c r="J333" s="1051"/>
      <c r="K333" s="1049"/>
      <c r="L333" s="1050"/>
      <c r="M333" s="370"/>
    </row>
    <row r="334" spans="1:13">
      <c r="A334" s="1169">
        <f t="shared" si="110"/>
        <v>0</v>
      </c>
      <c r="B334" s="293"/>
      <c r="C334" s="1049"/>
      <c r="D334" s="1049"/>
      <c r="E334" s="1052"/>
      <c r="F334" s="1051"/>
      <c r="G334" s="1049"/>
      <c r="H334" s="1050"/>
      <c r="I334" s="1052"/>
      <c r="J334" s="1051"/>
      <c r="K334" s="1049"/>
      <c r="L334" s="1050"/>
      <c r="M334" s="370"/>
    </row>
    <row r="335" spans="1:13">
      <c r="A335" s="1169">
        <f t="shared" si="110"/>
        <v>0</v>
      </c>
      <c r="B335" s="293"/>
      <c r="C335" s="1049"/>
      <c r="D335" s="1049"/>
      <c r="E335" s="1052"/>
      <c r="F335" s="1051"/>
      <c r="G335" s="1049"/>
      <c r="H335" s="1050"/>
      <c r="I335" s="1052"/>
      <c r="J335" s="1051"/>
      <c r="K335" s="1049"/>
      <c r="L335" s="1050"/>
      <c r="M335" s="370"/>
    </row>
    <row r="336" spans="1:13">
      <c r="A336" s="1169">
        <f t="shared" si="110"/>
        <v>0</v>
      </c>
      <c r="B336" s="293"/>
      <c r="C336" s="1049"/>
      <c r="D336" s="1049"/>
      <c r="E336" s="1052"/>
      <c r="F336" s="1051"/>
      <c r="G336" s="1049"/>
      <c r="H336" s="1050"/>
      <c r="I336" s="1052"/>
      <c r="J336" s="1051"/>
      <c r="K336" s="1049"/>
      <c r="L336" s="1050"/>
      <c r="M336" s="370"/>
    </row>
    <row r="337" spans="1:13">
      <c r="A337" s="1169">
        <f t="shared" si="110"/>
        <v>0</v>
      </c>
      <c r="B337" s="293"/>
      <c r="C337" s="1049"/>
      <c r="D337" s="1049"/>
      <c r="E337" s="1052"/>
      <c r="F337" s="1051"/>
      <c r="G337" s="1049"/>
      <c r="H337" s="1050"/>
      <c r="I337" s="1052"/>
      <c r="J337" s="1051"/>
      <c r="K337" s="1049"/>
      <c r="L337" s="1050"/>
      <c r="M337" s="370"/>
    </row>
    <row r="338" spans="1:13">
      <c r="A338" s="1169">
        <f t="shared" si="110"/>
        <v>0</v>
      </c>
      <c r="B338" s="293"/>
      <c r="C338" s="1049"/>
      <c r="D338" s="1049"/>
      <c r="E338" s="1052"/>
      <c r="F338" s="1051"/>
      <c r="G338" s="1049"/>
      <c r="H338" s="1050"/>
      <c r="I338" s="1052"/>
      <c r="J338" s="1051"/>
      <c r="K338" s="1049"/>
      <c r="L338" s="1050"/>
      <c r="M338" s="370"/>
    </row>
    <row r="339" spans="1:13">
      <c r="A339" s="1169">
        <f t="shared" si="110"/>
        <v>0</v>
      </c>
      <c r="B339" s="293"/>
      <c r="C339" s="1049"/>
      <c r="D339" s="1049"/>
      <c r="E339" s="1052"/>
      <c r="F339" s="1051"/>
      <c r="G339" s="1049"/>
      <c r="H339" s="1050"/>
      <c r="I339" s="1052"/>
      <c r="J339" s="1051"/>
      <c r="K339" s="1049"/>
      <c r="L339" s="1050"/>
      <c r="M339" s="370"/>
    </row>
    <row r="340" spans="1:13">
      <c r="A340" s="1169">
        <f t="shared" si="110"/>
        <v>0</v>
      </c>
      <c r="B340" s="293"/>
      <c r="C340" s="1049"/>
      <c r="D340" s="1049"/>
      <c r="E340" s="1052"/>
      <c r="F340" s="1051"/>
      <c r="G340" s="1049"/>
      <c r="H340" s="1050"/>
      <c r="I340" s="1052"/>
      <c r="J340" s="1051"/>
      <c r="K340" s="1049"/>
      <c r="L340" s="1050"/>
      <c r="M340" s="370"/>
    </row>
    <row r="341" spans="1:13">
      <c r="A341" s="1169">
        <f t="shared" si="110"/>
        <v>0</v>
      </c>
      <c r="B341" s="293"/>
      <c r="C341" s="1049"/>
      <c r="D341" s="1049"/>
      <c r="E341" s="1052"/>
      <c r="F341" s="1051"/>
      <c r="G341" s="1049"/>
      <c r="H341" s="1050"/>
      <c r="I341" s="1052"/>
      <c r="J341" s="1051"/>
      <c r="K341" s="1049"/>
      <c r="L341" s="1050"/>
      <c r="M341" s="370"/>
    </row>
    <row r="342" spans="1:13">
      <c r="A342" s="1169">
        <f t="shared" si="110"/>
        <v>0</v>
      </c>
      <c r="B342" s="293"/>
      <c r="C342" s="1049"/>
      <c r="D342" s="1049"/>
      <c r="E342" s="1052"/>
      <c r="F342" s="1051"/>
      <c r="G342" s="1049"/>
      <c r="H342" s="1050"/>
      <c r="I342" s="1052"/>
      <c r="J342" s="1051"/>
      <c r="K342" s="1049"/>
      <c r="L342" s="1050"/>
      <c r="M342" s="370"/>
    </row>
    <row r="343" spans="1:13">
      <c r="A343" s="326" t="s">
        <v>1330</v>
      </c>
      <c r="B343" s="293"/>
      <c r="C343" s="198">
        <f>C176+C187+C200+C211+C222+C233+C244+C255+C266+C277+C288+C299+C310+C321+C332</f>
        <v>0</v>
      </c>
      <c r="D343" s="198">
        <f t="shared" ref="D343:L343" si="114">D176+D187+D200+D211+D222+D233+D244+D255+D266+D277+D288+D299+D310+D321+D332</f>
        <v>0</v>
      </c>
      <c r="E343" s="1569">
        <f t="shared" si="114"/>
        <v>0</v>
      </c>
      <c r="F343" s="1566">
        <f t="shared" si="114"/>
        <v>0</v>
      </c>
      <c r="G343" s="198">
        <f t="shared" si="114"/>
        <v>0</v>
      </c>
      <c r="H343" s="1569">
        <f t="shared" si="114"/>
        <v>0</v>
      </c>
      <c r="I343" s="1570">
        <f t="shared" si="114"/>
        <v>0</v>
      </c>
      <c r="J343" s="1566">
        <f t="shared" si="114"/>
        <v>0</v>
      </c>
      <c r="K343" s="198">
        <f t="shared" si="114"/>
        <v>0</v>
      </c>
      <c r="L343" s="198">
        <f t="shared" si="114"/>
        <v>0</v>
      </c>
      <c r="M343" s="370"/>
    </row>
    <row r="344" spans="1:13">
      <c r="A344" s="1547" t="s">
        <v>602</v>
      </c>
      <c r="B344" s="1275"/>
      <c r="C344" s="1276">
        <f>C172+C343</f>
        <v>241991399</v>
      </c>
      <c r="D344" s="1276">
        <f t="shared" ref="D344:L344" si="115">D172+D343</f>
        <v>209010835</v>
      </c>
      <c r="E344" s="1277">
        <f t="shared" si="115"/>
        <v>307647919</v>
      </c>
      <c r="F344" s="1278">
        <f t="shared" si="115"/>
        <v>914672984</v>
      </c>
      <c r="G344" s="1279">
        <f t="shared" si="115"/>
        <v>975648854</v>
      </c>
      <c r="H344" s="1280">
        <f t="shared" si="115"/>
        <v>975648854</v>
      </c>
      <c r="I344" s="1277">
        <f t="shared" si="115"/>
        <v>975648854</v>
      </c>
      <c r="J344" s="1278">
        <f t="shared" si="115"/>
        <v>1313659181</v>
      </c>
      <c r="K344" s="1279">
        <f t="shared" si="115"/>
        <v>1810421648</v>
      </c>
      <c r="L344" s="1280">
        <f t="shared" si="115"/>
        <v>1041880000</v>
      </c>
      <c r="M344" s="370"/>
    </row>
    <row r="345" spans="1:13">
      <c r="M345" s="370"/>
    </row>
  </sheetData>
  <dataConsolidate/>
  <mergeCells count="5">
    <mergeCell ref="F2:I2"/>
    <mergeCell ref="J2:L2"/>
    <mergeCell ref="N2:Q2"/>
    <mergeCell ref="R2:U2"/>
    <mergeCell ref="V2:X2"/>
  </mergeCells>
  <phoneticPr fontId="5" type="noConversion"/>
  <pageMargins left="0.36" right="0.14000000000000001" top="0.78" bottom="0.59" header="0.5" footer="0.41"/>
  <headerFooter alignWithMargins="0"/>
  <ignoredErrors>
    <ignoredError sqref="J40:L40 J51:L51 J62:L62 J73:L73 J84:L84 J95:L95 J106:L106 J117:L117 J128:L128 J139:L139 J150:L150 J161:L161 Q17 U17 Q29 Q161 U29 U40 Q40 Q51 U51 Q62 U62 Q73 U73 Q84 U84 Q95 U95 Q106 U106 Q117 U117 Q128 U128 Q139 U139 Q150 U150 U161" formula="1"/>
  </ignoredErrors>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4"/>
    <pageSetUpPr fitToPage="1"/>
  </sheetPr>
  <dimension ref="A1:O90"/>
  <sheetViews>
    <sheetView showGridLines="0" workbookViewId="0">
      <pane xSplit="2" ySplit="3" topLeftCell="C4" activePane="bottomRight" state="frozen"/>
      <selection pane="topRight"/>
      <selection pane="bottomLeft"/>
      <selection pane="bottomRight" activeCell="K45" sqref="K45:L45"/>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2" s="179" customFormat="1" ht="12">
      <c r="A1" s="147" t="str">
        <f>muni&amp;" - "&amp;Approve6</f>
        <v>NW373 Rustenburg - Table A6 Consolidated Budgeted Financial Position</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2" ht="20">
      <c r="A3" s="180"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c r="A4" s="326" t="s">
        <v>1021</v>
      </c>
      <c r="B4" s="291"/>
      <c r="C4" s="311"/>
      <c r="D4" s="311"/>
      <c r="E4" s="314"/>
      <c r="F4" s="313"/>
      <c r="G4" s="311"/>
      <c r="H4" s="314"/>
      <c r="I4" s="312"/>
      <c r="J4" s="341"/>
      <c r="K4" s="311"/>
      <c r="L4" s="314"/>
    </row>
    <row r="5" spans="1:12" ht="11.25" customHeight="1">
      <c r="A5" s="326" t="s">
        <v>1022</v>
      </c>
      <c r="B5" s="293"/>
      <c r="C5" s="203"/>
      <c r="D5" s="203"/>
      <c r="E5" s="204"/>
      <c r="F5" s="205"/>
      <c r="G5" s="203"/>
      <c r="H5" s="204"/>
      <c r="I5" s="202"/>
      <c r="J5" s="206"/>
      <c r="K5" s="203"/>
      <c r="L5" s="204"/>
    </row>
    <row r="6" spans="1:12" ht="11.25" customHeight="1">
      <c r="A6" s="190" t="s">
        <v>702</v>
      </c>
      <c r="B6" s="293"/>
      <c r="C6" s="1615">
        <v>107283132</v>
      </c>
      <c r="D6" s="1635">
        <v>107378693</v>
      </c>
      <c r="E6" s="1635">
        <v>55746636</v>
      </c>
      <c r="F6" s="2534">
        <v>188744040</v>
      </c>
      <c r="G6" s="2534">
        <v>239120708</v>
      </c>
      <c r="H6" s="2534">
        <v>239120708</v>
      </c>
      <c r="I6" s="2534">
        <v>239120708</v>
      </c>
      <c r="J6" s="2534">
        <v>227697433.65000001</v>
      </c>
      <c r="K6" s="2534">
        <v>257772915.03250003</v>
      </c>
      <c r="L6" s="2534">
        <v>306873834.48412502</v>
      </c>
    </row>
    <row r="7" spans="1:12" ht="11.25" customHeight="1">
      <c r="A7" s="190" t="s">
        <v>1523</v>
      </c>
      <c r="B7" s="293">
        <v>1</v>
      </c>
      <c r="C7" s="203">
        <f>'SA3'!C9</f>
        <v>452587767</v>
      </c>
      <c r="D7" s="203">
        <f>'SA3'!D9</f>
        <v>587295703</v>
      </c>
      <c r="E7" s="264">
        <f>'SA3'!E9</f>
        <v>825799511</v>
      </c>
      <c r="F7" s="205">
        <f>'SA3'!F9</f>
        <v>1000999547</v>
      </c>
      <c r="G7" s="203">
        <f>'SA3'!G9</f>
        <v>577743547</v>
      </c>
      <c r="H7" s="264">
        <f>'SA3'!H9</f>
        <v>877743547</v>
      </c>
      <c r="I7" s="210">
        <f>'SA3'!I9</f>
        <v>877743547</v>
      </c>
      <c r="J7" s="211">
        <f>'SA3'!J9</f>
        <v>815933769.93000019</v>
      </c>
      <c r="K7" s="207">
        <f>'SA3'!K9</f>
        <v>559625964.70750022</v>
      </c>
      <c r="L7" s="264">
        <f>'SA3'!L9</f>
        <v>655296501.61587512</v>
      </c>
    </row>
    <row r="8" spans="1:12" ht="11.25" customHeight="1">
      <c r="A8" s="190" t="s">
        <v>1521</v>
      </c>
      <c r="B8" s="293">
        <v>1</v>
      </c>
      <c r="C8" s="203">
        <f>'SA3'!C14</f>
        <v>221315206</v>
      </c>
      <c r="D8" s="203">
        <f>'SA3'!D14</f>
        <v>89666555.650000095</v>
      </c>
      <c r="E8" s="264">
        <f>'SA3'!E14</f>
        <v>387100168.78362799</v>
      </c>
      <c r="F8" s="205">
        <f>'SA3'!F14</f>
        <v>244940857</v>
      </c>
      <c r="G8" s="203">
        <f>'SA3'!G14</f>
        <v>284534312</v>
      </c>
      <c r="H8" s="264">
        <f>'SA3'!H14</f>
        <v>346124215.8719542</v>
      </c>
      <c r="I8" s="210">
        <f>'SA3'!I14</f>
        <v>346124215.8719542</v>
      </c>
      <c r="J8" s="211">
        <f>'SA3'!J14</f>
        <v>233450503.67195415</v>
      </c>
      <c r="K8" s="207">
        <f>'SA3'!K14</f>
        <v>275874090.56195426</v>
      </c>
      <c r="L8" s="264">
        <f>'SA3'!L14</f>
        <v>358398063.49645424</v>
      </c>
    </row>
    <row r="9" spans="1:12" ht="11.25" customHeight="1">
      <c r="A9" s="190" t="s">
        <v>1522</v>
      </c>
      <c r="B9" s="293"/>
      <c r="C9" s="1615">
        <v>9041076</v>
      </c>
      <c r="D9" s="1635">
        <f>12926642+464269+7854555</f>
        <v>21245466</v>
      </c>
      <c r="E9" s="1635">
        <f>541479+53590955+7854555</f>
        <v>61986989</v>
      </c>
      <c r="F9" s="2534">
        <v>13889045.039999999</v>
      </c>
      <c r="G9" s="2534">
        <v>13889045.039999999</v>
      </c>
      <c r="H9" s="2534">
        <v>13889045.039999999</v>
      </c>
      <c r="I9" s="2534">
        <v>13889045.039999999</v>
      </c>
      <c r="J9" s="2534">
        <v>56811981.75</v>
      </c>
      <c r="K9" s="1615">
        <v>59625506.887500003</v>
      </c>
      <c r="L9" s="1635">
        <v>62579708.281875007</v>
      </c>
    </row>
    <row r="10" spans="1:12" ht="11.25" customHeight="1">
      <c r="A10" s="190" t="s">
        <v>703</v>
      </c>
      <c r="B10" s="293"/>
      <c r="C10" s="1615">
        <v>107691</v>
      </c>
      <c r="D10" s="1635">
        <v>-172</v>
      </c>
      <c r="E10" s="1635">
        <v>14642</v>
      </c>
      <c r="F10" s="2618"/>
      <c r="G10" s="1642">
        <v>0</v>
      </c>
      <c r="H10" s="1639">
        <v>0</v>
      </c>
      <c r="I10" s="1637">
        <v>0</v>
      </c>
      <c r="J10" s="1642">
        <v>12605</v>
      </c>
      <c r="K10" s="1638">
        <v>13235.25</v>
      </c>
      <c r="L10" s="1638">
        <v>13897.012500000001</v>
      </c>
    </row>
    <row r="11" spans="1:12" ht="11.25" customHeight="1">
      <c r="A11" s="190" t="s">
        <v>1520</v>
      </c>
      <c r="B11" s="293">
        <v>2</v>
      </c>
      <c r="C11" s="1615">
        <v>48083415</v>
      </c>
      <c r="D11" s="1635">
        <v>20682086</v>
      </c>
      <c r="E11" s="1635">
        <v>21129918</v>
      </c>
      <c r="F11" s="2534">
        <v>21667599.120000001</v>
      </c>
      <c r="G11" s="2534">
        <v>16298599.120000001</v>
      </c>
      <c r="H11" s="2534">
        <v>16298599.120000001</v>
      </c>
      <c r="I11" s="2534">
        <v>16298599.120000001</v>
      </c>
      <c r="J11" s="2534">
        <f>+D11*1.05</f>
        <v>21716190.300000001</v>
      </c>
      <c r="K11" s="2534">
        <f>+J11*1.05</f>
        <v>22801999.815000001</v>
      </c>
      <c r="L11" s="2534">
        <f>+K11*1.05</f>
        <v>23942099.805750001</v>
      </c>
    </row>
    <row r="12" spans="1:12" ht="11.25" customHeight="1">
      <c r="A12" s="342" t="s">
        <v>577</v>
      </c>
      <c r="B12" s="343"/>
      <c r="C12" s="276">
        <f t="shared" ref="C12:L12" si="0">SUM(C6:C11)</f>
        <v>838418287</v>
      </c>
      <c r="D12" s="276">
        <f t="shared" si="0"/>
        <v>826268331.6500001</v>
      </c>
      <c r="E12" s="277">
        <f t="shared" si="0"/>
        <v>1351777864.783628</v>
      </c>
      <c r="F12" s="278">
        <f t="shared" si="0"/>
        <v>1470241088.1599998</v>
      </c>
      <c r="G12" s="276">
        <f t="shared" si="0"/>
        <v>1131586211.1599998</v>
      </c>
      <c r="H12" s="277">
        <f t="shared" si="0"/>
        <v>1493176115.0319541</v>
      </c>
      <c r="I12" s="816">
        <f t="shared" si="0"/>
        <v>1493176115.0319541</v>
      </c>
      <c r="J12" s="279">
        <f t="shared" si="0"/>
        <v>1355622484.3019543</v>
      </c>
      <c r="K12" s="276">
        <f t="shared" si="0"/>
        <v>1175713712.2544546</v>
      </c>
      <c r="L12" s="277">
        <f t="shared" si="0"/>
        <v>1407104104.6965792</v>
      </c>
    </row>
    <row r="13" spans="1:12" ht="5" customHeight="1">
      <c r="A13" s="201"/>
      <c r="B13" s="293"/>
      <c r="C13" s="203"/>
      <c r="D13" s="203"/>
      <c r="E13" s="204"/>
      <c r="F13" s="205"/>
      <c r="G13" s="203"/>
      <c r="H13" s="204"/>
      <c r="I13" s="210"/>
      <c r="J13" s="206"/>
      <c r="K13" s="203"/>
      <c r="L13" s="204"/>
    </row>
    <row r="14" spans="1:12" ht="11.25" customHeight="1">
      <c r="A14" s="326" t="s">
        <v>571</v>
      </c>
      <c r="B14" s="293"/>
      <c r="C14" s="203"/>
      <c r="D14" s="203"/>
      <c r="E14" s="204"/>
      <c r="F14" s="205"/>
      <c r="G14" s="203"/>
      <c r="H14" s="204"/>
      <c r="I14" s="210"/>
      <c r="J14" s="206"/>
      <c r="K14" s="203"/>
      <c r="L14" s="204"/>
    </row>
    <row r="15" spans="1:12" ht="11.25" customHeight="1">
      <c r="A15" s="190" t="s">
        <v>1519</v>
      </c>
      <c r="B15" s="293"/>
      <c r="C15" s="1615">
        <v>6594527</v>
      </c>
      <c r="D15" s="1635">
        <v>2622751</v>
      </c>
      <c r="E15" s="1635">
        <v>2608109</v>
      </c>
      <c r="F15" s="2534">
        <v>0</v>
      </c>
      <c r="G15" s="1615">
        <v>0</v>
      </c>
      <c r="H15" s="1635">
        <v>0</v>
      </c>
      <c r="I15" s="1637">
        <v>0</v>
      </c>
      <c r="J15" s="2534">
        <v>2408109</v>
      </c>
      <c r="K15" s="1615">
        <v>2308109</v>
      </c>
      <c r="L15" s="1635">
        <v>2208109</v>
      </c>
    </row>
    <row r="16" spans="1:12" ht="11.25" customHeight="1">
      <c r="A16" s="190" t="s">
        <v>1023</v>
      </c>
      <c r="B16" s="293"/>
      <c r="C16" s="1615">
        <v>694884</v>
      </c>
      <c r="D16" s="1635">
        <v>357847</v>
      </c>
      <c r="E16" s="1635">
        <v>463891</v>
      </c>
      <c r="F16" s="1635">
        <f>694884+1000</f>
        <v>695884</v>
      </c>
      <c r="G16" s="1635">
        <f>694884+1000</f>
        <v>695884</v>
      </c>
      <c r="H16" s="1635">
        <f>694884+1000</f>
        <v>695884</v>
      </c>
      <c r="I16" s="1635">
        <f>694884+1000</f>
        <v>695884</v>
      </c>
      <c r="J16" s="1635">
        <v>463891</v>
      </c>
      <c r="K16" s="1635">
        <v>463891</v>
      </c>
      <c r="L16" s="1635">
        <v>463891</v>
      </c>
    </row>
    <row r="17" spans="1:13" ht="11.25" customHeight="1">
      <c r="A17" s="190" t="s">
        <v>1518</v>
      </c>
      <c r="B17" s="293"/>
      <c r="C17" s="1615">
        <v>1301985</v>
      </c>
      <c r="D17" s="1635">
        <v>66730428</v>
      </c>
      <c r="E17" s="1635">
        <v>62785665</v>
      </c>
      <c r="F17" s="2534">
        <v>0</v>
      </c>
      <c r="G17" s="1615">
        <v>0</v>
      </c>
      <c r="H17" s="1635">
        <v>0</v>
      </c>
      <c r="I17" s="1637">
        <v>0</v>
      </c>
      <c r="J17" s="2534"/>
      <c r="K17" s="1615"/>
      <c r="L17" s="1635"/>
    </row>
    <row r="18" spans="1:13" ht="11.25" customHeight="1">
      <c r="A18" s="190" t="s">
        <v>786</v>
      </c>
      <c r="B18" s="293"/>
      <c r="C18" s="1615">
        <v>0</v>
      </c>
      <c r="D18" s="1635">
        <v>0</v>
      </c>
      <c r="E18" s="1635">
        <v>0</v>
      </c>
      <c r="F18" s="2534">
        <v>0</v>
      </c>
      <c r="G18" s="1615">
        <v>0</v>
      </c>
      <c r="H18" s="1635">
        <v>0</v>
      </c>
      <c r="I18" s="1637">
        <v>0</v>
      </c>
      <c r="J18" s="2534"/>
      <c r="K18" s="1615"/>
      <c r="L18" s="1635" t="s">
        <v>3956</v>
      </c>
    </row>
    <row r="19" spans="1:13" ht="11.25" customHeight="1">
      <c r="A19" s="190" t="s">
        <v>1517</v>
      </c>
      <c r="B19" s="293">
        <v>3</v>
      </c>
      <c r="C19" s="203">
        <f>'SA3'!C26</f>
        <v>1201931116</v>
      </c>
      <c r="D19" s="203">
        <f>'SA3'!D26</f>
        <v>6091306993</v>
      </c>
      <c r="E19" s="264">
        <f>'SA3'!E26</f>
        <v>6009530950</v>
      </c>
      <c r="F19" s="205">
        <f>'SA3'!F26</f>
        <v>1369876414.95</v>
      </c>
      <c r="G19" s="203">
        <f>'SA3'!G26</f>
        <v>6498697735.9500008</v>
      </c>
      <c r="H19" s="204">
        <f>'SA3'!H26</f>
        <v>6137107832.0700016</v>
      </c>
      <c r="I19" s="202">
        <f>'SA3'!I26</f>
        <v>6137107832.0699997</v>
      </c>
      <c r="J19" s="206">
        <f>'SA3'!J26</f>
        <v>7671457152.8199997</v>
      </c>
      <c r="K19" s="203">
        <f>'SA3'!K26</f>
        <v>8565838158.3600006</v>
      </c>
      <c r="L19" s="204">
        <f>'SA3'!L26</f>
        <v>9102691182.2999992</v>
      </c>
    </row>
    <row r="20" spans="1:13" ht="11.25" customHeight="1">
      <c r="A20" s="190" t="s">
        <v>948</v>
      </c>
      <c r="B20" s="293"/>
      <c r="C20" s="1615">
        <v>0</v>
      </c>
      <c r="D20" s="1635">
        <v>0</v>
      </c>
      <c r="E20" s="1635">
        <v>0</v>
      </c>
      <c r="F20" s="2534">
        <v>0</v>
      </c>
      <c r="G20" s="1615">
        <v>0</v>
      </c>
      <c r="H20" s="1635">
        <v>0</v>
      </c>
      <c r="I20" s="1637">
        <v>0</v>
      </c>
      <c r="J20" s="2534"/>
      <c r="K20" s="1615"/>
      <c r="L20" s="1635"/>
    </row>
    <row r="21" spans="1:13" ht="11.25" customHeight="1">
      <c r="A21" s="190" t="s">
        <v>949</v>
      </c>
      <c r="B21" s="293"/>
      <c r="C21" s="1615">
        <v>0</v>
      </c>
      <c r="D21" s="1635">
        <v>0</v>
      </c>
      <c r="E21" s="1635">
        <v>0</v>
      </c>
      <c r="F21" s="2534">
        <v>0</v>
      </c>
      <c r="G21" s="1615">
        <v>0</v>
      </c>
      <c r="H21" s="1635">
        <v>0</v>
      </c>
      <c r="I21" s="1637">
        <v>0</v>
      </c>
      <c r="J21" s="2534"/>
      <c r="K21" s="1615"/>
      <c r="L21" s="1635"/>
    </row>
    <row r="22" spans="1:13" ht="11.25" customHeight="1">
      <c r="A22" s="190" t="s">
        <v>950</v>
      </c>
      <c r="B22" s="293"/>
      <c r="C22" s="1615">
        <v>0</v>
      </c>
      <c r="D22" s="1635">
        <v>241480</v>
      </c>
      <c r="E22" s="1635">
        <v>123847</v>
      </c>
      <c r="F22" s="2534">
        <v>0</v>
      </c>
      <c r="G22" s="1615">
        <v>0</v>
      </c>
      <c r="H22" s="1635">
        <v>0</v>
      </c>
      <c r="I22" s="1637">
        <v>0</v>
      </c>
      <c r="J22" s="2534"/>
      <c r="K22" s="1615"/>
      <c r="L22" s="1635"/>
    </row>
    <row r="23" spans="1:13" ht="11.25" customHeight="1">
      <c r="A23" s="190" t="s">
        <v>1699</v>
      </c>
      <c r="B23" s="293"/>
      <c r="C23" s="1615">
        <v>429115</v>
      </c>
      <c r="D23" s="1635"/>
      <c r="E23" s="1635"/>
      <c r="F23" s="1635">
        <v>429115</v>
      </c>
      <c r="G23" s="1635">
        <v>429115</v>
      </c>
      <c r="H23" s="1635">
        <v>429115</v>
      </c>
      <c r="I23" s="1635">
        <v>429115</v>
      </c>
      <c r="J23" s="1635">
        <v>429115</v>
      </c>
      <c r="K23" s="1635">
        <v>429115</v>
      </c>
      <c r="L23" s="1635">
        <v>429115</v>
      </c>
    </row>
    <row r="24" spans="1:13" ht="11.25" customHeight="1">
      <c r="A24" s="342" t="s">
        <v>576</v>
      </c>
      <c r="B24" s="1387"/>
      <c r="C24" s="1386">
        <f>SUM(C15:C23)</f>
        <v>1210951627</v>
      </c>
      <c r="D24" s="213">
        <f>SUM(D15:D23)</f>
        <v>6161259499</v>
      </c>
      <c r="E24" s="214">
        <f t="shared" ref="E24:L24" si="1">SUM(E15:E23)</f>
        <v>6075512462</v>
      </c>
      <c r="F24" s="215">
        <f t="shared" si="1"/>
        <v>1371001413.95</v>
      </c>
      <c r="G24" s="213">
        <f t="shared" si="1"/>
        <v>6499822734.9500008</v>
      </c>
      <c r="H24" s="214">
        <f t="shared" si="1"/>
        <v>6138232831.0700016</v>
      </c>
      <c r="I24" s="212">
        <f t="shared" si="1"/>
        <v>6138232831.0699997</v>
      </c>
      <c r="J24" s="216">
        <f t="shared" si="1"/>
        <v>7674758267.8199997</v>
      </c>
      <c r="K24" s="213">
        <f t="shared" si="1"/>
        <v>8569039273.3600006</v>
      </c>
      <c r="L24" s="214">
        <f t="shared" si="1"/>
        <v>9105792297.2999992</v>
      </c>
    </row>
    <row r="25" spans="1:13" ht="11.25" customHeight="1">
      <c r="A25" s="342" t="s">
        <v>580</v>
      </c>
      <c r="B25" s="343"/>
      <c r="C25" s="276">
        <f>C12+C24</f>
        <v>2049369914</v>
      </c>
      <c r="D25" s="276">
        <f>D12+D24</f>
        <v>6987527830.6499996</v>
      </c>
      <c r="E25" s="277">
        <f>E12+E24</f>
        <v>7427290326.7836285</v>
      </c>
      <c r="F25" s="278">
        <f t="shared" ref="F25:L25" si="2">F12+F24</f>
        <v>2841242502.1099997</v>
      </c>
      <c r="G25" s="276">
        <f t="shared" si="2"/>
        <v>7631408946.1100006</v>
      </c>
      <c r="H25" s="277">
        <f t="shared" si="2"/>
        <v>7631408946.1019554</v>
      </c>
      <c r="I25" s="275">
        <f t="shared" si="2"/>
        <v>7631408946.1019535</v>
      </c>
      <c r="J25" s="279">
        <f t="shared" si="2"/>
        <v>9030380752.121954</v>
      </c>
      <c r="K25" s="276">
        <f t="shared" si="2"/>
        <v>9744752985.6144562</v>
      </c>
      <c r="L25" s="277">
        <f t="shared" si="2"/>
        <v>10512896401.996578</v>
      </c>
    </row>
    <row r="26" spans="1:13" ht="5" customHeight="1">
      <c r="A26" s="201"/>
      <c r="B26" s="293"/>
      <c r="C26" s="203"/>
      <c r="D26" s="203"/>
      <c r="E26" s="204"/>
      <c r="F26" s="205"/>
      <c r="G26" s="203"/>
      <c r="H26" s="204"/>
      <c r="I26" s="202"/>
      <c r="J26" s="206"/>
      <c r="K26" s="203"/>
      <c r="L26" s="204"/>
    </row>
    <row r="27" spans="1:13" ht="11.25" customHeight="1">
      <c r="A27" s="326" t="s">
        <v>572</v>
      </c>
      <c r="B27" s="293"/>
      <c r="C27" s="203"/>
      <c r="D27" s="203"/>
      <c r="E27" s="204"/>
      <c r="F27" s="205"/>
      <c r="G27" s="203"/>
      <c r="H27" s="204"/>
      <c r="I27" s="202"/>
      <c r="J27" s="206"/>
      <c r="K27" s="203"/>
      <c r="L27" s="204"/>
    </row>
    <row r="28" spans="1:13" ht="11.25" customHeight="1">
      <c r="A28" s="326" t="s">
        <v>1024</v>
      </c>
      <c r="B28" s="295"/>
      <c r="C28" s="203"/>
      <c r="D28" s="203"/>
      <c r="E28" s="204"/>
      <c r="F28" s="205"/>
      <c r="G28" s="203"/>
      <c r="H28" s="204"/>
      <c r="I28" s="202"/>
      <c r="J28" s="206"/>
      <c r="K28" s="203"/>
      <c r="L28" s="204"/>
    </row>
    <row r="29" spans="1:13" ht="11.25" customHeight="1">
      <c r="A29" s="190" t="s">
        <v>1297</v>
      </c>
      <c r="B29" s="293">
        <v>1</v>
      </c>
      <c r="C29" s="1615"/>
      <c r="D29" s="1635"/>
      <c r="E29" s="1635"/>
      <c r="F29" s="2534"/>
      <c r="G29" s="1615"/>
      <c r="H29" s="1635"/>
      <c r="I29" s="1637"/>
      <c r="J29" s="2534"/>
      <c r="K29" s="1615"/>
      <c r="L29" s="1635"/>
    </row>
    <row r="30" spans="1:13" ht="11.25" customHeight="1">
      <c r="A30" s="190" t="s">
        <v>1284</v>
      </c>
      <c r="B30" s="293">
        <v>4</v>
      </c>
      <c r="C30" s="203">
        <f>'SA3'!C32</f>
        <v>3808458</v>
      </c>
      <c r="D30" s="203">
        <f>'SA3'!D32</f>
        <v>20284141</v>
      </c>
      <c r="E30" s="264">
        <f>'SA3'!E32</f>
        <v>20242363</v>
      </c>
      <c r="F30" s="205">
        <f>'SA3'!F32</f>
        <v>8247458.7300000004</v>
      </c>
      <c r="G30" s="203">
        <f>'SA3'!G32</f>
        <v>8247458.7300000004</v>
      </c>
      <c r="H30" s="204">
        <f>'SA3'!H32</f>
        <v>8247458.7300000004</v>
      </c>
      <c r="I30" s="202">
        <f>'SA3'!I32</f>
        <v>8247458.7300000004</v>
      </c>
      <c r="J30" s="206">
        <f>'SA3'!J32</f>
        <v>43410840.799999997</v>
      </c>
      <c r="K30" s="203">
        <f>'SA3'!K32</f>
        <v>49574020.240000002</v>
      </c>
      <c r="L30" s="204">
        <f>'SA3'!L32</f>
        <v>55903232.640000001</v>
      </c>
    </row>
    <row r="31" spans="1:13" ht="11.25" customHeight="1">
      <c r="A31" s="190" t="s">
        <v>1514</v>
      </c>
      <c r="B31" s="293"/>
      <c r="C31" s="1615">
        <v>22363107</v>
      </c>
      <c r="D31" s="1635">
        <v>23029072</v>
      </c>
      <c r="E31" s="1635">
        <v>23614930</v>
      </c>
      <c r="F31" s="2534">
        <v>24180525.600000001</v>
      </c>
      <c r="G31" s="2534">
        <v>24180525.600000001</v>
      </c>
      <c r="H31" s="2534">
        <v>24180525.600000001</v>
      </c>
      <c r="I31" s="2534">
        <v>24180525.600000001</v>
      </c>
      <c r="J31" s="2534">
        <v>24180525.600000001</v>
      </c>
      <c r="K31" s="1615">
        <v>25389551.880000003</v>
      </c>
      <c r="L31" s="1635">
        <v>26659029.474000003</v>
      </c>
      <c r="M31" s="370"/>
    </row>
    <row r="32" spans="1:13" ht="11.25" customHeight="1">
      <c r="A32" s="190" t="s">
        <v>704</v>
      </c>
      <c r="B32" s="293">
        <v>4</v>
      </c>
      <c r="C32" s="203">
        <f>'SA3'!C38</f>
        <v>388071154</v>
      </c>
      <c r="D32" s="203">
        <f>'SA3'!D38</f>
        <v>378973951</v>
      </c>
      <c r="E32" s="264">
        <f>'SA3'!E38</f>
        <v>652427598</v>
      </c>
      <c r="F32" s="251">
        <f>'SA3'!F38</f>
        <v>432942156.57999998</v>
      </c>
      <c r="G32" s="203">
        <f>'SA3'!G38</f>
        <v>215931920.57999998</v>
      </c>
      <c r="H32" s="204">
        <f>'SA3'!H38</f>
        <v>215931920.57999998</v>
      </c>
      <c r="I32" s="202">
        <f>'SA3'!I38</f>
        <v>215931920.57999998</v>
      </c>
      <c r="J32" s="206">
        <f>'SA3'!J38</f>
        <v>238492412.57999992</v>
      </c>
      <c r="K32" s="203">
        <f>'SA3'!K38</f>
        <v>446013605.4380002</v>
      </c>
      <c r="L32" s="204">
        <f>'SA3'!L38</f>
        <v>431730072.13800001</v>
      </c>
      <c r="M32" s="370"/>
    </row>
    <row r="33" spans="1:15" ht="11.25" customHeight="1">
      <c r="A33" s="190" t="s">
        <v>1025</v>
      </c>
      <c r="B33" s="293"/>
      <c r="C33" s="1615">
        <v>3548184</v>
      </c>
      <c r="D33" s="1635">
        <v>4856093</v>
      </c>
      <c r="E33" s="1635">
        <v>22386002</v>
      </c>
      <c r="F33" s="2534">
        <v>3474680</v>
      </c>
      <c r="G33" s="2534">
        <v>3474680</v>
      </c>
      <c r="H33" s="2534">
        <v>3474680</v>
      </c>
      <c r="I33" s="2534">
        <v>3474680</v>
      </c>
      <c r="J33" s="2534">
        <v>3474680</v>
      </c>
      <c r="K33" s="1615">
        <v>3683160.8</v>
      </c>
      <c r="L33" s="1635">
        <v>3904150.4479999999</v>
      </c>
      <c r="M33" s="370"/>
    </row>
    <row r="34" spans="1:15" ht="11.25" customHeight="1">
      <c r="A34" s="342" t="s">
        <v>575</v>
      </c>
      <c r="B34" s="343"/>
      <c r="C34" s="276">
        <f t="shared" ref="C34:L34" si="3">SUM(C29:C33)</f>
        <v>417790903</v>
      </c>
      <c r="D34" s="276">
        <f t="shared" si="3"/>
        <v>427143257</v>
      </c>
      <c r="E34" s="277">
        <f t="shared" si="3"/>
        <v>718670893</v>
      </c>
      <c r="F34" s="278">
        <f t="shared" si="3"/>
        <v>468844820.90999997</v>
      </c>
      <c r="G34" s="276">
        <f t="shared" si="3"/>
        <v>251834584.91</v>
      </c>
      <c r="H34" s="277">
        <f t="shared" si="3"/>
        <v>251834584.91</v>
      </c>
      <c r="I34" s="275">
        <f t="shared" si="3"/>
        <v>251834584.91</v>
      </c>
      <c r="J34" s="279">
        <f t="shared" si="3"/>
        <v>309558458.9799999</v>
      </c>
      <c r="K34" s="276">
        <f t="shared" si="3"/>
        <v>524660338.35800022</v>
      </c>
      <c r="L34" s="277">
        <f t="shared" si="3"/>
        <v>518196484.70000005</v>
      </c>
      <c r="M34" s="370"/>
    </row>
    <row r="35" spans="1:15" ht="5" customHeight="1">
      <c r="A35" s="201"/>
      <c r="B35" s="293"/>
      <c r="C35" s="203"/>
      <c r="D35" s="203"/>
      <c r="E35" s="204"/>
      <c r="F35" s="205"/>
      <c r="G35" s="203"/>
      <c r="H35" s="204"/>
      <c r="I35" s="202"/>
      <c r="J35" s="206"/>
      <c r="K35" s="203"/>
      <c r="L35" s="204"/>
      <c r="M35" s="370"/>
    </row>
    <row r="36" spans="1:15" ht="11.25" customHeight="1">
      <c r="A36" s="326" t="s">
        <v>573</v>
      </c>
      <c r="B36" s="293"/>
      <c r="C36" s="203"/>
      <c r="D36" s="203"/>
      <c r="E36" s="204"/>
      <c r="F36" s="205"/>
      <c r="G36" s="203"/>
      <c r="H36" s="204"/>
      <c r="I36" s="202"/>
      <c r="J36" s="206"/>
      <c r="K36" s="203"/>
      <c r="L36" s="204"/>
      <c r="M36" s="370"/>
    </row>
    <row r="37" spans="1:15" ht="11.25" customHeight="1">
      <c r="A37" s="190" t="s">
        <v>1284</v>
      </c>
      <c r="B37" s="293"/>
      <c r="C37" s="203">
        <f>'SA3'!C43</f>
        <v>100121731</v>
      </c>
      <c r="D37" s="203">
        <f>'SA3'!D43</f>
        <v>87802540</v>
      </c>
      <c r="E37" s="264">
        <f>'SA3'!E43</f>
        <v>80207375</v>
      </c>
      <c r="F37" s="205">
        <f>'SA3'!F43</f>
        <v>85270904.870000005</v>
      </c>
      <c r="G37" s="203">
        <f>'SA3'!G43</f>
        <v>81270904.870000005</v>
      </c>
      <c r="H37" s="204">
        <f>'SA3'!H43</f>
        <v>81270904.870000005</v>
      </c>
      <c r="I37" s="202">
        <f>'SA3'!I43</f>
        <v>81270904.870000005</v>
      </c>
      <c r="J37" s="206">
        <f>'SA3'!J43</f>
        <v>607026083.24000001</v>
      </c>
      <c r="K37" s="203">
        <f>'SA3'!K43</f>
        <v>607026083.24000001</v>
      </c>
      <c r="L37" s="204">
        <f>'SA3'!L43</f>
        <v>607026083.24000001</v>
      </c>
      <c r="M37" s="370"/>
    </row>
    <row r="38" spans="1:15" ht="11.25" customHeight="1">
      <c r="A38" s="190" t="s">
        <v>1025</v>
      </c>
      <c r="B38" s="293"/>
      <c r="C38" s="203">
        <f>'SA3'!C50</f>
        <v>107815478</v>
      </c>
      <c r="D38" s="203">
        <f>'SA3'!D50</f>
        <v>159972350</v>
      </c>
      <c r="E38" s="264">
        <f>'SA3'!E50</f>
        <v>164464369</v>
      </c>
      <c r="F38" s="205">
        <f>'SA3'!F50</f>
        <v>126672719.95999999</v>
      </c>
      <c r="G38" s="203">
        <f>'SA3'!G50</f>
        <v>126672719.95999999</v>
      </c>
      <c r="H38" s="204">
        <f>'SA3'!H50</f>
        <v>126672719.95999999</v>
      </c>
      <c r="I38" s="202">
        <f>'SA3'!I50</f>
        <v>126672719.95999999</v>
      </c>
      <c r="J38" s="206">
        <f>'SA3'!J50</f>
        <v>177926090.47499999</v>
      </c>
      <c r="K38" s="203">
        <f>'SA3'!K50</f>
        <v>188747536.44787499</v>
      </c>
      <c r="L38" s="204">
        <f>'SA3'!L50</f>
        <v>200235188.91358685</v>
      </c>
      <c r="M38" s="370"/>
    </row>
    <row r="39" spans="1:15" ht="11.25" customHeight="1">
      <c r="A39" s="342" t="s">
        <v>574</v>
      </c>
      <c r="B39" s="1387"/>
      <c r="C39" s="1386">
        <f>SUM(C37:C38)</f>
        <v>207937209</v>
      </c>
      <c r="D39" s="213">
        <f>SUM(D37:D38)</f>
        <v>247774890</v>
      </c>
      <c r="E39" s="214">
        <f>SUM(E37:E38)</f>
        <v>244671744</v>
      </c>
      <c r="F39" s="215">
        <f t="shared" ref="F39:L39" si="4">SUM(F37:F38)</f>
        <v>211943624.82999998</v>
      </c>
      <c r="G39" s="213">
        <f t="shared" si="4"/>
        <v>207943624.82999998</v>
      </c>
      <c r="H39" s="214">
        <f t="shared" si="4"/>
        <v>207943624.82999998</v>
      </c>
      <c r="I39" s="215">
        <f t="shared" si="4"/>
        <v>207943624.82999998</v>
      </c>
      <c r="J39" s="216">
        <f t="shared" si="4"/>
        <v>784952173.71500003</v>
      </c>
      <c r="K39" s="213">
        <f>SUM(K37:K38)</f>
        <v>795773619.68787503</v>
      </c>
      <c r="L39" s="214">
        <f t="shared" si="4"/>
        <v>807261272.15358686</v>
      </c>
    </row>
    <row r="40" spans="1:15" ht="11.25" customHeight="1">
      <c r="A40" s="342" t="s">
        <v>1083</v>
      </c>
      <c r="B40" s="343"/>
      <c r="C40" s="276">
        <f>C34+C39</f>
        <v>625728112</v>
      </c>
      <c r="D40" s="276">
        <f>D34+D39</f>
        <v>674918147</v>
      </c>
      <c r="E40" s="277">
        <f>E34+E39</f>
        <v>963342637</v>
      </c>
      <c r="F40" s="278">
        <f t="shared" ref="F40:L40" si="5">F34+F39</f>
        <v>680788445.74000001</v>
      </c>
      <c r="G40" s="276">
        <f t="shared" si="5"/>
        <v>459778209.74000001</v>
      </c>
      <c r="H40" s="277">
        <f t="shared" si="5"/>
        <v>459778209.74000001</v>
      </c>
      <c r="I40" s="275">
        <f t="shared" si="5"/>
        <v>459778209.74000001</v>
      </c>
      <c r="J40" s="279">
        <f t="shared" si="5"/>
        <v>1094510632.6949999</v>
      </c>
      <c r="K40" s="276">
        <f>K34+K39</f>
        <v>1320433958.0458753</v>
      </c>
      <c r="L40" s="277">
        <f t="shared" si="5"/>
        <v>1325457756.8535869</v>
      </c>
    </row>
    <row r="41" spans="1:15" s="246" customFormat="1" ht="4.5" customHeight="1">
      <c r="A41" s="201"/>
      <c r="B41" s="293"/>
      <c r="C41" s="203"/>
      <c r="D41" s="203"/>
      <c r="E41" s="204"/>
      <c r="F41" s="205"/>
      <c r="G41" s="203"/>
      <c r="H41" s="204"/>
      <c r="I41" s="202"/>
      <c r="J41" s="206"/>
      <c r="K41" s="203"/>
      <c r="L41" s="204"/>
      <c r="O41" s="149"/>
    </row>
    <row r="42" spans="1:15" ht="11.25" customHeight="1">
      <c r="A42" s="346" t="s">
        <v>579</v>
      </c>
      <c r="B42" s="347">
        <v>5</v>
      </c>
      <c r="C42" s="283">
        <f t="shared" ref="C42:L42" si="6">C25-C40</f>
        <v>1423641802</v>
      </c>
      <c r="D42" s="283">
        <f t="shared" si="6"/>
        <v>6312609683.6499996</v>
      </c>
      <c r="E42" s="284">
        <f t="shared" si="6"/>
        <v>6463947689.7836285</v>
      </c>
      <c r="F42" s="285">
        <f t="shared" si="6"/>
        <v>2160454056.3699999</v>
      </c>
      <c r="G42" s="283">
        <f t="shared" si="6"/>
        <v>7171630736.3700008</v>
      </c>
      <c r="H42" s="284">
        <f t="shared" si="6"/>
        <v>7171630736.3619556</v>
      </c>
      <c r="I42" s="282">
        <f t="shared" si="6"/>
        <v>7171630736.3619537</v>
      </c>
      <c r="J42" s="286">
        <f t="shared" si="6"/>
        <v>7935870119.4269543</v>
      </c>
      <c r="K42" s="283">
        <f t="shared" si="6"/>
        <v>8424319027.5685806</v>
      </c>
      <c r="L42" s="284">
        <f t="shared" si="6"/>
        <v>9187438645.142992</v>
      </c>
    </row>
    <row r="43" spans="1:15" ht="5" customHeight="1">
      <c r="A43" s="201"/>
      <c r="B43" s="293"/>
      <c r="C43" s="203"/>
      <c r="D43" s="203"/>
      <c r="E43" s="204"/>
      <c r="F43" s="205"/>
      <c r="G43" s="203"/>
      <c r="H43" s="204"/>
      <c r="I43" s="202"/>
      <c r="J43" s="206"/>
      <c r="K43" s="203"/>
      <c r="L43" s="204"/>
    </row>
    <row r="44" spans="1:15" ht="11.25" customHeight="1">
      <c r="A44" s="333" t="s">
        <v>578</v>
      </c>
      <c r="B44" s="293"/>
      <c r="C44" s="203"/>
      <c r="D44" s="203"/>
      <c r="E44" s="204"/>
      <c r="F44" s="205"/>
      <c r="G44" s="203"/>
      <c r="H44" s="204"/>
      <c r="I44" s="202"/>
      <c r="J44" s="206"/>
      <c r="K44" s="203"/>
      <c r="L44" s="204"/>
    </row>
    <row r="45" spans="1:15" ht="11.25" customHeight="1">
      <c r="A45" s="190" t="s">
        <v>426</v>
      </c>
      <c r="B45" s="293"/>
      <c r="C45" s="1615">
        <v>1089637057.9999998</v>
      </c>
      <c r="D45" s="1635">
        <v>5888967626.6500006</v>
      </c>
      <c r="E45" s="1635">
        <v>6026129789.7799997</v>
      </c>
      <c r="F45" s="2534">
        <f>1819866591.092-274</f>
        <v>1819866317.092</v>
      </c>
      <c r="G45" s="2534">
        <f>6810042997.386-0.3</f>
        <v>6810042997.0859995</v>
      </c>
      <c r="H45" s="2534">
        <f>6810042997.386-0.3</f>
        <v>6810042997.0859995</v>
      </c>
      <c r="I45" s="2534">
        <f>6810042997.386-0.3</f>
        <v>6810042997.0859995</v>
      </c>
      <c r="J45" s="2534">
        <v>7350973644.4297028</v>
      </c>
      <c r="K45" s="1615">
        <v>7816437112.8215885</v>
      </c>
      <c r="L45" s="1635">
        <v>8555422018.6550684</v>
      </c>
    </row>
    <row r="46" spans="1:15" ht="11.25" customHeight="1">
      <c r="A46" s="190" t="s">
        <v>753</v>
      </c>
      <c r="B46" s="293">
        <v>4</v>
      </c>
      <c r="C46" s="203">
        <f>'SA3'!C69</f>
        <v>334004744</v>
      </c>
      <c r="D46" s="203">
        <f>'SA3'!D69</f>
        <v>423642057</v>
      </c>
      <c r="E46" s="264">
        <f>'SA3'!E69</f>
        <v>437817900</v>
      </c>
      <c r="F46" s="251">
        <f>'SA3'!F69</f>
        <v>340587739.27999997</v>
      </c>
      <c r="G46" s="203">
        <f>'SA3'!G69</f>
        <v>361587739.27999997</v>
      </c>
      <c r="H46" s="204">
        <f>'SA3'!H69</f>
        <v>361587739.27999997</v>
      </c>
      <c r="I46" s="202">
        <f>'SA3'!I69</f>
        <v>361587739.27999997</v>
      </c>
      <c r="J46" s="206">
        <f>'SA3'!J69</f>
        <v>583896475</v>
      </c>
      <c r="K46" s="203">
        <f>'SA3'!K69</f>
        <v>606881914.75</v>
      </c>
      <c r="L46" s="204">
        <f>'SA3'!L69</f>
        <v>631016626.48750007</v>
      </c>
    </row>
    <row r="47" spans="1:15" ht="11.25" customHeight="1">
      <c r="A47" s="190" t="s">
        <v>155</v>
      </c>
      <c r="B47" s="293"/>
      <c r="C47" s="1615"/>
      <c r="D47" s="1615"/>
      <c r="E47" s="1635"/>
      <c r="F47" s="1636"/>
      <c r="G47" s="1615"/>
      <c r="H47" s="1635"/>
      <c r="I47" s="1637"/>
      <c r="J47" s="1617">
        <v>1000000</v>
      </c>
      <c r="K47" s="1615">
        <v>1000000</v>
      </c>
      <c r="L47" s="1635">
        <v>1000000</v>
      </c>
    </row>
    <row r="48" spans="1:15">
      <c r="A48" s="224" t="s">
        <v>1084</v>
      </c>
      <c r="B48" s="306">
        <v>5</v>
      </c>
      <c r="C48" s="230">
        <f>SUM(C45:C47)</f>
        <v>1423641801.9999998</v>
      </c>
      <c r="D48" s="230">
        <f t="shared" ref="D48:L48" si="7">SUM(D45:D47)</f>
        <v>6312609683.6500006</v>
      </c>
      <c r="E48" s="228">
        <f t="shared" si="7"/>
        <v>6463947689.7799997</v>
      </c>
      <c r="F48" s="229">
        <f t="shared" si="7"/>
        <v>2160454056.3719997</v>
      </c>
      <c r="G48" s="230">
        <f t="shared" si="7"/>
        <v>7171630736.3659992</v>
      </c>
      <c r="H48" s="228">
        <f t="shared" si="7"/>
        <v>7171630736.3659992</v>
      </c>
      <c r="I48" s="231">
        <f t="shared" si="7"/>
        <v>7171630736.3659992</v>
      </c>
      <c r="J48" s="232">
        <f t="shared" si="7"/>
        <v>7935870119.4297028</v>
      </c>
      <c r="K48" s="230">
        <f t="shared" si="7"/>
        <v>8424319027.5715885</v>
      </c>
      <c r="L48" s="228">
        <f t="shared" si="7"/>
        <v>9187438645.1425686</v>
      </c>
    </row>
    <row r="49" spans="1:14" s="709" customFormat="1">
      <c r="A49" s="1233" t="str">
        <f>head27a</f>
        <v>References</v>
      </c>
      <c r="B49" s="1194"/>
      <c r="C49" s="1197"/>
      <c r="D49" s="1197"/>
      <c r="E49" s="1197"/>
      <c r="F49" s="1197"/>
      <c r="G49" s="1197"/>
      <c r="H49" s="1197"/>
      <c r="I49" s="1197"/>
      <c r="J49" s="1197"/>
      <c r="K49" s="1197"/>
      <c r="L49" s="1197"/>
    </row>
    <row r="50" spans="1:14" s="709" customFormat="1">
      <c r="A50" s="2783" t="s">
        <v>1455</v>
      </c>
      <c r="B50" s="2783"/>
      <c r="C50" s="2783"/>
      <c r="D50" s="2783"/>
      <c r="E50" s="2783"/>
      <c r="F50" s="2783"/>
      <c r="G50" s="2783"/>
      <c r="H50" s="2783"/>
      <c r="I50" s="2783"/>
      <c r="J50" s="2783"/>
      <c r="K50" s="2783"/>
      <c r="L50" s="2783"/>
    </row>
    <row r="51" spans="1:14" s="709" customFormat="1" ht="12.75" customHeight="1">
      <c r="A51" s="1195" t="s">
        <v>1059</v>
      </c>
      <c r="B51" s="1195"/>
      <c r="C51" s="1195"/>
      <c r="D51" s="1195"/>
      <c r="E51" s="1195"/>
      <c r="F51" s="1195"/>
      <c r="G51" s="1195"/>
      <c r="H51" s="1195"/>
      <c r="I51" s="1195"/>
      <c r="J51" s="1195"/>
      <c r="K51" s="1195"/>
      <c r="L51" s="1195"/>
    </row>
    <row r="52" spans="1:14" s="709" customFormat="1" ht="12.75" customHeight="1">
      <c r="A52" s="1195" t="s">
        <v>1827</v>
      </c>
      <c r="B52" s="1195"/>
      <c r="C52" s="1195"/>
      <c r="D52" s="1195"/>
      <c r="E52" s="1195"/>
      <c r="F52" s="1195"/>
      <c r="G52" s="1195"/>
      <c r="H52" s="1195"/>
      <c r="I52" s="1195"/>
      <c r="J52" s="1195"/>
      <c r="K52" s="1195"/>
      <c r="L52" s="1195"/>
    </row>
    <row r="53" spans="1:14" s="709" customFormat="1" ht="12.75" customHeight="1">
      <c r="A53" s="1195" t="s">
        <v>452</v>
      </c>
      <c r="B53" s="1195"/>
      <c r="C53" s="1195"/>
      <c r="D53" s="1195"/>
      <c r="E53" s="1159"/>
      <c r="F53" s="1159"/>
      <c r="G53" s="1195"/>
      <c r="H53" s="1195"/>
      <c r="I53" s="1195"/>
      <c r="J53" s="1195"/>
      <c r="K53" s="1195"/>
      <c r="L53" s="1195"/>
    </row>
    <row r="54" spans="1:14" s="709" customFormat="1" ht="11.25" customHeight="1">
      <c r="A54" s="1195" t="s">
        <v>135</v>
      </c>
      <c r="B54" s="1194"/>
      <c r="C54" s="1196"/>
      <c r="D54" s="1196"/>
      <c r="E54" s="1197"/>
      <c r="F54" s="1197"/>
      <c r="G54" s="1197"/>
      <c r="H54" s="1197"/>
      <c r="I54" s="1197"/>
      <c r="J54" s="1197"/>
      <c r="K54" s="1197"/>
      <c r="L54" s="1197"/>
    </row>
    <row r="55" spans="1:14" ht="11.25" customHeight="1">
      <c r="A55" s="1264" t="s">
        <v>296</v>
      </c>
      <c r="B55" s="1194"/>
      <c r="C55" s="1268">
        <f t="shared" ref="C55:L55" si="8">C42-C48</f>
        <v>0</v>
      </c>
      <c r="D55" s="1268">
        <f t="shared" si="8"/>
        <v>0</v>
      </c>
      <c r="E55" s="1268">
        <f t="shared" si="8"/>
        <v>3.6287307739257812E-3</v>
      </c>
      <c r="F55" s="1268">
        <f t="shared" si="8"/>
        <v>-1.9998550415039062E-3</v>
      </c>
      <c r="G55" s="1268">
        <f t="shared" si="8"/>
        <v>4.001617431640625E-3</v>
      </c>
      <c r="H55" s="1268">
        <f t="shared" si="8"/>
        <v>-4.0435791015625E-3</v>
      </c>
      <c r="I55" s="1268">
        <f t="shared" si="8"/>
        <v>-4.0454864501953125E-3</v>
      </c>
      <c r="J55" s="1268">
        <f t="shared" si="8"/>
        <v>-2.7484893798828125E-3</v>
      </c>
      <c r="K55" s="1268">
        <f t="shared" si="8"/>
        <v>-3.0078887939453125E-3</v>
      </c>
      <c r="L55" s="1268">
        <f t="shared" si="8"/>
        <v>4.23431396484375E-4</v>
      </c>
      <c r="M55" s="246"/>
      <c r="N55" s="246"/>
    </row>
    <row r="56" spans="1:14" ht="11.25" customHeight="1"/>
    <row r="57" spans="1:14" ht="11.25" customHeight="1">
      <c r="B57" s="149"/>
    </row>
    <row r="58" spans="1:14" ht="11.25" customHeight="1">
      <c r="B58" s="149"/>
    </row>
    <row r="59" spans="1:14" ht="11.25" customHeight="1">
      <c r="B59" s="149"/>
    </row>
    <row r="60" spans="1:14" ht="11.25" customHeight="1">
      <c r="B60" s="149"/>
    </row>
    <row r="61" spans="1:14" ht="11.25" customHeight="1"/>
    <row r="62" spans="1:14" ht="11.25" customHeight="1"/>
    <row r="63" spans="1:14" ht="11.25" customHeight="1"/>
    <row r="64" spans="1:1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sheetData>
  <sheetProtection password="C646" sheet="1" objects="1" scenarios="1"/>
  <mergeCells count="3">
    <mergeCell ref="A50:L50"/>
    <mergeCell ref="J2:L2"/>
    <mergeCell ref="F2:I2"/>
  </mergeCells>
  <phoneticPr fontId="5" type="noConversion"/>
  <printOptions horizontalCentered="1"/>
  <pageMargins left="0"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enableFormatConditionsCalculation="0">
    <tabColor indexed="44"/>
    <pageSetUpPr fitToPage="1"/>
  </sheetPr>
  <dimension ref="A1:P77"/>
  <sheetViews>
    <sheetView showGridLines="0" workbookViewId="0">
      <pane xSplit="2" ySplit="3" topLeftCell="C22" activePane="bottomRight" state="frozen"/>
      <selection pane="topRight"/>
      <selection pane="bottomLeft"/>
      <selection pane="bottomRight" activeCell="J38" sqref="J38:L38"/>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2" s="179" customFormat="1" ht="12">
      <c r="A1" s="147" t="str">
        <f>muni&amp;" - "&amp;Approve7</f>
        <v>NW373 Rustenburg - Table A7 Consolidated Budgeted Cash Flows</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2" ht="20">
      <c r="A3" s="180"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ht="11.25" customHeight="1">
      <c r="A4" s="326" t="s">
        <v>938</v>
      </c>
      <c r="B4" s="291"/>
      <c r="C4" s="311"/>
      <c r="D4" s="311"/>
      <c r="E4" s="314"/>
      <c r="F4" s="313"/>
      <c r="G4" s="311"/>
      <c r="H4" s="314"/>
      <c r="I4" s="312"/>
      <c r="J4" s="341"/>
      <c r="K4" s="311"/>
      <c r="L4" s="314"/>
    </row>
    <row r="5" spans="1:12" ht="11.25" customHeight="1">
      <c r="A5" s="333" t="s">
        <v>831</v>
      </c>
      <c r="B5" s="293"/>
      <c r="C5" s="203"/>
      <c r="D5" s="203"/>
      <c r="E5" s="204"/>
      <c r="F5" s="205"/>
      <c r="G5" s="203"/>
      <c r="H5" s="204"/>
      <c r="I5" s="202"/>
      <c r="J5" s="206"/>
      <c r="K5" s="203"/>
      <c r="L5" s="204"/>
    </row>
    <row r="6" spans="1:12" ht="11.25" customHeight="1">
      <c r="A6" s="325" t="s">
        <v>1483</v>
      </c>
      <c r="B6" s="293"/>
      <c r="C6" s="1635">
        <v>1298091055</v>
      </c>
      <c r="D6" s="1635">
        <v>1312835402</v>
      </c>
      <c r="E6" s="1635">
        <v>1535555676</v>
      </c>
      <c r="F6" s="2534">
        <v>2012998677</v>
      </c>
      <c r="G6" s="1615">
        <v>2004944898</v>
      </c>
      <c r="H6" s="1615">
        <v>2004944898</v>
      </c>
      <c r="I6" s="1615">
        <v>2004944898</v>
      </c>
      <c r="J6" s="2534">
        <f>1920011000.38+28342333+128978719</f>
        <v>2077332052.3800001</v>
      </c>
      <c r="K6" s="1615">
        <f>2070384110.4+30184584+137362336</f>
        <v>2237931030.4000001</v>
      </c>
      <c r="L6" s="1635">
        <f>2263480585+51860273+178943602</f>
        <v>2494284460</v>
      </c>
    </row>
    <row r="7" spans="1:12" ht="11.25" customHeight="1">
      <c r="A7" s="325" t="s">
        <v>1484</v>
      </c>
      <c r="B7" s="293">
        <v>1</v>
      </c>
      <c r="C7" s="1635">
        <v>445785691</v>
      </c>
      <c r="D7" s="1635">
        <v>447976591</v>
      </c>
      <c r="E7" s="1635">
        <v>325922429</v>
      </c>
      <c r="F7" s="2534">
        <v>282915139</v>
      </c>
      <c r="G7" s="1615">
        <v>286301689</v>
      </c>
      <c r="H7" s="1615">
        <v>286301689</v>
      </c>
      <c r="I7" s="1615">
        <v>286301689</v>
      </c>
      <c r="J7" s="2534">
        <v>341879800</v>
      </c>
      <c r="K7" s="1615">
        <v>368423220</v>
      </c>
      <c r="L7" s="1635">
        <v>437175249</v>
      </c>
    </row>
    <row r="8" spans="1:12" ht="11.25" customHeight="1">
      <c r="A8" s="325" t="s">
        <v>1485</v>
      </c>
      <c r="B8" s="293">
        <v>1</v>
      </c>
      <c r="C8" s="1635">
        <v>0</v>
      </c>
      <c r="D8" s="1635">
        <v>0</v>
      </c>
      <c r="E8" s="1635">
        <v>0</v>
      </c>
      <c r="F8" s="2534">
        <v>521264947</v>
      </c>
      <c r="G8" s="1615">
        <v>625758559</v>
      </c>
      <c r="H8" s="1615">
        <v>625758559</v>
      </c>
      <c r="I8" s="1615">
        <v>625758559</v>
      </c>
      <c r="J8" s="2534">
        <v>694260500</v>
      </c>
      <c r="K8" s="1615">
        <v>812077500</v>
      </c>
      <c r="L8" s="1635">
        <v>880008000</v>
      </c>
    </row>
    <row r="9" spans="1:12" ht="11.25" customHeight="1">
      <c r="A9" s="325" t="s">
        <v>344</v>
      </c>
      <c r="B9" s="293"/>
      <c r="C9" s="1635">
        <v>112709655</v>
      </c>
      <c r="D9" s="1635">
        <v>140082005</v>
      </c>
      <c r="E9" s="1635">
        <v>51353231</v>
      </c>
      <c r="F9" s="2534">
        <v>159919867</v>
      </c>
      <c r="G9" s="1615">
        <v>152486867</v>
      </c>
      <c r="H9" s="1615">
        <v>152486867</v>
      </c>
      <c r="I9" s="1615">
        <v>152486867</v>
      </c>
      <c r="J9" s="2534">
        <f>63638112+5358299</f>
        <v>68996411</v>
      </c>
      <c r="K9" s="1615">
        <f>66480932+5706588</f>
        <v>72187520</v>
      </c>
      <c r="L9" s="1635">
        <f>69474421+6077516</f>
        <v>75551937</v>
      </c>
    </row>
    <row r="10" spans="1:12" ht="11.25" customHeight="1">
      <c r="A10" s="325" t="s">
        <v>607</v>
      </c>
      <c r="B10" s="293"/>
      <c r="C10" s="1635">
        <v>17763525</v>
      </c>
      <c r="D10" s="1635">
        <v>348212</v>
      </c>
      <c r="E10" s="1635">
        <v>17252</v>
      </c>
      <c r="F10" s="2534">
        <v>0</v>
      </c>
      <c r="G10" s="1615">
        <v>0</v>
      </c>
      <c r="H10" s="1615">
        <v>0</v>
      </c>
      <c r="I10" s="1615">
        <v>0</v>
      </c>
      <c r="J10" s="2534">
        <v>0</v>
      </c>
      <c r="K10" s="1615">
        <v>0</v>
      </c>
      <c r="L10" s="1635">
        <v>0</v>
      </c>
    </row>
    <row r="11" spans="1:12" ht="11.25" customHeight="1">
      <c r="A11" s="333" t="s">
        <v>832</v>
      </c>
      <c r="B11" s="293"/>
      <c r="C11" s="207"/>
      <c r="D11" s="203"/>
      <c r="E11" s="204"/>
      <c r="F11" s="205"/>
      <c r="G11" s="203"/>
      <c r="H11" s="204"/>
      <c r="I11" s="202"/>
      <c r="J11" s="206"/>
      <c r="K11" s="203"/>
      <c r="L11" s="204"/>
    </row>
    <row r="12" spans="1:12" ht="11.25" customHeight="1">
      <c r="A12" s="325" t="s">
        <v>1486</v>
      </c>
      <c r="B12" s="293"/>
      <c r="C12" s="1635">
        <v>-1686411767</v>
      </c>
      <c r="D12" s="1635">
        <v>-1558947997</v>
      </c>
      <c r="E12" s="1635">
        <v>-1376123189</v>
      </c>
      <c r="F12" s="2534">
        <v>-2009165931</v>
      </c>
      <c r="G12" s="1615">
        <v>-2252275268</v>
      </c>
      <c r="H12" s="1615">
        <v>-2252275268</v>
      </c>
      <c r="I12" s="1615">
        <v>-2252275268</v>
      </c>
      <c r="J12" s="2534">
        <f>-2204349190-128535942</f>
        <v>-2332885132</v>
      </c>
      <c r="K12" s="1615">
        <f>-2306305236-133235496</f>
        <v>-2439540732</v>
      </c>
      <c r="L12" s="1635">
        <f>-2477422961-178119811</f>
        <v>-2655542772</v>
      </c>
    </row>
    <row r="13" spans="1:12" ht="11.25" customHeight="1">
      <c r="A13" s="325" t="s">
        <v>1561</v>
      </c>
      <c r="B13" s="293"/>
      <c r="C13" s="1635">
        <v>-13310151</v>
      </c>
      <c r="D13" s="1635">
        <v>-13566985</v>
      </c>
      <c r="E13" s="1635">
        <v>-15488603</v>
      </c>
      <c r="F13" s="2534">
        <v>-11914202</v>
      </c>
      <c r="G13" s="1615">
        <v>-11914202</v>
      </c>
      <c r="H13" s="1615">
        <v>-11914202</v>
      </c>
      <c r="I13" s="1615">
        <v>-11914202</v>
      </c>
      <c r="J13" s="2588">
        <f>-27031876-26200135</f>
        <v>-53232011</v>
      </c>
      <c r="K13" s="1615">
        <f>-25906621-24247862</f>
        <v>-50154483</v>
      </c>
      <c r="L13" s="1635">
        <f>-24196470-60047980</f>
        <v>-84244450</v>
      </c>
    </row>
    <row r="14" spans="1:12" ht="11.25" customHeight="1">
      <c r="A14" s="325" t="s">
        <v>1282</v>
      </c>
      <c r="B14" s="293">
        <v>1</v>
      </c>
      <c r="C14" s="1635">
        <v>-248299</v>
      </c>
      <c r="D14" s="1635">
        <v>-305235</v>
      </c>
      <c r="E14" s="1635">
        <v>-586729</v>
      </c>
      <c r="F14" s="2534">
        <v>-282915139</v>
      </c>
      <c r="G14" s="1615">
        <v>-301272885</v>
      </c>
      <c r="H14" s="1615">
        <v>-301272885</v>
      </c>
      <c r="I14" s="1615">
        <v>-301272885</v>
      </c>
      <c r="J14" s="2534">
        <v>-28159128</v>
      </c>
      <c r="K14" s="1615">
        <v>-30518760</v>
      </c>
      <c r="L14" s="1635">
        <v>-33082103</v>
      </c>
    </row>
    <row r="15" spans="1:12" ht="11.25" customHeight="1">
      <c r="A15" s="342" t="s">
        <v>698</v>
      </c>
      <c r="B15" s="343"/>
      <c r="C15" s="813">
        <f>SUM(C6:C10)+SUM(C12:C14)</f>
        <v>174379709</v>
      </c>
      <c r="D15" s="813">
        <f t="shared" ref="D15:L15" si="0">SUM(D6:D10)+SUM(D12:D14)</f>
        <v>328421993</v>
      </c>
      <c r="E15" s="814">
        <f t="shared" si="0"/>
        <v>520650067</v>
      </c>
      <c r="F15" s="815">
        <f t="shared" si="0"/>
        <v>673103358</v>
      </c>
      <c r="G15" s="813">
        <f t="shared" si="0"/>
        <v>504029658</v>
      </c>
      <c r="H15" s="816">
        <f t="shared" si="0"/>
        <v>504029658</v>
      </c>
      <c r="I15" s="815">
        <f t="shared" si="0"/>
        <v>504029658</v>
      </c>
      <c r="J15" s="1108">
        <f t="shared" si="0"/>
        <v>768192492.38000011</v>
      </c>
      <c r="K15" s="813">
        <f t="shared" si="0"/>
        <v>970405295.4000001</v>
      </c>
      <c r="L15" s="814">
        <f t="shared" si="0"/>
        <v>1114150321</v>
      </c>
    </row>
    <row r="16" spans="1:12" ht="5" customHeight="1">
      <c r="A16" s="201"/>
      <c r="B16" s="293"/>
      <c r="C16" s="203"/>
      <c r="D16" s="203"/>
      <c r="E16" s="204"/>
      <c r="F16" s="205"/>
      <c r="G16" s="203"/>
      <c r="H16" s="204"/>
      <c r="I16" s="202"/>
      <c r="J16" s="206"/>
      <c r="K16" s="203"/>
      <c r="L16" s="204"/>
    </row>
    <row r="17" spans="1:12" ht="11.25" customHeight="1">
      <c r="A17" s="326" t="s">
        <v>297</v>
      </c>
      <c r="B17" s="293"/>
      <c r="C17" s="203"/>
      <c r="D17" s="203"/>
      <c r="E17" s="204"/>
      <c r="F17" s="205"/>
      <c r="G17" s="203"/>
      <c r="H17" s="204"/>
      <c r="I17" s="202"/>
      <c r="J17" s="206"/>
      <c r="K17" s="203"/>
      <c r="L17" s="204"/>
    </row>
    <row r="18" spans="1:12" ht="11.25" customHeight="1">
      <c r="A18" s="326" t="s">
        <v>831</v>
      </c>
      <c r="B18" s="293"/>
      <c r="C18" s="218"/>
      <c r="D18" s="218"/>
      <c r="E18" s="219"/>
      <c r="F18" s="220"/>
      <c r="G18" s="218"/>
      <c r="H18" s="219"/>
      <c r="I18" s="217"/>
      <c r="J18" s="221"/>
      <c r="K18" s="218"/>
      <c r="L18" s="219"/>
    </row>
    <row r="19" spans="1:12" ht="11.25" customHeight="1">
      <c r="A19" s="325" t="s">
        <v>1535</v>
      </c>
      <c r="B19" s="293"/>
      <c r="C19" s="1635">
        <v>17358104</v>
      </c>
      <c r="D19" s="1635">
        <v>1801341</v>
      </c>
      <c r="E19" s="1635">
        <v>4438933</v>
      </c>
      <c r="F19" s="1642">
        <v>123505800</v>
      </c>
      <c r="G19" s="1638">
        <v>63505800</v>
      </c>
      <c r="H19" s="1638">
        <v>63505800</v>
      </c>
      <c r="I19" s="1638">
        <v>63505800</v>
      </c>
      <c r="J19" s="2534">
        <v>100071607</v>
      </c>
      <c r="K19" s="1615">
        <v>50000000</v>
      </c>
      <c r="L19" s="1635">
        <v>0</v>
      </c>
    </row>
    <row r="20" spans="1:12" ht="11.25" customHeight="1">
      <c r="A20" s="325" t="s">
        <v>1243</v>
      </c>
      <c r="B20" s="293"/>
      <c r="C20" s="2589">
        <v>0</v>
      </c>
      <c r="D20" s="1639">
        <v>0</v>
      </c>
      <c r="E20" s="1639">
        <v>0</v>
      </c>
      <c r="F20" s="2534"/>
      <c r="G20" s="1615">
        <v>0</v>
      </c>
      <c r="H20" s="1615">
        <v>0</v>
      </c>
      <c r="I20" s="1615">
        <v>0</v>
      </c>
      <c r="J20" s="2534"/>
      <c r="K20" s="1615"/>
      <c r="L20" s="1635"/>
    </row>
    <row r="21" spans="1:12" ht="11.25" customHeight="1">
      <c r="A21" s="325" t="s">
        <v>696</v>
      </c>
      <c r="B21" s="293"/>
      <c r="C21" s="1635">
        <v>940604</v>
      </c>
      <c r="D21" s="1635">
        <v>2825737</v>
      </c>
      <c r="E21" s="1635">
        <v>0</v>
      </c>
      <c r="F21" s="1642">
        <v>1550409</v>
      </c>
      <c r="G21" s="1638">
        <v>1550409</v>
      </c>
      <c r="H21" s="1638">
        <v>1550409</v>
      </c>
      <c r="I21" s="1638">
        <v>1550409</v>
      </c>
      <c r="J21" s="1642"/>
      <c r="K21" s="1638"/>
      <c r="L21" s="1639"/>
    </row>
    <row r="22" spans="1:12" ht="11.25" customHeight="1">
      <c r="A22" s="325" t="s">
        <v>697</v>
      </c>
      <c r="B22" s="293"/>
      <c r="C22" s="1635">
        <v>0</v>
      </c>
      <c r="D22" s="1635">
        <v>0</v>
      </c>
      <c r="E22" s="1635">
        <v>-106044</v>
      </c>
      <c r="F22" s="2534"/>
      <c r="G22" s="1615">
        <v>300000000</v>
      </c>
      <c r="H22" s="1615">
        <v>600000000</v>
      </c>
      <c r="I22" s="1615">
        <v>600000000</v>
      </c>
      <c r="J22" s="2534">
        <v>200000000</v>
      </c>
      <c r="K22" s="1615">
        <v>150000000</v>
      </c>
      <c r="L22" s="1635">
        <v>100000000</v>
      </c>
    </row>
    <row r="23" spans="1:12" ht="11.25" customHeight="1">
      <c r="A23" s="326" t="s">
        <v>832</v>
      </c>
      <c r="B23" s="293"/>
      <c r="C23" s="1291"/>
      <c r="D23" s="1291"/>
      <c r="E23" s="1331"/>
      <c r="F23" s="1332"/>
      <c r="G23" s="1291"/>
      <c r="H23" s="1331"/>
      <c r="I23" s="1333"/>
      <c r="J23" s="1292"/>
      <c r="K23" s="1291"/>
      <c r="L23" s="1331"/>
    </row>
    <row r="24" spans="1:12" ht="11.25" customHeight="1">
      <c r="A24" s="190" t="s">
        <v>1487</v>
      </c>
      <c r="B24" s="293"/>
      <c r="C24" s="1635">
        <v>-237496101</v>
      </c>
      <c r="D24" s="1635">
        <v>-204590882</v>
      </c>
      <c r="E24" s="1635">
        <v>-290669378</v>
      </c>
      <c r="F24" s="2534">
        <v>-888772984</v>
      </c>
      <c r="G24" s="1615">
        <v>-949748854</v>
      </c>
      <c r="H24" s="1615">
        <v>-949748854</v>
      </c>
      <c r="I24" s="1615">
        <v>-949748854</v>
      </c>
      <c r="J24" s="2534">
        <v>-1313659361</v>
      </c>
      <c r="K24" s="1615">
        <v>-1810422448</v>
      </c>
      <c r="L24" s="1635">
        <v>-1041880000</v>
      </c>
    </row>
    <row r="25" spans="1:12" ht="11.25" customHeight="1">
      <c r="A25" s="342" t="s">
        <v>699</v>
      </c>
      <c r="B25" s="343"/>
      <c r="C25" s="813">
        <f>SUM(C19:C22)+C24</f>
        <v>-219197393</v>
      </c>
      <c r="D25" s="813">
        <f t="shared" ref="D25:L25" si="1">SUM(D19:D22)+D24</f>
        <v>-199963804</v>
      </c>
      <c r="E25" s="814">
        <f t="shared" si="1"/>
        <v>-286336489</v>
      </c>
      <c r="F25" s="815">
        <f t="shared" si="1"/>
        <v>-763716775</v>
      </c>
      <c r="G25" s="813">
        <f t="shared" si="1"/>
        <v>-584692645</v>
      </c>
      <c r="H25" s="814">
        <f t="shared" si="1"/>
        <v>-284692645</v>
      </c>
      <c r="I25" s="816">
        <f t="shared" si="1"/>
        <v>-284692645</v>
      </c>
      <c r="J25" s="1108">
        <f t="shared" si="1"/>
        <v>-1013587754</v>
      </c>
      <c r="K25" s="813">
        <f t="shared" si="1"/>
        <v>-1610422448</v>
      </c>
      <c r="L25" s="814">
        <f t="shared" si="1"/>
        <v>-941880000</v>
      </c>
    </row>
    <row r="26" spans="1:12" ht="5" customHeight="1">
      <c r="A26" s="201"/>
      <c r="B26" s="293"/>
      <c r="C26" s="203"/>
      <c r="D26" s="203"/>
      <c r="E26" s="204"/>
      <c r="F26" s="205"/>
      <c r="G26" s="203"/>
      <c r="H26" s="204"/>
      <c r="I26" s="202"/>
      <c r="J26" s="206"/>
      <c r="K26" s="203"/>
      <c r="L26" s="204"/>
    </row>
    <row r="27" spans="1:12" ht="11.25" customHeight="1">
      <c r="A27" s="326" t="s">
        <v>1296</v>
      </c>
      <c r="B27" s="293"/>
      <c r="C27" s="203"/>
      <c r="D27" s="203"/>
      <c r="E27" s="204"/>
      <c r="F27" s="205"/>
      <c r="G27" s="203"/>
      <c r="H27" s="204"/>
      <c r="I27" s="202"/>
      <c r="J27" s="206"/>
      <c r="K27" s="203"/>
      <c r="L27" s="204"/>
    </row>
    <row r="28" spans="1:12" ht="11.25" customHeight="1">
      <c r="A28" s="326" t="s">
        <v>831</v>
      </c>
      <c r="B28" s="293"/>
      <c r="C28" s="203"/>
      <c r="D28" s="203"/>
      <c r="E28" s="204"/>
      <c r="F28" s="205"/>
      <c r="G28" s="203"/>
      <c r="H28" s="204"/>
      <c r="I28" s="202"/>
      <c r="J28" s="206"/>
      <c r="K28" s="203"/>
      <c r="L28" s="204"/>
    </row>
    <row r="29" spans="1:12" ht="11.25" customHeight="1">
      <c r="A29" s="190" t="s">
        <v>834</v>
      </c>
      <c r="B29" s="293"/>
      <c r="C29" s="1635">
        <v>0</v>
      </c>
      <c r="D29" s="1635">
        <v>0</v>
      </c>
      <c r="E29" s="1635">
        <v>0</v>
      </c>
      <c r="F29" s="2534">
        <v>0</v>
      </c>
      <c r="G29" s="1615">
        <v>0</v>
      </c>
      <c r="H29" s="1615">
        <v>0</v>
      </c>
      <c r="I29" s="1615">
        <v>0</v>
      </c>
      <c r="J29" s="2534"/>
      <c r="K29" s="1615"/>
      <c r="L29" s="1635"/>
    </row>
    <row r="30" spans="1:12" ht="11.25" customHeight="1">
      <c r="A30" s="325" t="s">
        <v>799</v>
      </c>
      <c r="B30" s="293"/>
      <c r="C30" s="1635">
        <v>0</v>
      </c>
      <c r="D30" s="1635">
        <v>0</v>
      </c>
      <c r="E30" s="1635">
        <v>0</v>
      </c>
      <c r="F30" s="2534">
        <v>0</v>
      </c>
      <c r="G30" s="1615">
        <v>0</v>
      </c>
      <c r="H30" s="1615">
        <v>0</v>
      </c>
      <c r="I30" s="1615">
        <v>0</v>
      </c>
      <c r="J30" s="2534">
        <v>349325000</v>
      </c>
      <c r="K30" s="1615">
        <v>462500000</v>
      </c>
      <c r="L30" s="1635">
        <v>27500000</v>
      </c>
    </row>
    <row r="31" spans="1:12" ht="11.25" customHeight="1">
      <c r="A31" s="325" t="s">
        <v>386</v>
      </c>
      <c r="B31" s="293"/>
      <c r="C31" s="1635">
        <v>593675</v>
      </c>
      <c r="D31" s="1635">
        <v>665966</v>
      </c>
      <c r="E31" s="1635">
        <v>0</v>
      </c>
      <c r="F31" s="2534">
        <v>8615840</v>
      </c>
      <c r="G31" s="1638">
        <v>18511461</v>
      </c>
      <c r="H31" s="1638">
        <v>18511461</v>
      </c>
      <c r="I31" s="1638">
        <v>18511461</v>
      </c>
      <c r="J31" s="2534">
        <v>815521</v>
      </c>
      <c r="K31" s="1615">
        <v>858849</v>
      </c>
      <c r="L31" s="1635">
        <v>904368</v>
      </c>
    </row>
    <row r="32" spans="1:12" ht="11.25" customHeight="1">
      <c r="A32" s="333" t="s">
        <v>832</v>
      </c>
      <c r="B32" s="293"/>
      <c r="C32" s="1291"/>
      <c r="D32" s="1291"/>
      <c r="E32" s="1331"/>
      <c r="F32" s="1332"/>
      <c r="G32" s="1291"/>
      <c r="H32" s="1331"/>
      <c r="I32" s="1333"/>
      <c r="J32" s="1292"/>
      <c r="K32" s="1291"/>
      <c r="L32" s="1331"/>
    </row>
    <row r="33" spans="1:16" ht="11.25" customHeight="1">
      <c r="A33" s="325" t="s">
        <v>833</v>
      </c>
      <c r="B33" s="293"/>
      <c r="C33" s="1055">
        <v>-3311200</v>
      </c>
      <c r="D33" s="1635">
        <v>685061</v>
      </c>
      <c r="E33" s="1635">
        <v>-7636943</v>
      </c>
      <c r="F33" s="2534">
        <v>-6529874</v>
      </c>
      <c r="G33" s="1615">
        <v>-2529874</v>
      </c>
      <c r="H33" s="1615">
        <v>-2529874</v>
      </c>
      <c r="I33" s="1615">
        <v>-2529874</v>
      </c>
      <c r="J33" s="2534">
        <f>-21705420.4*2</f>
        <v>-43410840.799999997</v>
      </c>
      <c r="K33" s="1615">
        <f>-24787010.12*2</f>
        <v>-49574020.240000002</v>
      </c>
      <c r="L33" s="1635">
        <f>-27951616.32*2</f>
        <v>-55903232.640000001</v>
      </c>
    </row>
    <row r="34" spans="1:16" ht="11.25" customHeight="1">
      <c r="A34" s="342" t="s">
        <v>830</v>
      </c>
      <c r="B34" s="343"/>
      <c r="C34" s="813">
        <f>SUM(C29:C31)+C33</f>
        <v>-2717525</v>
      </c>
      <c r="D34" s="813">
        <f t="shared" ref="D34:L34" si="2">SUM(D29:D31)+D33</f>
        <v>1351027</v>
      </c>
      <c r="E34" s="814">
        <f t="shared" si="2"/>
        <v>-7636943</v>
      </c>
      <c r="F34" s="815">
        <f t="shared" si="2"/>
        <v>2085966</v>
      </c>
      <c r="G34" s="813">
        <f t="shared" si="2"/>
        <v>15981587</v>
      </c>
      <c r="H34" s="814">
        <f t="shared" si="2"/>
        <v>15981587</v>
      </c>
      <c r="I34" s="816">
        <f t="shared" si="2"/>
        <v>15981587</v>
      </c>
      <c r="J34" s="1108">
        <f t="shared" si="2"/>
        <v>306729680.19999999</v>
      </c>
      <c r="K34" s="813">
        <f t="shared" si="2"/>
        <v>413784828.75999999</v>
      </c>
      <c r="L34" s="814">
        <f t="shared" si="2"/>
        <v>-27498864.640000001</v>
      </c>
    </row>
    <row r="35" spans="1:16" ht="5" customHeight="1">
      <c r="A35" s="201"/>
      <c r="B35" s="293"/>
      <c r="C35" s="203"/>
      <c r="D35" s="203"/>
      <c r="E35" s="204"/>
      <c r="F35" s="205"/>
      <c r="G35" s="203"/>
      <c r="H35" s="204"/>
      <c r="I35" s="202"/>
      <c r="J35" s="206"/>
      <c r="K35" s="203"/>
      <c r="L35" s="204"/>
    </row>
    <row r="36" spans="1:16" ht="11.25" customHeight="1">
      <c r="A36" s="326" t="s">
        <v>1570</v>
      </c>
      <c r="B36" s="293"/>
      <c r="C36" s="218">
        <f>C15+C25+C34</f>
        <v>-47535209</v>
      </c>
      <c r="D36" s="218">
        <f t="shared" ref="D36:L36" si="3">D15+D25+D34</f>
        <v>129809216</v>
      </c>
      <c r="E36" s="219">
        <f t="shared" si="3"/>
        <v>226676635</v>
      </c>
      <c r="F36" s="220">
        <f t="shared" si="3"/>
        <v>-88527451</v>
      </c>
      <c r="G36" s="218">
        <f t="shared" si="3"/>
        <v>-64681400</v>
      </c>
      <c r="H36" s="219">
        <f t="shared" si="3"/>
        <v>235318600</v>
      </c>
      <c r="I36" s="217">
        <f t="shared" si="3"/>
        <v>235318600</v>
      </c>
      <c r="J36" s="221">
        <f t="shared" si="3"/>
        <v>61334418.580000103</v>
      </c>
      <c r="K36" s="218">
        <f t="shared" si="3"/>
        <v>-226232323.83999991</v>
      </c>
      <c r="L36" s="219">
        <f t="shared" si="3"/>
        <v>144771456.36000001</v>
      </c>
    </row>
    <row r="37" spans="1:16" ht="11.25" customHeight="1">
      <c r="A37" s="190" t="s">
        <v>939</v>
      </c>
      <c r="B37" s="293">
        <v>2</v>
      </c>
      <c r="C37" s="1648">
        <v>535953386</v>
      </c>
      <c r="D37" s="218">
        <f>C38</f>
        <v>488418177</v>
      </c>
      <c r="E37" s="345">
        <f>D38</f>
        <v>618227393</v>
      </c>
      <c r="F37" s="1650">
        <f>+E38</f>
        <v>844904028</v>
      </c>
      <c r="G37" s="1650">
        <v>881546146</v>
      </c>
      <c r="H37" s="1650">
        <f>+G37</f>
        <v>881546146</v>
      </c>
      <c r="I37" s="217">
        <f>G37</f>
        <v>881546146</v>
      </c>
      <c r="J37" s="1653">
        <v>982296785</v>
      </c>
      <c r="K37" s="218">
        <f>J38</f>
        <v>1043631203.5800002</v>
      </c>
      <c r="L37" s="219">
        <f>K38</f>
        <v>817398879.74000025</v>
      </c>
    </row>
    <row r="38" spans="1:16" ht="11.25" customHeight="1">
      <c r="A38" s="1315" t="s">
        <v>1283</v>
      </c>
      <c r="B38" s="347">
        <v>2</v>
      </c>
      <c r="C38" s="283">
        <f>C36+C37</f>
        <v>488418177</v>
      </c>
      <c r="D38" s="348">
        <f>D36+D37</f>
        <v>618227393</v>
      </c>
      <c r="E38" s="284">
        <f>E36+E37</f>
        <v>844904028</v>
      </c>
      <c r="F38" s="285">
        <f t="shared" ref="F38:L38" si="4">F36+F37</f>
        <v>756376577</v>
      </c>
      <c r="G38" s="283">
        <f t="shared" si="4"/>
        <v>816864746</v>
      </c>
      <c r="H38" s="284">
        <f t="shared" si="4"/>
        <v>1116864746</v>
      </c>
      <c r="I38" s="1024">
        <f t="shared" si="4"/>
        <v>1116864746</v>
      </c>
      <c r="J38" s="349">
        <f t="shared" si="4"/>
        <v>1043631203.5800002</v>
      </c>
      <c r="K38" s="283">
        <f t="shared" si="4"/>
        <v>817398879.74000025</v>
      </c>
      <c r="L38" s="284">
        <f t="shared" si="4"/>
        <v>962170336.10000026</v>
      </c>
    </row>
    <row r="39" spans="1:16" s="709" customFormat="1" ht="11.25" customHeight="1">
      <c r="A39" s="1233" t="str">
        <f>head27a</f>
        <v>References</v>
      </c>
      <c r="B39" s="1234"/>
      <c r="C39" s="1238"/>
      <c r="D39" s="1236"/>
      <c r="E39" s="1238"/>
      <c r="F39" s="1238"/>
      <c r="G39" s="1238"/>
      <c r="H39" s="1238"/>
      <c r="I39" s="1238"/>
      <c r="J39" s="1238"/>
      <c r="K39" s="1238"/>
      <c r="L39" s="1238"/>
      <c r="M39" s="149"/>
      <c r="N39" s="149"/>
      <c r="O39" s="149"/>
      <c r="P39" s="149"/>
    </row>
    <row r="40" spans="1:16" s="709" customFormat="1" ht="11.25" customHeight="1">
      <c r="A40" s="1195" t="s">
        <v>1127</v>
      </c>
      <c r="B40" s="1234"/>
      <c r="C40" s="1238"/>
      <c r="D40" s="1236"/>
      <c r="E40" s="1238"/>
      <c r="F40" s="1238"/>
      <c r="G40" s="1238"/>
      <c r="H40" s="1238"/>
      <c r="I40" s="1238"/>
      <c r="J40" s="1238"/>
      <c r="K40" s="1238"/>
      <c r="L40" s="1238"/>
      <c r="M40" s="149"/>
      <c r="N40" s="149"/>
      <c r="O40" s="149"/>
      <c r="P40" s="149"/>
    </row>
    <row r="41" spans="1:16" s="709" customFormat="1" ht="11.25" customHeight="1">
      <c r="A41" s="1195" t="s">
        <v>940</v>
      </c>
      <c r="B41" s="1234"/>
      <c r="C41" s="1237"/>
      <c r="D41" s="1237"/>
      <c r="E41" s="1238"/>
      <c r="F41" s="1238"/>
      <c r="G41" s="1238"/>
      <c r="H41" s="1238"/>
      <c r="I41" s="1238"/>
      <c r="J41" s="1238"/>
      <c r="K41" s="1238"/>
      <c r="L41" s="1238"/>
      <c r="N41" s="149"/>
      <c r="O41" s="149"/>
      <c r="P41" s="149"/>
    </row>
    <row r="42" spans="1:16" ht="11.25" customHeight="1">
      <c r="A42" s="1264"/>
      <c r="B42" s="1194"/>
      <c r="C42" s="1240"/>
      <c r="D42" s="1240"/>
      <c r="E42" s="1266"/>
      <c r="F42" s="1241"/>
      <c r="G42" s="1241"/>
      <c r="H42" s="1241"/>
      <c r="I42" s="1241"/>
      <c r="J42" s="1241"/>
      <c r="K42" s="1241"/>
      <c r="L42" s="1241"/>
    </row>
    <row r="43" spans="1:16" ht="11.25" customHeight="1">
      <c r="A43" s="1265" t="s">
        <v>621</v>
      </c>
      <c r="B43" s="1234"/>
      <c r="C43" s="1225">
        <f>SUM(C6:C10)+SUM(C19:C21)</f>
        <v>1892648634</v>
      </c>
      <c r="D43" s="1225">
        <f t="shared" ref="D43:L43" si="5">SUM(D6:D10)+SUM(D19:D21)</f>
        <v>1905869288</v>
      </c>
      <c r="E43" s="1225">
        <f t="shared" si="5"/>
        <v>1917287521</v>
      </c>
      <c r="F43" s="1225">
        <f t="shared" si="5"/>
        <v>3102154839</v>
      </c>
      <c r="G43" s="1225">
        <f t="shared" si="5"/>
        <v>3134548222</v>
      </c>
      <c r="H43" s="1225">
        <f t="shared" si="5"/>
        <v>3134548222</v>
      </c>
      <c r="I43" s="1225">
        <f t="shared" si="5"/>
        <v>3134548222</v>
      </c>
      <c r="J43" s="1225">
        <f t="shared" si="5"/>
        <v>3282540370.3800001</v>
      </c>
      <c r="K43" s="1225">
        <f t="shared" si="5"/>
        <v>3540619270.4000001</v>
      </c>
      <c r="L43" s="1225">
        <f t="shared" si="5"/>
        <v>3887019646</v>
      </c>
    </row>
    <row r="44" spans="1:16" ht="11.25" customHeight="1">
      <c r="A44" s="1265" t="s">
        <v>266</v>
      </c>
      <c r="B44" s="1234"/>
      <c r="C44" s="1225">
        <f>SUM(C12:C14)+C24</f>
        <v>-1937466318</v>
      </c>
      <c r="D44" s="1225">
        <f t="shared" ref="D44:L44" si="6">SUM(D12:D14)+D24</f>
        <v>-1777411099</v>
      </c>
      <c r="E44" s="1225">
        <f t="shared" si="6"/>
        <v>-1682867899</v>
      </c>
      <c r="F44" s="1225">
        <f t="shared" si="6"/>
        <v>-3192768256</v>
      </c>
      <c r="G44" s="1225">
        <f t="shared" si="6"/>
        <v>-3515211209</v>
      </c>
      <c r="H44" s="1225">
        <f t="shared" si="6"/>
        <v>-3515211209</v>
      </c>
      <c r="I44" s="1225">
        <f t="shared" si="6"/>
        <v>-3515211209</v>
      </c>
      <c r="J44" s="1225">
        <f t="shared" si="6"/>
        <v>-3727935632</v>
      </c>
      <c r="K44" s="1225">
        <f t="shared" si="6"/>
        <v>-4330636423</v>
      </c>
      <c r="L44" s="1225">
        <f t="shared" si="6"/>
        <v>-3814749325</v>
      </c>
    </row>
    <row r="45" spans="1:16" ht="11.25" customHeight="1">
      <c r="A45" s="1265"/>
      <c r="B45" s="1234"/>
      <c r="C45" s="1225">
        <f>C43+C44</f>
        <v>-44817684</v>
      </c>
      <c r="D45" s="1225">
        <f t="shared" ref="D45:L45" si="7">D43+D44</f>
        <v>128458189</v>
      </c>
      <c r="E45" s="1225">
        <f t="shared" si="7"/>
        <v>234419622</v>
      </c>
      <c r="F45" s="1225">
        <f t="shared" si="7"/>
        <v>-90613417</v>
      </c>
      <c r="G45" s="1225">
        <f t="shared" si="7"/>
        <v>-380662987</v>
      </c>
      <c r="H45" s="1225">
        <f t="shared" si="7"/>
        <v>-380662987</v>
      </c>
      <c r="I45" s="1225">
        <f t="shared" si="7"/>
        <v>-380662987</v>
      </c>
      <c r="J45" s="1225">
        <f t="shared" si="7"/>
        <v>-445395261.61999989</v>
      </c>
      <c r="K45" s="1225">
        <f t="shared" si="7"/>
        <v>-790017152.5999999</v>
      </c>
      <c r="L45" s="1225">
        <f t="shared" si="7"/>
        <v>72270321</v>
      </c>
    </row>
    <row r="46" spans="1:16" ht="11.25" customHeight="1">
      <c r="A46" s="1265" t="s">
        <v>343</v>
      </c>
      <c r="B46" s="704"/>
      <c r="C46" s="1225">
        <f>C22+C30+C31</f>
        <v>593675</v>
      </c>
      <c r="D46" s="1225">
        <f t="shared" ref="D46:L46" si="8">D22+D30+D31</f>
        <v>665966</v>
      </c>
      <c r="E46" s="1225">
        <f t="shared" si="8"/>
        <v>-106044</v>
      </c>
      <c r="F46" s="1225">
        <f t="shared" si="8"/>
        <v>8615840</v>
      </c>
      <c r="G46" s="1225">
        <f t="shared" si="8"/>
        <v>318511461</v>
      </c>
      <c r="H46" s="1225">
        <f t="shared" si="8"/>
        <v>618511461</v>
      </c>
      <c r="I46" s="1225">
        <f t="shared" si="8"/>
        <v>618511461</v>
      </c>
      <c r="J46" s="1225">
        <f t="shared" si="8"/>
        <v>550140521</v>
      </c>
      <c r="K46" s="1225">
        <f t="shared" si="8"/>
        <v>613358849</v>
      </c>
      <c r="L46" s="1225">
        <f t="shared" si="8"/>
        <v>128404368</v>
      </c>
    </row>
    <row r="47" spans="1:16" ht="11.25" customHeight="1">
      <c r="A47" s="1265" t="str">
        <f>A33</f>
        <v>Repayment of borrowing</v>
      </c>
      <c r="B47" s="704"/>
      <c r="C47" s="1225">
        <f>C33</f>
        <v>-3311200</v>
      </c>
      <c r="D47" s="1225">
        <f t="shared" ref="D47:L47" si="9">D33</f>
        <v>685061</v>
      </c>
      <c r="E47" s="1225">
        <f t="shared" si="9"/>
        <v>-7636943</v>
      </c>
      <c r="F47" s="1225">
        <f t="shared" si="9"/>
        <v>-6529874</v>
      </c>
      <c r="G47" s="1225">
        <f t="shared" si="9"/>
        <v>-2529874</v>
      </c>
      <c r="H47" s="1225">
        <f t="shared" si="9"/>
        <v>-2529874</v>
      </c>
      <c r="I47" s="1225">
        <f>I33</f>
        <v>-2529874</v>
      </c>
      <c r="J47" s="1225">
        <f t="shared" si="9"/>
        <v>-43410840.799999997</v>
      </c>
      <c r="K47" s="1225">
        <f t="shared" si="9"/>
        <v>-49574020.240000002</v>
      </c>
      <c r="L47" s="1225">
        <f t="shared" si="9"/>
        <v>-55903232.640000001</v>
      </c>
    </row>
    <row r="48" spans="1:16" ht="11.25" customHeight="1">
      <c r="A48" s="707"/>
      <c r="B48" s="704"/>
      <c r="C48" s="1225">
        <f>C45+C46+C47</f>
        <v>-47535209</v>
      </c>
      <c r="D48" s="1225">
        <f t="shared" ref="D48:L48" si="10">D45+D46+D47</f>
        <v>129809216</v>
      </c>
      <c r="E48" s="1225">
        <f t="shared" si="10"/>
        <v>226676635</v>
      </c>
      <c r="F48" s="1225">
        <f t="shared" si="10"/>
        <v>-88527451</v>
      </c>
      <c r="G48" s="1225">
        <f t="shared" si="10"/>
        <v>-64681400</v>
      </c>
      <c r="H48" s="1225">
        <f t="shared" si="10"/>
        <v>235318600</v>
      </c>
      <c r="I48" s="1225">
        <f t="shared" si="10"/>
        <v>235318600</v>
      </c>
      <c r="J48" s="1225">
        <f t="shared" si="10"/>
        <v>61334418.580000117</v>
      </c>
      <c r="K48" s="1225">
        <f t="shared" si="10"/>
        <v>-226232323.83999991</v>
      </c>
      <c r="L48" s="1225">
        <f t="shared" si="10"/>
        <v>144771456.36000001</v>
      </c>
    </row>
    <row r="49" spans="1:12" ht="11.25" customHeight="1">
      <c r="A49" s="707"/>
      <c r="B49" s="704"/>
      <c r="C49" s="1269">
        <f t="shared" ref="C49:L49" si="11">C36-C48</f>
        <v>0</v>
      </c>
      <c r="D49" s="1269">
        <f t="shared" si="11"/>
        <v>0</v>
      </c>
      <c r="E49" s="1269">
        <f t="shared" si="11"/>
        <v>0</v>
      </c>
      <c r="F49" s="1269">
        <f t="shared" si="11"/>
        <v>0</v>
      </c>
      <c r="G49" s="1269">
        <f t="shared" si="11"/>
        <v>0</v>
      </c>
      <c r="H49" s="1269">
        <f t="shared" si="11"/>
        <v>0</v>
      </c>
      <c r="I49" s="1269">
        <f t="shared" si="11"/>
        <v>0</v>
      </c>
      <c r="J49" s="1269">
        <f t="shared" si="11"/>
        <v>0</v>
      </c>
      <c r="K49" s="1269">
        <f t="shared" si="11"/>
        <v>0</v>
      </c>
      <c r="L49" s="1269">
        <f t="shared" si="11"/>
        <v>0</v>
      </c>
    </row>
    <row r="50" spans="1:12" ht="11.25" customHeight="1"/>
    <row r="51" spans="1:12" ht="11.25" customHeight="1"/>
    <row r="52" spans="1:12" ht="11.25" customHeight="1"/>
    <row r="53" spans="1:12" ht="11.25" customHeight="1"/>
    <row r="54" spans="1:12" ht="11.25" customHeight="1"/>
    <row r="55" spans="1:12" ht="11.25" customHeight="1"/>
    <row r="56" spans="1:12" ht="11.25" customHeight="1"/>
    <row r="57" spans="1:12" ht="11.25" customHeight="1"/>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sheetData>
  <sheetProtection password="C646" sheet="1" objects="1" scenarios="1"/>
  <mergeCells count="2">
    <mergeCell ref="J2:L2"/>
    <mergeCell ref="F2:I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enableFormatConditionsCalculation="0">
    <tabColor indexed="44"/>
    <pageSetUpPr fitToPage="1"/>
  </sheetPr>
  <dimension ref="A1:N98"/>
  <sheetViews>
    <sheetView showGridLines="0" workbookViewId="0">
      <pane xSplit="2" ySplit="3" topLeftCell="C4" activePane="bottomRight" state="frozen"/>
      <selection pane="topRight"/>
      <selection pane="bottomLeft"/>
      <selection pane="bottomRight" activeCell="J6" sqref="J6:L6"/>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2" s="179" customFormat="1" ht="12">
      <c r="A1" s="147" t="str">
        <f>muni&amp;" - "&amp;Approve8</f>
        <v>NW373 Rustenburg - Table A8 Consolidated Cash backed reserves/accumulated surplus reconciliation</v>
      </c>
      <c r="B1" s="147"/>
      <c r="C1" s="147"/>
      <c r="D1" s="147"/>
      <c r="E1" s="147"/>
      <c r="F1" s="147"/>
      <c r="G1" s="147"/>
      <c r="H1" s="147"/>
      <c r="I1" s="147"/>
      <c r="J1" s="147"/>
      <c r="K1" s="147"/>
      <c r="L1" s="147"/>
    </row>
    <row r="2" spans="1:12" ht="28.5" customHeight="1">
      <c r="A2" s="975" t="str">
        <f>desc</f>
        <v>Description</v>
      </c>
      <c r="B2" s="419"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2" ht="20">
      <c r="A3" s="180"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389" t="str">
        <f>Head5b</f>
        <v>Pre-audit outcome</v>
      </c>
      <c r="J3" s="299" t="str">
        <f>Head9</f>
        <v>Budget Year 2013/14</v>
      </c>
      <c r="K3" s="390" t="str">
        <f>Head10</f>
        <v>Budget Year +1 2014/15</v>
      </c>
      <c r="L3" s="391" t="str">
        <f>Head11</f>
        <v>Budget Year +2 2015/16</v>
      </c>
    </row>
    <row r="4" spans="1:12">
      <c r="A4" s="249" t="s">
        <v>1215</v>
      </c>
      <c r="B4" s="350"/>
      <c r="C4" s="207"/>
      <c r="D4" s="207"/>
      <c r="E4" s="264"/>
      <c r="F4" s="251"/>
      <c r="G4" s="207"/>
      <c r="H4" s="264"/>
      <c r="I4" s="210"/>
      <c r="J4" s="351"/>
      <c r="K4" s="207"/>
      <c r="L4" s="264"/>
    </row>
    <row r="5" spans="1:12" ht="11.25" customHeight="1">
      <c r="A5" s="250" t="str">
        <f>LEFT('A7-CFlow'!A38,37)</f>
        <v>Cash/cash equivalents at the year end</v>
      </c>
      <c r="B5" s="350">
        <v>1</v>
      </c>
      <c r="C5" s="207">
        <f>'A7-CFlow'!C38</f>
        <v>488418177</v>
      </c>
      <c r="D5" s="207">
        <f>'A7-CFlow'!D38</f>
        <v>618227393</v>
      </c>
      <c r="E5" s="264">
        <f>'A7-CFlow'!E38</f>
        <v>844904028</v>
      </c>
      <c r="F5" s="251">
        <f>'A7-CFlow'!F38</f>
        <v>756376577</v>
      </c>
      <c r="G5" s="207">
        <f>'A7-CFlow'!G38</f>
        <v>816864746</v>
      </c>
      <c r="H5" s="264">
        <f>'A7-CFlow'!H38</f>
        <v>1116864746</v>
      </c>
      <c r="I5" s="210">
        <f>'A7-CFlow'!I38</f>
        <v>1116864746</v>
      </c>
      <c r="J5" s="211">
        <f>'A7-CFlow'!J38</f>
        <v>1043631203.5800002</v>
      </c>
      <c r="K5" s="207">
        <f>'A7-CFlow'!K38</f>
        <v>817398879.74000025</v>
      </c>
      <c r="L5" s="264">
        <f>'A7-CFlow'!L38</f>
        <v>962170336.10000026</v>
      </c>
    </row>
    <row r="6" spans="1:12" ht="11.25" customHeight="1">
      <c r="A6" s="190" t="s">
        <v>1566</v>
      </c>
      <c r="B6" s="350"/>
      <c r="C6" s="207">
        <f>'A6-FinPos'!C6+'A6-FinPos'!C7-'A6-FinPos'!C29-'A8-ResRecon'!C5</f>
        <v>71452722</v>
      </c>
      <c r="D6" s="207">
        <f>'A6-FinPos'!D6+'A6-FinPos'!D7-'A6-FinPos'!D29-'A8-ResRecon'!D5</f>
        <v>76447003</v>
      </c>
      <c r="E6" s="264">
        <f>'A6-FinPos'!E6+'A6-FinPos'!E7-'A6-FinPos'!E29-'A8-ResRecon'!E5</f>
        <v>36642119</v>
      </c>
      <c r="F6" s="251">
        <f>'A6-FinPos'!F6+'A6-FinPos'!F7-'A6-FinPos'!F29-'A8-ResRecon'!F5</f>
        <v>433367010</v>
      </c>
      <c r="G6" s="207">
        <f>'A6-FinPos'!G6+'A6-FinPos'!G7-'A6-FinPos'!G29-'A8-ResRecon'!G5</f>
        <v>-491</v>
      </c>
      <c r="H6" s="264">
        <f>'A6-FinPos'!H6+'A6-FinPos'!H7-'A6-FinPos'!H29-'A8-ResRecon'!H5</f>
        <v>-491</v>
      </c>
      <c r="I6" s="210">
        <f>'A6-FinPos'!I6+'A6-FinPos'!I7-'A6-FinPos'!I29-'A8-ResRecon'!I5</f>
        <v>-491</v>
      </c>
      <c r="J6" s="211">
        <f>'A6-FinPos'!J6+'A6-FinPos'!J7-'A6-FinPos'!J29-'A8-ResRecon'!J5</f>
        <v>0</v>
      </c>
      <c r="K6" s="207">
        <f>'A6-FinPos'!K6+'A6-FinPos'!K7-'A6-FinPos'!K29-'A8-ResRecon'!K5</f>
        <v>0</v>
      </c>
      <c r="L6" s="264">
        <f>'A6-FinPos'!L6+'A6-FinPos'!L7-'A6-FinPos'!L29-'A8-ResRecon'!L5</f>
        <v>0</v>
      </c>
    </row>
    <row r="7" spans="1:12" ht="11.25" customHeight="1">
      <c r="A7" s="250" t="str">
        <f>'A6-FinPos'!A14&amp;" - "&amp;'A6-FinPos'!A16</f>
        <v>Non current assets - Investments</v>
      </c>
      <c r="B7" s="350">
        <v>1</v>
      </c>
      <c r="C7" s="207">
        <f>'A6-FinPos'!C16</f>
        <v>694884</v>
      </c>
      <c r="D7" s="207">
        <f>'A6-FinPos'!D16</f>
        <v>357847</v>
      </c>
      <c r="E7" s="264">
        <f>'A6-FinPos'!E16</f>
        <v>463891</v>
      </c>
      <c r="F7" s="258">
        <f>'A6-FinPos'!F16</f>
        <v>695884</v>
      </c>
      <c r="G7" s="256">
        <f>'A6-FinPos'!G16</f>
        <v>695884</v>
      </c>
      <c r="H7" s="262">
        <f>'A6-FinPos'!H16</f>
        <v>695884</v>
      </c>
      <c r="I7" s="210">
        <f>'A6-FinPos'!I16</f>
        <v>695884</v>
      </c>
      <c r="J7" s="263">
        <f>'A6-FinPos'!J16</f>
        <v>463891</v>
      </c>
      <c r="K7" s="256">
        <f>'A6-FinPos'!K16</f>
        <v>463891</v>
      </c>
      <c r="L7" s="262">
        <f>'A6-FinPos'!L16</f>
        <v>463891</v>
      </c>
    </row>
    <row r="8" spans="1:12" ht="11.25" customHeight="1">
      <c r="A8" s="797" t="s">
        <v>1216</v>
      </c>
      <c r="B8" s="812"/>
      <c r="C8" s="813">
        <f>SUM(C5:C7)</f>
        <v>560565783</v>
      </c>
      <c r="D8" s="813">
        <f t="shared" ref="D8:L8" si="0">SUM(D5:D7)</f>
        <v>695032243</v>
      </c>
      <c r="E8" s="814">
        <f t="shared" si="0"/>
        <v>882010038</v>
      </c>
      <c r="F8" s="815">
        <f t="shared" si="0"/>
        <v>1190439471</v>
      </c>
      <c r="G8" s="813">
        <f t="shared" si="0"/>
        <v>817560139</v>
      </c>
      <c r="H8" s="814">
        <f t="shared" si="0"/>
        <v>1117560139</v>
      </c>
      <c r="I8" s="816">
        <f t="shared" si="0"/>
        <v>1117560139</v>
      </c>
      <c r="J8" s="1108">
        <f t="shared" si="0"/>
        <v>1044095094.5800002</v>
      </c>
      <c r="K8" s="813">
        <f t="shared" si="0"/>
        <v>817862770.74000025</v>
      </c>
      <c r="L8" s="814">
        <f t="shared" si="0"/>
        <v>962634227.10000026</v>
      </c>
    </row>
    <row r="9" spans="1:12" ht="5" customHeight="1">
      <c r="A9" s="273"/>
      <c r="B9" s="350"/>
      <c r="C9" s="207"/>
      <c r="D9" s="207"/>
      <c r="E9" s="264"/>
      <c r="F9" s="251"/>
      <c r="G9" s="207"/>
      <c r="H9" s="264"/>
      <c r="I9" s="210"/>
      <c r="J9" s="211"/>
      <c r="K9" s="207"/>
      <c r="L9" s="264"/>
    </row>
    <row r="10" spans="1:12" ht="11.25" customHeight="1">
      <c r="A10" s="249" t="s">
        <v>1128</v>
      </c>
      <c r="B10" s="350"/>
      <c r="C10" s="207"/>
      <c r="D10" s="207"/>
      <c r="E10" s="264"/>
      <c r="F10" s="251"/>
      <c r="G10" s="207"/>
      <c r="H10" s="264"/>
      <c r="I10" s="210"/>
      <c r="J10" s="211"/>
      <c r="K10" s="207"/>
      <c r="L10" s="264"/>
    </row>
    <row r="11" spans="1:12" ht="11.25" customHeight="1">
      <c r="A11" s="250" t="str">
        <f>'SA3'!A36</f>
        <v>Unspent conditional transfers</v>
      </c>
      <c r="B11" s="350"/>
      <c r="C11" s="256">
        <f>'SA3'!C36</f>
        <v>75565261</v>
      </c>
      <c r="D11" s="207">
        <f>'SA3'!D36</f>
        <v>94952743</v>
      </c>
      <c r="E11" s="264">
        <f>'SA3'!E36</f>
        <v>236020963</v>
      </c>
      <c r="F11" s="251">
        <f>'SA3'!F36</f>
        <v>0</v>
      </c>
      <c r="G11" s="207">
        <f>'SA3'!G36</f>
        <v>0</v>
      </c>
      <c r="H11" s="264">
        <f>'SA3'!H36</f>
        <v>0</v>
      </c>
      <c r="I11" s="210">
        <f>'SA3'!I36</f>
        <v>0</v>
      </c>
      <c r="J11" s="211">
        <f>'SA3'!J36</f>
        <v>0</v>
      </c>
      <c r="K11" s="207">
        <f>'SA3'!K36</f>
        <v>0</v>
      </c>
      <c r="L11" s="264">
        <f>'SA3'!L36</f>
        <v>0</v>
      </c>
    </row>
    <row r="12" spans="1:12" ht="11.25" customHeight="1">
      <c r="A12" s="250" t="s">
        <v>156</v>
      </c>
      <c r="B12" s="350"/>
      <c r="C12" s="1466">
        <f>'SA17'!C67</f>
        <v>0</v>
      </c>
      <c r="D12" s="1466">
        <f>'SA17'!D67</f>
        <v>0</v>
      </c>
      <c r="E12" s="1467">
        <f>'SA17'!E67</f>
        <v>0</v>
      </c>
      <c r="F12" s="1468">
        <f>'SA17'!F67</f>
        <v>0</v>
      </c>
      <c r="G12" s="1466">
        <f>'SA17'!G67</f>
        <v>0</v>
      </c>
      <c r="H12" s="1467">
        <f>'SA17'!H67</f>
        <v>0</v>
      </c>
      <c r="I12" s="2286"/>
      <c r="J12" s="1470">
        <f>'SA17'!I67</f>
        <v>0</v>
      </c>
      <c r="K12" s="1466">
        <f>'SA17'!J67</f>
        <v>0</v>
      </c>
      <c r="L12" s="1467">
        <f>'SA17'!K67</f>
        <v>0</v>
      </c>
    </row>
    <row r="13" spans="1:12" ht="11.25" customHeight="1">
      <c r="A13" s="250" t="s">
        <v>1129</v>
      </c>
      <c r="B13" s="350">
        <v>2</v>
      </c>
      <c r="C13" s="1638">
        <v>44101743</v>
      </c>
      <c r="D13" s="1639">
        <v>62768349</v>
      </c>
      <c r="E13" s="1639">
        <v>90040867</v>
      </c>
      <c r="F13" s="1642">
        <v>80576952</v>
      </c>
      <c r="G13" s="1638">
        <v>80576952</v>
      </c>
      <c r="H13" s="1638">
        <v>80576952</v>
      </c>
      <c r="I13" s="1638">
        <v>80576952</v>
      </c>
      <c r="J13" s="1642">
        <v>95443319.019999996</v>
      </c>
      <c r="K13" s="1638">
        <v>101169918.1612</v>
      </c>
      <c r="L13" s="1639">
        <v>107240113.250872</v>
      </c>
    </row>
    <row r="14" spans="1:12" ht="11.25" customHeight="1">
      <c r="A14" s="250" t="s">
        <v>396</v>
      </c>
      <c r="B14" s="350">
        <v>3</v>
      </c>
      <c r="C14" s="207">
        <f>-C32</f>
        <v>39369410</v>
      </c>
      <c r="D14" s="207">
        <f t="shared" ref="D14:L14" si="1">-D32</f>
        <v>107842341</v>
      </c>
      <c r="E14" s="264">
        <f t="shared" si="1"/>
        <v>-111244445</v>
      </c>
      <c r="F14" s="251">
        <f>-F32</f>
        <v>108238837.56</v>
      </c>
      <c r="G14" s="207">
        <f t="shared" si="1"/>
        <v>-77230398.439999998</v>
      </c>
      <c r="H14" s="264">
        <f t="shared" si="1"/>
        <v>-130419398.44</v>
      </c>
      <c r="I14" s="210">
        <f t="shared" si="1"/>
        <v>-130419398.44</v>
      </c>
      <c r="J14" s="211">
        <f t="shared" si="1"/>
        <v>-149905921.42000008</v>
      </c>
      <c r="K14" s="207">
        <f t="shared" si="1"/>
        <v>3392804.7380002141</v>
      </c>
      <c r="L14" s="264">
        <f t="shared" si="1"/>
        <v>-106741018.597</v>
      </c>
    </row>
    <row r="15" spans="1:12" ht="11.25" customHeight="1">
      <c r="A15" s="250" t="s">
        <v>586</v>
      </c>
      <c r="B15" s="350"/>
      <c r="C15" s="1638">
        <v>193432085</v>
      </c>
      <c r="D15" s="1639">
        <v>111364662</v>
      </c>
      <c r="E15" s="1639">
        <f>3278000+119502566</f>
        <v>122780566</v>
      </c>
      <c r="F15" s="1642">
        <v>169690328</v>
      </c>
      <c r="G15" s="1642">
        <v>169690328</v>
      </c>
      <c r="H15" s="1642">
        <v>169690328</v>
      </c>
      <c r="I15" s="1642">
        <v>169690328</v>
      </c>
      <c r="J15" s="1642">
        <v>177926090.47499999</v>
      </c>
      <c r="K15" s="1638">
        <v>188747536.44787499</v>
      </c>
      <c r="L15" s="1639">
        <v>200235188.91358685</v>
      </c>
    </row>
    <row r="16" spans="1:12" ht="11.25" customHeight="1">
      <c r="A16" s="250" t="s">
        <v>397</v>
      </c>
      <c r="B16" s="350">
        <v>4</v>
      </c>
      <c r="C16" s="207">
        <f>C52</f>
        <v>0</v>
      </c>
      <c r="D16" s="207">
        <f t="shared" ref="D16:L16" si="2">D52</f>
        <v>0</v>
      </c>
      <c r="E16" s="264">
        <f t="shared" si="2"/>
        <v>0</v>
      </c>
      <c r="F16" s="258">
        <f t="shared" si="2"/>
        <v>0</v>
      </c>
      <c r="G16" s="256">
        <f t="shared" si="2"/>
        <v>0</v>
      </c>
      <c r="H16" s="262">
        <f t="shared" si="2"/>
        <v>0</v>
      </c>
      <c r="I16" s="261">
        <f t="shared" si="2"/>
        <v>0</v>
      </c>
      <c r="J16" s="263">
        <f t="shared" si="2"/>
        <v>0</v>
      </c>
      <c r="K16" s="256">
        <f t="shared" si="2"/>
        <v>0</v>
      </c>
      <c r="L16" s="262">
        <f t="shared" si="2"/>
        <v>0</v>
      </c>
    </row>
    <row r="17" spans="1:14" ht="11.25" customHeight="1">
      <c r="A17" s="250" t="s">
        <v>1217</v>
      </c>
      <c r="B17" s="350">
        <v>5</v>
      </c>
      <c r="C17" s="1053">
        <v>313503602</v>
      </c>
      <c r="D17" s="1054">
        <v>354096754</v>
      </c>
      <c r="E17" s="1635">
        <v>423642057</v>
      </c>
      <c r="F17" s="1057">
        <v>338335970</v>
      </c>
      <c r="G17" s="1057">
        <v>338335970</v>
      </c>
      <c r="H17" s="1057">
        <v>338335970</v>
      </c>
      <c r="I17" s="1057">
        <v>338335970</v>
      </c>
      <c r="J17" s="2534">
        <v>459708795</v>
      </c>
      <c r="K17" s="1615">
        <v>482694234.75000006</v>
      </c>
      <c r="L17" s="1635">
        <v>506828946.48750007</v>
      </c>
    </row>
    <row r="18" spans="1:14" ht="11.25" customHeight="1">
      <c r="A18" s="797" t="str">
        <f>"Total "&amp;A10&amp;":"</f>
        <v>Total Application of cash and investments:</v>
      </c>
      <c r="B18" s="812"/>
      <c r="C18" s="813">
        <f>SUM(C11:C17)</f>
        <v>665972101</v>
      </c>
      <c r="D18" s="813">
        <f t="shared" ref="D18:L18" si="3">SUM(D11:D17)</f>
        <v>731024849</v>
      </c>
      <c r="E18" s="814">
        <f t="shared" si="3"/>
        <v>761240008</v>
      </c>
      <c r="F18" s="815">
        <f t="shared" si="3"/>
        <v>696842087.55999994</v>
      </c>
      <c r="G18" s="813">
        <f t="shared" si="3"/>
        <v>511372851.56</v>
      </c>
      <c r="H18" s="814">
        <f t="shared" si="3"/>
        <v>458183851.56</v>
      </c>
      <c r="I18" s="816">
        <f t="shared" si="3"/>
        <v>458183851.56</v>
      </c>
      <c r="J18" s="1108">
        <f t="shared" si="3"/>
        <v>583172283.07499993</v>
      </c>
      <c r="K18" s="813">
        <f t="shared" si="3"/>
        <v>776004494.09707522</v>
      </c>
      <c r="L18" s="814">
        <f t="shared" si="3"/>
        <v>707563230.05495894</v>
      </c>
      <c r="N18" s="355"/>
    </row>
    <row r="19" spans="1:14" ht="11.25" customHeight="1">
      <c r="A19" s="397" t="s">
        <v>292</v>
      </c>
      <c r="B19" s="398"/>
      <c r="C19" s="348">
        <f>C8-C18</f>
        <v>-105406318</v>
      </c>
      <c r="D19" s="348">
        <f t="shared" ref="D19:L19" si="4">D8-D18</f>
        <v>-35992606</v>
      </c>
      <c r="E19" s="1109">
        <f t="shared" si="4"/>
        <v>120770030</v>
      </c>
      <c r="F19" s="1110">
        <f t="shared" si="4"/>
        <v>493597383.44000006</v>
      </c>
      <c r="G19" s="348">
        <f t="shared" si="4"/>
        <v>306187287.44</v>
      </c>
      <c r="H19" s="1109">
        <f t="shared" si="4"/>
        <v>659376287.44000006</v>
      </c>
      <c r="I19" s="1024">
        <f t="shared" si="4"/>
        <v>659376287.44000006</v>
      </c>
      <c r="J19" s="349">
        <f t="shared" si="4"/>
        <v>460922811.50500023</v>
      </c>
      <c r="K19" s="348">
        <f t="shared" si="4"/>
        <v>41858276.642925024</v>
      </c>
      <c r="L19" s="1109">
        <f t="shared" si="4"/>
        <v>255070997.04504132</v>
      </c>
      <c r="N19" s="355"/>
    </row>
    <row r="20" spans="1:14" ht="11.25" customHeight="1">
      <c r="A20" s="356" t="str">
        <f>head27a</f>
        <v>References</v>
      </c>
      <c r="B20" s="149"/>
      <c r="C20" s="310"/>
      <c r="D20" s="310"/>
      <c r="E20" s="310"/>
      <c r="F20" s="310"/>
      <c r="G20" s="310"/>
      <c r="H20" s="310"/>
      <c r="I20" s="310"/>
      <c r="J20" s="310"/>
      <c r="K20" s="310"/>
      <c r="L20" s="310"/>
    </row>
    <row r="21" spans="1:14" ht="11.25" customHeight="1">
      <c r="A21" s="357" t="s">
        <v>1488</v>
      </c>
      <c r="B21" s="149"/>
    </row>
    <row r="22" spans="1:14" ht="11.25" customHeight="1">
      <c r="A22" s="357" t="s">
        <v>1130</v>
      </c>
      <c r="B22" s="149"/>
    </row>
    <row r="23" spans="1:14" ht="11.25" customHeight="1">
      <c r="A23" s="357" t="s">
        <v>298</v>
      </c>
      <c r="B23" s="149"/>
    </row>
    <row r="24" spans="1:14" ht="11.25" customHeight="1">
      <c r="A24" s="357" t="s">
        <v>300</v>
      </c>
      <c r="B24" s="149"/>
    </row>
    <row r="25" spans="1:14" ht="11.25" customHeight="1">
      <c r="A25" s="357" t="s">
        <v>299</v>
      </c>
      <c r="B25" s="149"/>
    </row>
    <row r="26" spans="1:14" ht="6" customHeight="1">
      <c r="B26" s="149"/>
    </row>
    <row r="27" spans="1:14" ht="11.25" customHeight="1">
      <c r="A27" s="358"/>
      <c r="B27" s="149"/>
      <c r="C27" s="396"/>
      <c r="D27" s="396"/>
      <c r="E27" s="396"/>
      <c r="F27" s="396"/>
      <c r="G27" s="396"/>
      <c r="H27" s="396"/>
      <c r="I27" s="396"/>
      <c r="J27" s="396"/>
      <c r="K27" s="396"/>
      <c r="L27" s="396"/>
    </row>
    <row r="28" spans="1:14" ht="11.25" customHeight="1">
      <c r="A28" s="359" t="s">
        <v>396</v>
      </c>
      <c r="B28" s="149"/>
      <c r="C28" s="396"/>
      <c r="D28" s="396"/>
      <c r="E28" s="396"/>
      <c r="F28" s="396"/>
      <c r="G28" s="396"/>
      <c r="H28" s="396"/>
      <c r="I28" s="396"/>
      <c r="J28" s="396"/>
      <c r="K28" s="396"/>
      <c r="L28" s="396"/>
    </row>
    <row r="29" spans="1:14" ht="11.25" customHeight="1">
      <c r="A29" s="360" t="s">
        <v>2239</v>
      </c>
      <c r="B29" s="149"/>
      <c r="C29" s="1067">
        <f>IF(ISERROR(ROUND(C35*C36,-3)),0,(ROUND(C35*C36,-3)))</f>
        <v>210369000</v>
      </c>
      <c r="D29" s="1067">
        <f t="shared" ref="D29:L29" si="5">IF(ISERROR(ROUND(D35*D36,-3)),0,(ROUND(D35*D36,-3)))</f>
        <v>86138000</v>
      </c>
      <c r="E29" s="1067">
        <f t="shared" si="5"/>
        <v>418766000</v>
      </c>
      <c r="F29" s="1067">
        <f t="shared" si="5"/>
        <v>224260000</v>
      </c>
      <c r="G29" s="1067">
        <f t="shared" si="5"/>
        <v>257719000</v>
      </c>
      <c r="H29" s="1067">
        <f t="shared" si="5"/>
        <v>310908000</v>
      </c>
      <c r="I29" s="1067">
        <f t="shared" si="5"/>
        <v>310908000</v>
      </c>
      <c r="J29" s="1067">
        <f t="shared" si="5"/>
        <v>274069000</v>
      </c>
      <c r="K29" s="1067">
        <f t="shared" si="5"/>
        <v>322575000</v>
      </c>
      <c r="L29" s="1067">
        <f t="shared" si="5"/>
        <v>412423000</v>
      </c>
    </row>
    <row r="30" spans="1:14" s="370" customFormat="1" ht="3" customHeight="1">
      <c r="A30" s="360"/>
      <c r="C30" s="1067"/>
      <c r="D30" s="1067"/>
      <c r="E30" s="1067"/>
      <c r="F30" s="1067"/>
      <c r="G30" s="1067"/>
      <c r="H30" s="1067"/>
      <c r="I30" s="1067"/>
      <c r="J30" s="1067"/>
      <c r="K30" s="1067"/>
      <c r="L30" s="1067"/>
    </row>
    <row r="31" spans="1:14" ht="11.25" customHeight="1">
      <c r="A31" s="360" t="s">
        <v>2234</v>
      </c>
      <c r="B31" s="149"/>
      <c r="C31" s="1067">
        <f>'SA3'!C35</f>
        <v>249738410</v>
      </c>
      <c r="D31" s="1067">
        <f>'SA3'!D35</f>
        <v>193980341</v>
      </c>
      <c r="E31" s="1067">
        <f>'SA3'!E35</f>
        <v>307521555</v>
      </c>
      <c r="F31" s="1067">
        <f>'SA3'!F35</f>
        <v>332498837.56</v>
      </c>
      <c r="G31" s="1067">
        <f>'SA3'!G35</f>
        <v>180488601.56</v>
      </c>
      <c r="H31" s="1067">
        <f>'SA3'!H35</f>
        <v>180488601.56</v>
      </c>
      <c r="I31" s="1067">
        <f>'SA3'!I35</f>
        <v>180488601.56</v>
      </c>
      <c r="J31" s="1067">
        <f>'SA3'!J35</f>
        <v>124163078.57999992</v>
      </c>
      <c r="K31" s="1067">
        <f>'SA3'!K35</f>
        <v>325967804.73800021</v>
      </c>
      <c r="L31" s="1067">
        <f>'SA3'!L35</f>
        <v>305681981.403</v>
      </c>
    </row>
    <row r="32" spans="1:14" ht="11.25" customHeight="1">
      <c r="A32" s="360" t="s">
        <v>776</v>
      </c>
      <c r="B32" s="149"/>
      <c r="C32" s="2470">
        <f>C29-C31</f>
        <v>-39369410</v>
      </c>
      <c r="D32" s="2470">
        <f t="shared" ref="D32:L32" si="6">D29-D31</f>
        <v>-107842341</v>
      </c>
      <c r="E32" s="2470">
        <f t="shared" si="6"/>
        <v>111244445</v>
      </c>
      <c r="F32" s="2470">
        <f t="shared" si="6"/>
        <v>-108238837.56</v>
      </c>
      <c r="G32" s="2470">
        <f t="shared" si="6"/>
        <v>77230398.439999998</v>
      </c>
      <c r="H32" s="2470">
        <f t="shared" si="6"/>
        <v>130419398.44</v>
      </c>
      <c r="I32" s="2470">
        <f t="shared" si="6"/>
        <v>130419398.44</v>
      </c>
      <c r="J32" s="2470">
        <f t="shared" si="6"/>
        <v>149905921.42000008</v>
      </c>
      <c r="K32" s="2470">
        <f t="shared" si="6"/>
        <v>-3392804.7380002141</v>
      </c>
      <c r="L32" s="2470">
        <f t="shared" si="6"/>
        <v>106741018.597</v>
      </c>
    </row>
    <row r="33" spans="1:12" ht="6" customHeight="1">
      <c r="B33" s="149"/>
      <c r="C33" s="210"/>
      <c r="D33" s="210"/>
      <c r="E33" s="210"/>
      <c r="F33" s="210"/>
      <c r="G33" s="210"/>
      <c r="H33" s="210"/>
      <c r="I33" s="210"/>
      <c r="J33" s="210"/>
      <c r="K33" s="210"/>
      <c r="L33" s="210"/>
    </row>
    <row r="34" spans="1:12" ht="11.25" customHeight="1">
      <c r="A34" s="359" t="s">
        <v>2228</v>
      </c>
      <c r="B34" s="149"/>
      <c r="C34" s="2445"/>
      <c r="D34" s="2445"/>
      <c r="E34" s="2445"/>
      <c r="F34" s="2445"/>
      <c r="G34" s="2445"/>
      <c r="H34" s="2445"/>
      <c r="I34" s="2445"/>
      <c r="J34" s="2445"/>
      <c r="K34" s="2445"/>
      <c r="L34" s="2445"/>
    </row>
    <row r="35" spans="1:12" ht="11.25" customHeight="1">
      <c r="A35" s="360" t="s">
        <v>2232</v>
      </c>
      <c r="B35" s="149"/>
      <c r="C35" s="210">
        <f>'A6-FinPos'!C8+'A6-FinPos'!C9+'A6-FinPos'!C15</f>
        <v>236950809</v>
      </c>
      <c r="D35" s="210">
        <f>'A6-FinPos'!D8+'A6-FinPos'!D9+'A6-FinPos'!D15</f>
        <v>113534772.6500001</v>
      </c>
      <c r="E35" s="210">
        <f>'A6-FinPos'!E8+'A6-FinPos'!E9+'A6-FinPos'!E15</f>
        <v>451695266.78362799</v>
      </c>
      <c r="F35" s="210">
        <f>'A6-FinPos'!F8+'A6-FinPos'!F9+'A6-FinPos'!F15</f>
        <v>258829902.03999999</v>
      </c>
      <c r="G35" s="210">
        <f>'A6-FinPos'!G8+'A6-FinPos'!G9+'A6-FinPos'!G15</f>
        <v>298423357.04000002</v>
      </c>
      <c r="H35" s="210">
        <f>'A6-FinPos'!H8+'A6-FinPos'!H9+'A6-FinPos'!H15</f>
        <v>360013260.91195422</v>
      </c>
      <c r="I35" s="210">
        <f>'A6-FinPos'!I8+'A6-FinPos'!I9+'A6-FinPos'!I15</f>
        <v>360013260.91195422</v>
      </c>
      <c r="J35" s="210">
        <f>'A6-FinPos'!J8+'A6-FinPos'!J9+'A6-FinPos'!J15</f>
        <v>292670594.42195415</v>
      </c>
      <c r="K35" s="210">
        <f>'A6-FinPos'!K8+'A6-FinPos'!K9+'A6-FinPos'!K15</f>
        <v>337807706.44945425</v>
      </c>
      <c r="L35" s="210">
        <f>'A6-FinPos'!L8+'A6-FinPos'!L9+'A6-FinPos'!L15</f>
        <v>423185880.77832925</v>
      </c>
    </row>
    <row r="36" spans="1:12" ht="11.25" customHeight="1">
      <c r="A36" s="360" t="s">
        <v>2233</v>
      </c>
      <c r="B36" s="149"/>
      <c r="C36" s="2446">
        <f>IF(ISERROR('SA10'!D10),0,('SA10'!D10))</f>
        <v>0.88781854765905932</v>
      </c>
      <c r="D36" s="2446">
        <f>IF(ISERROR('SA10'!E10),0,('SA10'!E10))</f>
        <v>0.75869191942610426</v>
      </c>
      <c r="E36" s="2446">
        <f>IF(ISERROR('SA10'!F10),0,('SA10'!F10))</f>
        <v>0.92709824563532961</v>
      </c>
      <c r="F36" s="2446">
        <f>IF(ISERROR('SA10'!G10),0,('SA10'!G10))</f>
        <v>0.86643634340211328</v>
      </c>
      <c r="G36" s="2446">
        <f>IF(ISERROR('SA10'!H10),0,('SA10'!H10))</f>
        <v>0.86360215347858937</v>
      </c>
      <c r="H36" s="2446">
        <f>IF(ISERROR('SA10'!I10),0,('SA10'!I10))</f>
        <v>0.86360215347858937</v>
      </c>
      <c r="I36" s="2446">
        <f>IF(ISERROR('SA10'!J10),0,('SA10'!J10))</f>
        <v>0.86360215347858937</v>
      </c>
      <c r="J36" s="2446">
        <f>IF(ISERROR('SA10'!K10),0,('SA10'!K10))</f>
        <v>0.93644056126626851</v>
      </c>
      <c r="K36" s="2446">
        <f>IF(ISERROR('SA10'!L10),0,('SA10'!L10))</f>
        <v>0.95490711895433622</v>
      </c>
      <c r="L36" s="2446">
        <f>IF(ISERROR('SA10'!M10),0,('SA10'!M10))</f>
        <v>0.97456583736708058</v>
      </c>
    </row>
    <row r="37" spans="1:12" s="370" customFormat="1" ht="3" customHeight="1">
      <c r="A37" s="360"/>
      <c r="C37" s="210"/>
      <c r="D37" s="210"/>
      <c r="E37" s="210"/>
      <c r="F37" s="210"/>
      <c r="G37" s="210"/>
      <c r="H37" s="210"/>
      <c r="I37" s="210"/>
      <c r="J37" s="210"/>
      <c r="K37" s="210"/>
      <c r="L37" s="210"/>
    </row>
    <row r="38" spans="1:12" s="370" customFormat="1" ht="3" customHeight="1">
      <c r="A38" s="360"/>
      <c r="C38" s="2447"/>
      <c r="D38" s="2446"/>
      <c r="E38" s="2446"/>
      <c r="F38" s="2446"/>
      <c r="G38" s="2446"/>
      <c r="H38" s="2446"/>
      <c r="I38" s="2446"/>
      <c r="J38" s="2446"/>
      <c r="K38" s="2446"/>
      <c r="L38" s="2446"/>
    </row>
    <row r="39" spans="1:12" ht="11.25" customHeight="1">
      <c r="B39" s="149"/>
      <c r="C39" s="370"/>
      <c r="D39" s="370"/>
      <c r="E39" s="370"/>
      <c r="F39" s="370"/>
      <c r="G39" s="370"/>
      <c r="H39" s="370"/>
      <c r="I39" s="370"/>
      <c r="J39" s="370"/>
      <c r="K39" s="370" t="s">
        <v>2230</v>
      </c>
      <c r="L39" s="370"/>
    </row>
    <row r="40" spans="1:12" ht="11.25" customHeight="1">
      <c r="A40" s="464" t="str">
        <f>A16</f>
        <v>Long term investments committed</v>
      </c>
      <c r="B40" s="149"/>
      <c r="I40" s="363"/>
    </row>
    <row r="41" spans="1:12" ht="11.25" customHeight="1">
      <c r="A41" s="1654" t="s">
        <v>953</v>
      </c>
      <c r="B41" s="149"/>
      <c r="C41" s="1637"/>
      <c r="D41" s="1637"/>
      <c r="E41" s="1637"/>
      <c r="F41" s="1637"/>
      <c r="G41" s="1637"/>
      <c r="H41" s="1637"/>
      <c r="I41" s="1637"/>
      <c r="J41" s="1637"/>
      <c r="K41" s="1637"/>
      <c r="L41" s="1637"/>
    </row>
    <row r="42" spans="1:12" ht="11.25" customHeight="1">
      <c r="A42" s="1655"/>
      <c r="B42" s="149"/>
      <c r="C42" s="1637"/>
      <c r="D42" s="1637"/>
      <c r="E42" s="1637"/>
      <c r="F42" s="1637"/>
      <c r="G42" s="1637"/>
      <c r="H42" s="1637"/>
      <c r="I42" s="1637"/>
      <c r="J42" s="1637"/>
      <c r="K42" s="1637"/>
      <c r="L42" s="1637"/>
    </row>
    <row r="43" spans="1:12" ht="11.25" customHeight="1">
      <c r="A43" s="1655"/>
      <c r="B43" s="149"/>
      <c r="C43" s="1637"/>
      <c r="D43" s="1637"/>
      <c r="E43" s="1637"/>
      <c r="F43" s="1637"/>
      <c r="G43" s="709"/>
      <c r="H43" s="1637"/>
      <c r="I43" s="1637"/>
      <c r="J43" s="1637"/>
      <c r="K43" s="1637"/>
      <c r="L43" s="1637"/>
    </row>
    <row r="44" spans="1:12" ht="11.25" customHeight="1">
      <c r="A44" s="1655"/>
      <c r="B44" s="149"/>
      <c r="C44" s="1637"/>
      <c r="D44" s="1637"/>
      <c r="E44" s="1637"/>
      <c r="F44" s="1637"/>
      <c r="G44" s="1637"/>
      <c r="H44" s="1637"/>
      <c r="I44" s="1637"/>
      <c r="J44" s="1637"/>
      <c r="K44" s="1637"/>
      <c r="L44" s="1637"/>
    </row>
    <row r="45" spans="1:12" ht="11.25" customHeight="1">
      <c r="A45" s="1655"/>
      <c r="B45" s="149"/>
      <c r="C45" s="1637"/>
      <c r="D45" s="1637"/>
      <c r="E45" s="1637"/>
      <c r="F45" s="1637"/>
      <c r="G45" s="1637"/>
      <c r="H45" s="1637"/>
      <c r="I45" s="1637"/>
      <c r="J45" s="1637"/>
      <c r="K45" s="1637"/>
      <c r="L45" s="1637"/>
    </row>
    <row r="46" spans="1:12" ht="11.25" customHeight="1">
      <c r="A46" s="1655"/>
      <c r="B46" s="149"/>
      <c r="C46" s="1637"/>
      <c r="D46" s="1637"/>
      <c r="E46" s="1637"/>
      <c r="F46" s="1637"/>
      <c r="G46" s="1637"/>
      <c r="H46" s="1637"/>
      <c r="I46" s="1637"/>
      <c r="J46" s="1637"/>
      <c r="K46" s="1637"/>
      <c r="L46" s="1637"/>
    </row>
    <row r="47" spans="1:12" ht="11.25" customHeight="1">
      <c r="A47" s="1655"/>
      <c r="B47" s="149"/>
      <c r="C47" s="1637"/>
      <c r="D47" s="1637"/>
      <c r="E47" s="1637"/>
      <c r="F47" s="1637"/>
      <c r="G47" s="1637"/>
      <c r="H47" s="1637"/>
      <c r="I47" s="1637"/>
      <c r="J47" s="1637"/>
      <c r="K47" s="1637"/>
      <c r="L47" s="1637"/>
    </row>
    <row r="48" spans="1:12" ht="11.25" customHeight="1">
      <c r="A48" s="1655"/>
      <c r="B48" s="149"/>
      <c r="C48" s="1637"/>
      <c r="D48" s="1637"/>
      <c r="E48" s="1637"/>
      <c r="F48" s="1637"/>
      <c r="G48" s="1637"/>
      <c r="H48" s="1637"/>
      <c r="I48" s="1637"/>
      <c r="J48" s="1637"/>
      <c r="K48" s="1637"/>
      <c r="L48" s="1637"/>
    </row>
    <row r="49" spans="1:12" ht="11.25" customHeight="1">
      <c r="A49" s="1655"/>
      <c r="B49" s="149"/>
      <c r="C49" s="1637"/>
      <c r="D49" s="1637"/>
      <c r="E49" s="1637"/>
      <c r="F49" s="1637"/>
      <c r="G49" s="1637"/>
      <c r="H49" s="1637"/>
      <c r="I49" s="1637"/>
      <c r="J49" s="1637"/>
      <c r="K49" s="1637"/>
      <c r="L49" s="1637"/>
    </row>
    <row r="50" spans="1:12" ht="11.25" customHeight="1">
      <c r="A50" s="1655"/>
      <c r="B50" s="149"/>
      <c r="C50" s="1637"/>
      <c r="D50" s="1637"/>
      <c r="E50" s="1637"/>
      <c r="F50" s="1637"/>
      <c r="G50" s="1637"/>
      <c r="H50" s="1637"/>
      <c r="I50" s="1637"/>
      <c r="J50" s="1637"/>
      <c r="K50" s="1637"/>
      <c r="L50" s="1637"/>
    </row>
    <row r="51" spans="1:12" ht="11.25" customHeight="1">
      <c r="A51" s="1655"/>
      <c r="B51" s="149"/>
      <c r="C51" s="1637"/>
      <c r="D51" s="1637"/>
      <c r="E51" s="1637"/>
      <c r="F51" s="1637"/>
      <c r="G51" s="1637"/>
      <c r="H51" s="1637"/>
      <c r="I51" s="1637"/>
      <c r="J51" s="1637"/>
      <c r="K51" s="1637"/>
      <c r="L51" s="1637"/>
    </row>
    <row r="52" spans="1:12" ht="11.25" customHeight="1" thickBot="1">
      <c r="A52" s="464"/>
      <c r="B52" s="149"/>
      <c r="C52" s="361">
        <f>SUM(C41:C51)</f>
        <v>0</v>
      </c>
      <c r="D52" s="361">
        <f t="shared" ref="D52:L52" si="7">SUM(D41:D51)</f>
        <v>0</v>
      </c>
      <c r="E52" s="361">
        <f t="shared" si="7"/>
        <v>0</v>
      </c>
      <c r="F52" s="361">
        <f t="shared" si="7"/>
        <v>0</v>
      </c>
      <c r="G52" s="361">
        <f t="shared" si="7"/>
        <v>0</v>
      </c>
      <c r="H52" s="361">
        <f t="shared" si="7"/>
        <v>0</v>
      </c>
      <c r="I52" s="361">
        <f t="shared" si="7"/>
        <v>0</v>
      </c>
      <c r="J52" s="361">
        <f t="shared" si="7"/>
        <v>0</v>
      </c>
      <c r="K52" s="361">
        <f t="shared" si="7"/>
        <v>0</v>
      </c>
      <c r="L52" s="361">
        <f t="shared" si="7"/>
        <v>0</v>
      </c>
    </row>
    <row r="53" spans="1:12" ht="11.25" customHeight="1" thickTop="1">
      <c r="A53" s="464" t="str">
        <f>A17</f>
        <v>Reserves to be backed by cash/investments</v>
      </c>
      <c r="B53" s="149"/>
      <c r="I53" s="363"/>
    </row>
    <row r="54" spans="1:12" ht="11.25" customHeight="1">
      <c r="A54" s="149" t="str">
        <f>'SA3'!A64</f>
        <v>Housing Development Fund</v>
      </c>
      <c r="B54" s="149"/>
      <c r="C54" s="210">
        <f>'SA3'!C64</f>
        <v>21736738</v>
      </c>
      <c r="D54" s="210">
        <f>'SA3'!D64</f>
        <v>6351839</v>
      </c>
      <c r="E54" s="210">
        <f>'SA3'!E64</f>
        <v>6351839</v>
      </c>
      <c r="F54" s="210">
        <f>'SA3'!F64</f>
        <v>6605912.5599999996</v>
      </c>
      <c r="G54" s="210">
        <f>'SA3'!G64</f>
        <v>-7394087.4400000004</v>
      </c>
      <c r="H54" s="210">
        <f>'SA3'!H64</f>
        <v>-7394087.4400000004</v>
      </c>
      <c r="I54" s="210">
        <f>'SA3'!I64</f>
        <v>-7394087.4400000004</v>
      </c>
      <c r="J54" s="210">
        <f>'SA3'!J64</f>
        <v>6669430.9500000002</v>
      </c>
      <c r="K54" s="210">
        <f>'SA3'!K64</f>
        <v>7002902.4975000005</v>
      </c>
      <c r="L54" s="210">
        <f>'SA3'!L64</f>
        <v>7353047.6223750012</v>
      </c>
    </row>
    <row r="55" spans="1:12" ht="11.25" customHeight="1">
      <c r="A55" s="149" t="str">
        <f>'SA3'!A65</f>
        <v>Capital replacement</v>
      </c>
      <c r="B55" s="149"/>
      <c r="C55" s="1615">
        <v>225352053</v>
      </c>
      <c r="D55" s="1635">
        <v>281729676</v>
      </c>
      <c r="E55" s="1635">
        <v>381302205</v>
      </c>
      <c r="F55" s="1635">
        <f>283218717+11344630</f>
        <v>294563347</v>
      </c>
      <c r="G55" s="1615">
        <v>354563347</v>
      </c>
      <c r="H55" s="1635">
        <v>354563347</v>
      </c>
      <c r="I55" s="1637">
        <v>354563347</v>
      </c>
      <c r="J55" s="2534">
        <f>396554293.2-100000000</f>
        <v>296554293.19999999</v>
      </c>
      <c r="K55" s="1615">
        <f>412416464.928-100000000</f>
        <v>312416464.92799997</v>
      </c>
      <c r="L55" s="1635">
        <f>428913123.52512-100000000</f>
        <v>328913123.52512002</v>
      </c>
    </row>
    <row r="56" spans="1:12" ht="11.25" customHeight="1">
      <c r="A56" s="149" t="str">
        <f>'SA3'!A66</f>
        <v>Self-insurance</v>
      </c>
      <c r="B56" s="149"/>
      <c r="C56" s="1615">
        <v>27158599</v>
      </c>
      <c r="D56" s="1615">
        <v>30538330</v>
      </c>
      <c r="E56" s="1635">
        <v>35988013</v>
      </c>
      <c r="F56" s="2534">
        <v>33877074</v>
      </c>
      <c r="G56" s="1615">
        <v>33877074</v>
      </c>
      <c r="H56" s="1635">
        <v>33877074</v>
      </c>
      <c r="I56" s="1637">
        <v>33877074</v>
      </c>
      <c r="J56" s="2534">
        <v>37427533.520000003</v>
      </c>
      <c r="K56" s="1615">
        <v>38924634.860800005</v>
      </c>
      <c r="L56" s="1635">
        <v>40481620.255232006</v>
      </c>
    </row>
    <row r="57" spans="1:12" ht="11.25" customHeight="1">
      <c r="A57" s="1654" t="s">
        <v>1408</v>
      </c>
      <c r="B57" s="1087"/>
      <c r="C57" s="1637"/>
      <c r="D57" s="1637"/>
      <c r="E57" s="1637"/>
      <c r="F57" s="1637"/>
      <c r="G57" s="1637"/>
      <c r="H57" s="1637"/>
      <c r="I57" s="1637"/>
      <c r="J57" s="1637"/>
      <c r="K57" s="1637"/>
      <c r="L57" s="1637"/>
    </row>
    <row r="58" spans="1:12" ht="11.25" customHeight="1">
      <c r="A58" s="1654"/>
      <c r="B58" s="370"/>
      <c r="C58" s="1637"/>
      <c r="D58" s="1637"/>
      <c r="E58" s="1637"/>
      <c r="F58" s="1637"/>
      <c r="G58" s="1637"/>
      <c r="H58" s="1637"/>
      <c r="I58" s="1637"/>
      <c r="J58" s="1637"/>
      <c r="K58" s="1637"/>
      <c r="L58" s="1637"/>
    </row>
    <row r="59" spans="1:12" ht="11.25" customHeight="1">
      <c r="A59" s="1654"/>
      <c r="B59" s="370"/>
      <c r="C59" s="1637"/>
      <c r="D59" s="1637"/>
      <c r="E59" s="1637"/>
      <c r="F59" s="1637"/>
      <c r="G59" s="1637"/>
      <c r="H59" s="1637"/>
      <c r="I59" s="1637"/>
      <c r="J59" s="1637"/>
      <c r="K59" s="1637"/>
      <c r="L59" s="1637"/>
    </row>
    <row r="60" spans="1:12" ht="11.25" customHeight="1">
      <c r="A60" s="1654"/>
      <c r="B60" s="370"/>
      <c r="C60" s="1637"/>
      <c r="D60" s="1637"/>
      <c r="E60" s="1637"/>
      <c r="F60" s="1637"/>
      <c r="G60" s="1637"/>
      <c r="H60" s="1637"/>
      <c r="I60" s="1637"/>
      <c r="J60" s="1637"/>
      <c r="K60" s="1637"/>
      <c r="L60" s="1637"/>
    </row>
    <row r="61" spans="1:12" ht="11.25" customHeight="1">
      <c r="A61" s="1654"/>
      <c r="B61" s="370"/>
      <c r="C61" s="1637"/>
      <c r="D61" s="1637"/>
      <c r="E61" s="1637"/>
      <c r="F61" s="1637"/>
      <c r="G61" s="1637"/>
      <c r="H61" s="1637"/>
      <c r="I61" s="1637"/>
      <c r="J61" s="1637"/>
      <c r="K61" s="1637"/>
      <c r="L61" s="1637"/>
    </row>
    <row r="62" spans="1:12" ht="11.25" customHeight="1">
      <c r="A62" s="1654"/>
      <c r="B62" s="370"/>
      <c r="C62" s="1637"/>
      <c r="D62" s="1637"/>
      <c r="E62" s="1637"/>
      <c r="F62" s="1637"/>
      <c r="G62" s="1637"/>
      <c r="H62" s="1637"/>
      <c r="I62" s="1637"/>
      <c r="J62" s="1637"/>
      <c r="K62" s="1637"/>
      <c r="L62" s="1637"/>
    </row>
    <row r="63" spans="1:12" ht="11.25" customHeight="1">
      <c r="A63" s="1654"/>
      <c r="B63" s="370"/>
      <c r="C63" s="1637"/>
      <c r="D63" s="1637"/>
      <c r="E63" s="1637"/>
      <c r="F63" s="1637"/>
      <c r="G63" s="1637"/>
      <c r="H63" s="1637"/>
      <c r="I63" s="1637"/>
      <c r="J63" s="1637"/>
      <c r="K63" s="1637"/>
      <c r="L63" s="1637"/>
    </row>
    <row r="64" spans="1:12" ht="11.25" customHeight="1">
      <c r="A64" s="1654"/>
      <c r="B64" s="370"/>
      <c r="C64" s="1637"/>
      <c r="D64" s="1637"/>
      <c r="E64" s="1637"/>
      <c r="F64" s="1637"/>
      <c r="G64" s="1637"/>
      <c r="H64" s="1637"/>
      <c r="I64" s="1637"/>
      <c r="J64" s="1637"/>
      <c r="K64" s="1637"/>
      <c r="L64" s="1637"/>
    </row>
    <row r="65" spans="1:12" ht="11.25" customHeight="1">
      <c r="A65" s="1654"/>
      <c r="B65" s="370"/>
      <c r="C65" s="1637"/>
      <c r="D65" s="1637"/>
      <c r="E65" s="1637"/>
      <c r="F65" s="1637"/>
      <c r="G65" s="1637"/>
      <c r="H65" s="1637"/>
      <c r="I65" s="1637"/>
      <c r="J65" s="1637"/>
      <c r="K65" s="1637"/>
      <c r="L65" s="1637"/>
    </row>
    <row r="67" spans="1:12" ht="11.25" customHeight="1" thickBot="1">
      <c r="B67" s="149"/>
      <c r="C67" s="361">
        <f t="shared" ref="C67:L67" si="8">SUM(C54:C65)</f>
        <v>274247390</v>
      </c>
      <c r="D67" s="361">
        <f t="shared" si="8"/>
        <v>318619845</v>
      </c>
      <c r="E67" s="361">
        <f t="shared" si="8"/>
        <v>423642057</v>
      </c>
      <c r="F67" s="361">
        <f t="shared" si="8"/>
        <v>335046333.56</v>
      </c>
      <c r="G67" s="361">
        <f t="shared" si="8"/>
        <v>381046333.56</v>
      </c>
      <c r="H67" s="361">
        <f t="shared" si="8"/>
        <v>381046333.56</v>
      </c>
      <c r="I67" s="361">
        <f t="shared" si="8"/>
        <v>381046333.56</v>
      </c>
      <c r="J67" s="361">
        <f t="shared" si="8"/>
        <v>340651257.66999996</v>
      </c>
      <c r="K67" s="361">
        <f t="shared" si="8"/>
        <v>358344002.2863</v>
      </c>
      <c r="L67" s="361">
        <f t="shared" si="8"/>
        <v>376747791.40272701</v>
      </c>
    </row>
    <row r="68" spans="1:12" ht="11.25" customHeight="1" thickTop="1">
      <c r="B68" s="149"/>
    </row>
    <row r="69" spans="1:12" ht="11.25" customHeight="1">
      <c r="B69" s="149"/>
    </row>
    <row r="70" spans="1:12" ht="11.25" customHeight="1">
      <c r="B70" s="149"/>
    </row>
    <row r="71" spans="1:12" ht="11.25" customHeight="1">
      <c r="B71" s="149"/>
    </row>
    <row r="72" spans="1:12" ht="11.25" customHeight="1">
      <c r="B72" s="149"/>
    </row>
    <row r="73" spans="1:12" ht="11.25" customHeight="1">
      <c r="B73" s="149"/>
    </row>
    <row r="74" spans="1:12" ht="11.25" customHeight="1">
      <c r="B74" s="149"/>
    </row>
    <row r="75" spans="1:12" ht="11.25" customHeight="1">
      <c r="B75" s="149"/>
    </row>
    <row r="76" spans="1:12" ht="11.25" customHeight="1">
      <c r="B76" s="149"/>
    </row>
    <row r="77" spans="1:12" ht="11.25" customHeight="1"/>
    <row r="78" spans="1:12" ht="11.25" customHeight="1"/>
    <row r="79" spans="1:12" ht="11.25" customHeight="1"/>
    <row r="80" spans="1:12"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sheetData>
  <sheetProtection password="C646" sheet="1" objects="1" scenarios="1"/>
  <mergeCells count="2">
    <mergeCell ref="J2:L2"/>
    <mergeCell ref="F2:I2"/>
  </mergeCells>
  <phoneticPr fontId="5" type="noConversion"/>
  <dataValidations count="1">
    <dataValidation type="decimal" allowBlank="1" showInputMessage="1" showErrorMessage="1" sqref="C12:L13 G41:G42 G44:G51 H41:L51 C41:F51 C29:L31 C38 C55:L65 C17:L17 C15:L15">
      <formula1>-99999999999999900000</formula1>
      <formula2>99999999999999900000</formula2>
    </dataValidation>
  </dataValidations>
  <printOptions horizontalCentered="1"/>
  <pageMargins left="0"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enableFormatConditionsCalculation="0">
    <tabColor indexed="44"/>
    <pageSetUpPr fitToPage="1"/>
  </sheetPr>
  <dimension ref="A1:K128"/>
  <sheetViews>
    <sheetView showGridLines="0" workbookViewId="0">
      <pane xSplit="2" ySplit="3" topLeftCell="C54" activePane="bottomRight" state="frozen"/>
      <selection pane="topRight"/>
      <selection pane="bottomLeft"/>
      <selection pane="bottomRight" activeCell="G75" sqref="G75:G79"/>
    </sheetView>
  </sheetViews>
  <sheetFormatPr baseColWidth="10" defaultColWidth="8.83203125" defaultRowHeight="10" x14ac:dyDescent="0"/>
  <cols>
    <col min="1" max="1" width="31.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s="179" customFormat="1" ht="12">
      <c r="A1" s="147" t="str">
        <f>muni&amp;" - "&amp;Approve9</f>
        <v>NW373 Rustenburg - Table A9 Consolidated Asset Management</v>
      </c>
      <c r="B1" s="147"/>
      <c r="C1" s="147"/>
      <c r="D1" s="147"/>
      <c r="E1" s="147"/>
      <c r="F1" s="147"/>
      <c r="G1" s="147"/>
      <c r="H1" s="147"/>
      <c r="I1" s="147"/>
      <c r="J1" s="147"/>
      <c r="K1" s="147"/>
    </row>
    <row r="2" spans="1:11" ht="28.5" customHeight="1">
      <c r="A2" s="975" t="str">
        <f>desc</f>
        <v>Description</v>
      </c>
      <c r="B2" s="419" t="str">
        <f>head27</f>
        <v>Ref</v>
      </c>
      <c r="C2" s="150"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1" ht="20">
      <c r="A3" s="1432"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1541" t="s">
        <v>1430</v>
      </c>
      <c r="B4" s="182"/>
      <c r="C4" s="218"/>
      <c r="D4" s="218"/>
      <c r="E4" s="219"/>
      <c r="F4" s="220"/>
      <c r="G4" s="218"/>
      <c r="H4" s="217"/>
      <c r="I4" s="221"/>
      <c r="J4" s="218"/>
      <c r="K4" s="219"/>
    </row>
    <row r="5" spans="1:11" ht="11.25" customHeight="1">
      <c r="A5" s="1542" t="s">
        <v>1073</v>
      </c>
      <c r="B5" s="182">
        <v>1</v>
      </c>
      <c r="C5" s="218">
        <f>SUM(C11:C18)</f>
        <v>249215515</v>
      </c>
      <c r="D5" s="218">
        <f>SUM(D11:D18)</f>
        <v>237329938</v>
      </c>
      <c r="E5" s="219">
        <f t="shared" ref="E5:K5" si="0">SUM(E11:E18)</f>
        <v>194264792</v>
      </c>
      <c r="F5" s="220">
        <f t="shared" si="0"/>
        <v>486120923</v>
      </c>
      <c r="G5" s="218">
        <f t="shared" si="0"/>
        <v>518091710</v>
      </c>
      <c r="H5" s="217">
        <f t="shared" si="0"/>
        <v>518091710</v>
      </c>
      <c r="I5" s="221">
        <f t="shared" si="0"/>
        <v>186373100</v>
      </c>
      <c r="J5" s="218">
        <f t="shared" si="0"/>
        <v>164513000</v>
      </c>
      <c r="K5" s="219">
        <f t="shared" si="0"/>
        <v>75186000</v>
      </c>
    </row>
    <row r="6" spans="1:11" ht="11.25" customHeight="1">
      <c r="A6" s="1543" t="s">
        <v>389</v>
      </c>
      <c r="B6" s="350"/>
      <c r="C6" s="1064">
        <f>SA34a!C7</f>
        <v>68806993</v>
      </c>
      <c r="D6" s="1064">
        <f>SA34a!D7</f>
        <v>22350139</v>
      </c>
      <c r="E6" s="1065">
        <f>SA34a!E7</f>
        <v>95986921</v>
      </c>
      <c r="F6" s="1066">
        <f>SA34a!F7</f>
        <v>263345818</v>
      </c>
      <c r="G6" s="1064">
        <f>SA34a!G7</f>
        <v>317268793</v>
      </c>
      <c r="H6" s="1067">
        <f>SA34a!H7</f>
        <v>317268793</v>
      </c>
      <c r="I6" s="1068">
        <f>SA34a!I7</f>
        <v>0</v>
      </c>
      <c r="J6" s="1064">
        <f>SA34a!J7</f>
        <v>0</v>
      </c>
      <c r="K6" s="1065">
        <f>SA34a!K7</f>
        <v>0</v>
      </c>
    </row>
    <row r="7" spans="1:11" ht="11.25" customHeight="1">
      <c r="A7" s="1543" t="s">
        <v>752</v>
      </c>
      <c r="B7" s="350"/>
      <c r="C7" s="1064">
        <f>SA34a!C10</f>
        <v>75564554</v>
      </c>
      <c r="D7" s="1064">
        <f>SA34a!D10</f>
        <v>109777617</v>
      </c>
      <c r="E7" s="1065">
        <f>SA34a!E10</f>
        <v>37297172</v>
      </c>
      <c r="F7" s="1066">
        <f>SA34a!F10</f>
        <v>94510000</v>
      </c>
      <c r="G7" s="1064">
        <f>SA34a!G10</f>
        <v>60746667</v>
      </c>
      <c r="H7" s="1067">
        <f>SA34a!H10</f>
        <v>60746667</v>
      </c>
      <c r="I7" s="1068">
        <f>SA34a!I10</f>
        <v>49455000</v>
      </c>
      <c r="J7" s="1064">
        <f>SA34a!J10</f>
        <v>26600000</v>
      </c>
      <c r="K7" s="1065">
        <f>SA34a!K10</f>
        <v>28430000</v>
      </c>
    </row>
    <row r="8" spans="1:11" ht="11.25" customHeight="1">
      <c r="A8" s="1543" t="s">
        <v>390</v>
      </c>
      <c r="B8" s="350"/>
      <c r="C8" s="1064">
        <f>SA34a!C14</f>
        <v>15490424</v>
      </c>
      <c r="D8" s="1064">
        <f>SA34a!D14</f>
        <v>14643305</v>
      </c>
      <c r="E8" s="1065">
        <f>SA34a!E14</f>
        <v>11709729</v>
      </c>
      <c r="F8" s="1066">
        <f>SA34a!F14</f>
        <v>45630876</v>
      </c>
      <c r="G8" s="1064">
        <f>SA34a!G14</f>
        <v>24261565</v>
      </c>
      <c r="H8" s="1067">
        <f>SA34a!H14</f>
        <v>24261565</v>
      </c>
      <c r="I8" s="1068">
        <f>SA34a!I14</f>
        <v>75300000</v>
      </c>
      <c r="J8" s="1064">
        <f>SA34a!J14</f>
        <v>84000000</v>
      </c>
      <c r="K8" s="1065">
        <f>SA34a!K14</f>
        <v>28000000</v>
      </c>
    </row>
    <row r="9" spans="1:11" ht="11.25" customHeight="1">
      <c r="A9" s="1543" t="s">
        <v>391</v>
      </c>
      <c r="B9" s="350"/>
      <c r="C9" s="1064">
        <f>SA34a!C18</f>
        <v>19743942</v>
      </c>
      <c r="D9" s="1064">
        <f>SA34a!D18</f>
        <v>36676281</v>
      </c>
      <c r="E9" s="1065">
        <f>SA34a!E18</f>
        <v>4924372</v>
      </c>
      <c r="F9" s="1066">
        <f>SA34a!F18</f>
        <v>19999146</v>
      </c>
      <c r="G9" s="1064">
        <f>SA34a!G18</f>
        <v>20158120</v>
      </c>
      <c r="H9" s="1067">
        <f>SA34a!H18</f>
        <v>20158120</v>
      </c>
      <c r="I9" s="1068">
        <f>SA34a!I18</f>
        <v>25150000</v>
      </c>
      <c r="J9" s="1064">
        <f>SA34a!J18</f>
        <v>26000000</v>
      </c>
      <c r="K9" s="1065">
        <f>SA34a!K18</f>
        <v>15000000</v>
      </c>
    </row>
    <row r="10" spans="1:11" ht="11.25" customHeight="1">
      <c r="A10" s="1543" t="s">
        <v>691</v>
      </c>
      <c r="B10" s="350"/>
      <c r="C10" s="1064">
        <f>SA34a!C21</f>
        <v>16211362</v>
      </c>
      <c r="D10" s="1064">
        <f>SA34a!D21</f>
        <v>25056576</v>
      </c>
      <c r="E10" s="1065">
        <f>SA34a!E21</f>
        <v>11709426</v>
      </c>
      <c r="F10" s="1066">
        <f>SA34a!F21</f>
        <v>25750000</v>
      </c>
      <c r="G10" s="1064">
        <f>SA34a!G21</f>
        <v>29133989</v>
      </c>
      <c r="H10" s="1067">
        <f>SA34a!H21</f>
        <v>29133989</v>
      </c>
      <c r="I10" s="1068">
        <f>SA34a!I21</f>
        <v>375000</v>
      </c>
      <c r="J10" s="1064">
        <f>SA34a!J21</f>
        <v>375000</v>
      </c>
      <c r="K10" s="1065">
        <f>SA34a!K21</f>
        <v>400000</v>
      </c>
    </row>
    <row r="11" spans="1:11" ht="11.25" customHeight="1">
      <c r="A11" s="1433" t="s">
        <v>977</v>
      </c>
      <c r="B11" s="350"/>
      <c r="C11" s="1025">
        <f>SUM(C6:C10)</f>
        <v>195817275</v>
      </c>
      <c r="D11" s="1025">
        <f>SUM(D6:D10)</f>
        <v>208503918</v>
      </c>
      <c r="E11" s="1026">
        <f t="shared" ref="E11:K11" si="1">SUM(E6:E10)</f>
        <v>161627620</v>
      </c>
      <c r="F11" s="1027">
        <f t="shared" si="1"/>
        <v>449235840</v>
      </c>
      <c r="G11" s="1025">
        <f t="shared" si="1"/>
        <v>451569134</v>
      </c>
      <c r="H11" s="1028">
        <f t="shared" si="1"/>
        <v>451569134</v>
      </c>
      <c r="I11" s="1029">
        <f t="shared" si="1"/>
        <v>150280000</v>
      </c>
      <c r="J11" s="1025">
        <f t="shared" si="1"/>
        <v>136975000</v>
      </c>
      <c r="K11" s="1026">
        <f t="shared" si="1"/>
        <v>71830000</v>
      </c>
    </row>
    <row r="12" spans="1:11" ht="11.25" customHeight="1">
      <c r="A12" s="1434" t="str">
        <f>$A$42</f>
        <v>Community</v>
      </c>
      <c r="B12" s="182"/>
      <c r="C12" s="1064">
        <f>SA34a!C27</f>
        <v>29831601</v>
      </c>
      <c r="D12" s="1064">
        <f>SA34a!D27</f>
        <v>9218593</v>
      </c>
      <c r="E12" s="1065">
        <f>SA34a!E27</f>
        <v>10628126</v>
      </c>
      <c r="F12" s="1066">
        <f>SA34a!F27</f>
        <v>6911000</v>
      </c>
      <c r="G12" s="1064">
        <f>SA34a!G27</f>
        <v>22320707</v>
      </c>
      <c r="H12" s="1067">
        <f>SA34a!H27</f>
        <v>22320707</v>
      </c>
      <c r="I12" s="1068">
        <f>SA34a!I27</f>
        <v>5806350</v>
      </c>
      <c r="J12" s="1064">
        <f>SA34a!J27</f>
        <v>1878000</v>
      </c>
      <c r="K12" s="1065">
        <f>SA34a!K27</f>
        <v>981000</v>
      </c>
    </row>
    <row r="13" spans="1:11" ht="11.25" customHeight="1">
      <c r="A13" s="1434" t="str">
        <f>$A$43</f>
        <v>Heritage assets</v>
      </c>
      <c r="B13" s="182"/>
      <c r="C13" s="1466">
        <f>SA34a!C43</f>
        <v>0</v>
      </c>
      <c r="D13" s="1466">
        <f>SA34a!D43</f>
        <v>0</v>
      </c>
      <c r="E13" s="1467">
        <f>SA34a!E43</f>
        <v>0</v>
      </c>
      <c r="F13" s="1468">
        <f>SA34a!F43</f>
        <v>0</v>
      </c>
      <c r="G13" s="1466">
        <f>SA34a!G43</f>
        <v>0</v>
      </c>
      <c r="H13" s="1469">
        <f>SA34a!H43</f>
        <v>0</v>
      </c>
      <c r="I13" s="1470">
        <f>SA34a!I43</f>
        <v>0</v>
      </c>
      <c r="J13" s="1466">
        <f>SA34a!J43</f>
        <v>0</v>
      </c>
      <c r="K13" s="1467">
        <f>SA34a!K43</f>
        <v>0</v>
      </c>
    </row>
    <row r="14" spans="1:11" ht="11.25" customHeight="1">
      <c r="A14" s="1434" t="str">
        <f>$A$44</f>
        <v>Investment properties</v>
      </c>
      <c r="B14" s="182"/>
      <c r="C14" s="1064">
        <f>SA34a!C47</f>
        <v>0</v>
      </c>
      <c r="D14" s="1064">
        <f>SA34a!D47</f>
        <v>0</v>
      </c>
      <c r="E14" s="1065">
        <f>SA34a!E47</f>
        <v>0</v>
      </c>
      <c r="F14" s="1066">
        <f>SA34a!F47</f>
        <v>0</v>
      </c>
      <c r="G14" s="1064">
        <f>SA34a!G47</f>
        <v>0</v>
      </c>
      <c r="H14" s="1067">
        <f>SA34a!H47</f>
        <v>0</v>
      </c>
      <c r="I14" s="1068">
        <f>SA34a!I47</f>
        <v>0</v>
      </c>
      <c r="J14" s="1064">
        <f>SA34a!J47</f>
        <v>0</v>
      </c>
      <c r="K14" s="1065">
        <f>SA34a!K47</f>
        <v>0</v>
      </c>
    </row>
    <row r="15" spans="1:11" ht="11.25" customHeight="1">
      <c r="A15" s="1434" t="str">
        <f>$A$45</f>
        <v>Other assets</v>
      </c>
      <c r="B15" s="182">
        <v>6</v>
      </c>
      <c r="C15" s="1064">
        <f>SA34a!C51</f>
        <v>23566639</v>
      </c>
      <c r="D15" s="1064">
        <f>SA34a!D51</f>
        <v>19607427</v>
      </c>
      <c r="E15" s="1065">
        <f>SA34a!E51</f>
        <v>22009046</v>
      </c>
      <c r="F15" s="1066">
        <f>SA34a!F51</f>
        <v>29974083</v>
      </c>
      <c r="G15" s="1064">
        <f>SA34a!G51</f>
        <v>44201869</v>
      </c>
      <c r="H15" s="1067">
        <f>SA34a!H51</f>
        <v>44201869</v>
      </c>
      <c r="I15" s="1068">
        <f>SA34a!I51</f>
        <v>30286750</v>
      </c>
      <c r="J15" s="1064">
        <f>SA34a!J51</f>
        <v>25660000</v>
      </c>
      <c r="K15" s="1065">
        <f>SA34a!K51</f>
        <v>2375000</v>
      </c>
    </row>
    <row r="16" spans="1:11">
      <c r="A16" s="1544" t="s">
        <v>1541</v>
      </c>
      <c r="B16" s="557"/>
      <c r="C16" s="1064">
        <f>SA34a!C65</f>
        <v>0</v>
      </c>
      <c r="D16" s="1064">
        <f>SA34a!D65</f>
        <v>0</v>
      </c>
      <c r="E16" s="1065">
        <f>SA34a!E65</f>
        <v>0</v>
      </c>
      <c r="F16" s="1066">
        <f>SA34a!F65</f>
        <v>0</v>
      </c>
      <c r="G16" s="1064">
        <f>SA34a!G65</f>
        <v>0</v>
      </c>
      <c r="H16" s="1067">
        <f>SA34a!H65</f>
        <v>0</v>
      </c>
      <c r="I16" s="1068">
        <f>SA34a!I65</f>
        <v>0</v>
      </c>
      <c r="J16" s="1064">
        <f>SA34a!J65</f>
        <v>0</v>
      </c>
      <c r="K16" s="1065">
        <f>SA34a!K65</f>
        <v>0</v>
      </c>
    </row>
    <row r="17" spans="1:11" ht="11.25" customHeight="1">
      <c r="A17" s="1434" t="str">
        <f>SA34a!A69</f>
        <v>Biological assets</v>
      </c>
      <c r="B17" s="182"/>
      <c r="C17" s="1064">
        <f>SA34a!C69</f>
        <v>0</v>
      </c>
      <c r="D17" s="1064">
        <f>SA34a!D69</f>
        <v>0</v>
      </c>
      <c r="E17" s="1065">
        <f>SA34a!E69</f>
        <v>0</v>
      </c>
      <c r="F17" s="1066">
        <f>SA34a!F69</f>
        <v>0</v>
      </c>
      <c r="G17" s="1064">
        <f>SA34a!G69</f>
        <v>0</v>
      </c>
      <c r="H17" s="1067">
        <f>SA34a!H69</f>
        <v>0</v>
      </c>
      <c r="I17" s="1068">
        <f>SA34a!I69</f>
        <v>0</v>
      </c>
      <c r="J17" s="1064">
        <f>SA34a!J69</f>
        <v>0</v>
      </c>
      <c r="K17" s="1065">
        <f>SA34a!K69</f>
        <v>0</v>
      </c>
    </row>
    <row r="18" spans="1:11" ht="11.25" customHeight="1">
      <c r="A18" s="1434" t="str">
        <f>SA34a!A73</f>
        <v>Intangibles</v>
      </c>
      <c r="B18" s="182"/>
      <c r="C18" s="1143">
        <f>SA34a!C73</f>
        <v>0</v>
      </c>
      <c r="D18" s="1143">
        <f>SA34a!D73</f>
        <v>0</v>
      </c>
      <c r="E18" s="1144">
        <f>SA34a!E73</f>
        <v>0</v>
      </c>
      <c r="F18" s="1145">
        <f>SA34a!F73</f>
        <v>0</v>
      </c>
      <c r="G18" s="1143">
        <f>SA34a!G73</f>
        <v>0</v>
      </c>
      <c r="H18" s="1146">
        <f>SA34a!H73</f>
        <v>0</v>
      </c>
      <c r="I18" s="1147">
        <f>SA34a!I73</f>
        <v>0</v>
      </c>
      <c r="J18" s="1143">
        <f>SA34a!J73</f>
        <v>0</v>
      </c>
      <c r="K18" s="1144">
        <f>SA34a!K73</f>
        <v>0</v>
      </c>
    </row>
    <row r="19" spans="1:11" ht="5" customHeight="1">
      <c r="A19" s="1435"/>
      <c r="B19" s="182"/>
      <c r="C19" s="207"/>
      <c r="D19" s="207"/>
      <c r="E19" s="264"/>
      <c r="F19" s="251"/>
      <c r="G19" s="207"/>
      <c r="H19" s="210"/>
      <c r="I19" s="211"/>
      <c r="J19" s="207"/>
      <c r="K19" s="264"/>
    </row>
    <row r="20" spans="1:11" ht="11.25" customHeight="1">
      <c r="A20" s="1542" t="s">
        <v>441</v>
      </c>
      <c r="B20" s="182">
        <v>2</v>
      </c>
      <c r="C20" s="394">
        <f>SUM(C26:C33)</f>
        <v>121557846.05999999</v>
      </c>
      <c r="D20" s="394">
        <f>SUM(D26:D33)</f>
        <v>307080776.5</v>
      </c>
      <c r="E20" s="345">
        <f t="shared" ref="E20:K20" si="2">SUM(E26:E33)</f>
        <v>1550000</v>
      </c>
      <c r="F20" s="395">
        <f t="shared" si="2"/>
        <v>430578471</v>
      </c>
      <c r="G20" s="394">
        <f t="shared" si="2"/>
        <v>475732960</v>
      </c>
      <c r="H20" s="396">
        <f t="shared" si="2"/>
        <v>475732960</v>
      </c>
      <c r="I20" s="1471">
        <f t="shared" si="2"/>
        <v>1127285761</v>
      </c>
      <c r="J20" s="394">
        <f t="shared" si="2"/>
        <v>955908648</v>
      </c>
      <c r="K20" s="345">
        <f t="shared" si="2"/>
        <v>966694000</v>
      </c>
    </row>
    <row r="21" spans="1:11" ht="11.25" customHeight="1">
      <c r="A21" s="1543" t="s">
        <v>389</v>
      </c>
      <c r="B21" s="350"/>
      <c r="C21" s="1064">
        <f>SA34b!C7</f>
        <v>0</v>
      </c>
      <c r="D21" s="1064">
        <f>SA34b!D7</f>
        <v>19866280.18</v>
      </c>
      <c r="E21" s="1065">
        <f>SA34b!E7</f>
        <v>0</v>
      </c>
      <c r="F21" s="1066">
        <f>SA34b!F7</f>
        <v>158000000</v>
      </c>
      <c r="G21" s="1064">
        <f>SA34b!G7</f>
        <v>222861863</v>
      </c>
      <c r="H21" s="1067">
        <f>SA34b!H7</f>
        <v>222861863</v>
      </c>
      <c r="I21" s="1068">
        <f>SA34b!I7</f>
        <v>655021000</v>
      </c>
      <c r="J21" s="1064">
        <f>SA34b!J7</f>
        <v>764500000</v>
      </c>
      <c r="K21" s="1065">
        <f>SA34b!K7</f>
        <v>790000000</v>
      </c>
    </row>
    <row r="22" spans="1:11" ht="11.25" customHeight="1">
      <c r="A22" s="1543" t="s">
        <v>752</v>
      </c>
      <c r="B22" s="350"/>
      <c r="C22" s="1064">
        <f>SA34b!C10</f>
        <v>6347066.6699999999</v>
      </c>
      <c r="D22" s="1064">
        <f>SA34b!D10</f>
        <v>54598688.859999992</v>
      </c>
      <c r="E22" s="1065">
        <f>SA34b!E10</f>
        <v>0</v>
      </c>
      <c r="F22" s="1066">
        <f>SA34b!F10</f>
        <v>72207000</v>
      </c>
      <c r="G22" s="1064">
        <f>SA34b!G10</f>
        <v>61240252</v>
      </c>
      <c r="H22" s="1067">
        <f>SA34b!H10</f>
        <v>61240252</v>
      </c>
      <c r="I22" s="1068">
        <f>SA34b!I10</f>
        <v>149300000</v>
      </c>
      <c r="J22" s="1064">
        <f>SA34b!J10</f>
        <v>16365000</v>
      </c>
      <c r="K22" s="1065">
        <f>SA34b!K10</f>
        <v>10330000</v>
      </c>
    </row>
    <row r="23" spans="1:11" ht="11.25" customHeight="1">
      <c r="A23" s="1543" t="s">
        <v>390</v>
      </c>
      <c r="B23" s="350"/>
      <c r="C23" s="1064">
        <f>SA34b!C14</f>
        <v>5888278.0199999996</v>
      </c>
      <c r="D23" s="1064">
        <f>SA34b!D14</f>
        <v>9971503.120000001</v>
      </c>
      <c r="E23" s="1065">
        <f>SA34b!E14</f>
        <v>0</v>
      </c>
      <c r="F23" s="1066">
        <f>SA34b!F14</f>
        <v>63125000</v>
      </c>
      <c r="G23" s="1064">
        <f>SA34b!G14</f>
        <v>81608262</v>
      </c>
      <c r="H23" s="1067">
        <f>SA34b!H14</f>
        <v>81608262</v>
      </c>
      <c r="I23" s="1068">
        <f>SA34b!I14</f>
        <v>76200000</v>
      </c>
      <c r="J23" s="1064">
        <f>SA34b!J14</f>
        <v>21500000</v>
      </c>
      <c r="K23" s="1065">
        <f>SA34b!K14</f>
        <v>23500000</v>
      </c>
    </row>
    <row r="24" spans="1:11" ht="11.25" customHeight="1">
      <c r="A24" s="1543" t="s">
        <v>391</v>
      </c>
      <c r="B24" s="350"/>
      <c r="C24" s="1064">
        <f>SA34b!C18</f>
        <v>10012</v>
      </c>
      <c r="D24" s="1064">
        <f>SA34b!D18</f>
        <v>36147768.86999999</v>
      </c>
      <c r="E24" s="1065">
        <f>SA34b!E18</f>
        <v>0</v>
      </c>
      <c r="F24" s="1066">
        <f>SA34b!F18</f>
        <v>106000000</v>
      </c>
      <c r="G24" s="1064">
        <f>SA34b!G18</f>
        <v>74475237</v>
      </c>
      <c r="H24" s="1067">
        <f>SA34b!H18</f>
        <v>74475237</v>
      </c>
      <c r="I24" s="1068">
        <f>SA34b!I18</f>
        <v>87915000</v>
      </c>
      <c r="J24" s="1064">
        <f>SA34b!J18</f>
        <v>37200000</v>
      </c>
      <c r="K24" s="1065">
        <f>SA34b!K18</f>
        <v>49838000</v>
      </c>
    </row>
    <row r="25" spans="1:11" ht="11.25" customHeight="1">
      <c r="A25" s="1543" t="s">
        <v>691</v>
      </c>
      <c r="B25" s="350"/>
      <c r="C25" s="1064">
        <f>SA34b!C21</f>
        <v>3892.41</v>
      </c>
      <c r="D25" s="1064">
        <f>SA34b!D21</f>
        <v>23337979.57</v>
      </c>
      <c r="E25" s="1065">
        <f>SA34b!E21</f>
        <v>0</v>
      </c>
      <c r="F25" s="1066">
        <f>SA34b!F21</f>
        <v>5190000</v>
      </c>
      <c r="G25" s="1064">
        <f>SA34b!G21</f>
        <v>190000</v>
      </c>
      <c r="H25" s="1067">
        <f>SA34b!H21</f>
        <v>190000</v>
      </c>
      <c r="I25" s="1068">
        <f>SA34b!I21</f>
        <v>68798000</v>
      </c>
      <c r="J25" s="1064">
        <f>SA34b!J21</f>
        <v>73113000</v>
      </c>
      <c r="K25" s="1065">
        <f>SA34b!K21</f>
        <v>53775000</v>
      </c>
    </row>
    <row r="26" spans="1:11" ht="11.25" customHeight="1">
      <c r="A26" s="1433" t="str">
        <f>$A$11</f>
        <v>Infrastructure</v>
      </c>
      <c r="B26" s="369"/>
      <c r="C26" s="1025">
        <f>SUM(C21:C25)</f>
        <v>12249249.1</v>
      </c>
      <c r="D26" s="1025">
        <f>SUM(D21:D25)</f>
        <v>143922220.59999999</v>
      </c>
      <c r="E26" s="1026">
        <f t="shared" ref="E26:K26" si="3">SUM(E21:E25)</f>
        <v>0</v>
      </c>
      <c r="F26" s="1027">
        <f t="shared" si="3"/>
        <v>404522000</v>
      </c>
      <c r="G26" s="1025">
        <f t="shared" si="3"/>
        <v>440375614</v>
      </c>
      <c r="H26" s="1028">
        <f t="shared" si="3"/>
        <v>440375614</v>
      </c>
      <c r="I26" s="1029">
        <f t="shared" si="3"/>
        <v>1037234000</v>
      </c>
      <c r="J26" s="1025">
        <f t="shared" si="3"/>
        <v>912678000</v>
      </c>
      <c r="K26" s="1026">
        <f t="shared" si="3"/>
        <v>927443000</v>
      </c>
    </row>
    <row r="27" spans="1:11" ht="11.25" customHeight="1">
      <c r="A27" s="1434" t="str">
        <f>A12</f>
        <v>Community</v>
      </c>
      <c r="B27" s="274"/>
      <c r="C27" s="1064">
        <f>SA34b!C27</f>
        <v>102107117.11</v>
      </c>
      <c r="D27" s="1064">
        <f>SA34b!D27</f>
        <v>163158555.90000004</v>
      </c>
      <c r="E27" s="1065">
        <f>SA34b!E27</f>
        <v>0</v>
      </c>
      <c r="F27" s="1066">
        <f>SA34b!F27</f>
        <v>1867000</v>
      </c>
      <c r="G27" s="1064">
        <f>SA34b!G27</f>
        <v>10849333</v>
      </c>
      <c r="H27" s="1067">
        <f>SA34b!H27</f>
        <v>10849333</v>
      </c>
      <c r="I27" s="1068">
        <f>SA34b!I27</f>
        <v>15829700</v>
      </c>
      <c r="J27" s="1064">
        <f>SA34b!J27</f>
        <v>7914800</v>
      </c>
      <c r="K27" s="1065">
        <f>SA34b!K27</f>
        <v>3526000</v>
      </c>
    </row>
    <row r="28" spans="1:11" ht="11.25" customHeight="1">
      <c r="A28" s="1434" t="str">
        <f>A13</f>
        <v>Heritage assets</v>
      </c>
      <c r="B28" s="274"/>
      <c r="C28" s="1466">
        <f>SA34b!C43</f>
        <v>0</v>
      </c>
      <c r="D28" s="1466">
        <f>SA34b!D43</f>
        <v>0</v>
      </c>
      <c r="E28" s="1467">
        <f>SA34b!E43</f>
        <v>0</v>
      </c>
      <c r="F28" s="1468">
        <f>SA34b!F43</f>
        <v>0</v>
      </c>
      <c r="G28" s="1466">
        <f>SA34b!G43</f>
        <v>0</v>
      </c>
      <c r="H28" s="1469">
        <f>SA34b!H43</f>
        <v>0</v>
      </c>
      <c r="I28" s="1470">
        <f>SA34b!I43</f>
        <v>0</v>
      </c>
      <c r="J28" s="1466">
        <f>SA34b!J43</f>
        <v>0</v>
      </c>
      <c r="K28" s="1467">
        <f>SA34b!K43</f>
        <v>0</v>
      </c>
    </row>
    <row r="29" spans="1:11" ht="11.25" customHeight="1">
      <c r="A29" s="1434" t="str">
        <f>A14</f>
        <v>Investment properties</v>
      </c>
      <c r="B29" s="274"/>
      <c r="C29" s="1064">
        <f>SA34b!C47</f>
        <v>0</v>
      </c>
      <c r="D29" s="1064">
        <f>SA34b!D47</f>
        <v>0</v>
      </c>
      <c r="E29" s="1065">
        <f>SA34b!E47</f>
        <v>0</v>
      </c>
      <c r="F29" s="1066">
        <f>SA34b!F47</f>
        <v>0</v>
      </c>
      <c r="G29" s="1064">
        <f>SA34b!G47</f>
        <v>0</v>
      </c>
      <c r="H29" s="1067">
        <f>SA34b!H47</f>
        <v>0</v>
      </c>
      <c r="I29" s="1068">
        <f>SA34b!I47</f>
        <v>0</v>
      </c>
      <c r="J29" s="1064">
        <f>SA34b!J47</f>
        <v>0</v>
      </c>
      <c r="K29" s="1065">
        <f>SA34b!K47</f>
        <v>0</v>
      </c>
    </row>
    <row r="30" spans="1:11" ht="11.25" customHeight="1">
      <c r="A30" s="1434" t="str">
        <f>A15</f>
        <v>Other assets</v>
      </c>
      <c r="B30" s="182">
        <v>6</v>
      </c>
      <c r="C30" s="1064">
        <f>SA34b!C51</f>
        <v>7201479.8499999996</v>
      </c>
      <c r="D30" s="1064">
        <f>SA34b!D51</f>
        <v>0</v>
      </c>
      <c r="E30" s="1065">
        <f>SA34b!E51</f>
        <v>1550000</v>
      </c>
      <c r="F30" s="1066">
        <f>SA34b!F51</f>
        <v>24189471</v>
      </c>
      <c r="G30" s="1064">
        <f>SA34b!G51</f>
        <v>24508013</v>
      </c>
      <c r="H30" s="1067">
        <f>SA34b!H51</f>
        <v>24508013</v>
      </c>
      <c r="I30" s="1068">
        <f>SA34b!I51</f>
        <v>74222061</v>
      </c>
      <c r="J30" s="1064">
        <f>SA34b!J51</f>
        <v>35315848</v>
      </c>
      <c r="K30" s="1065">
        <f>SA34b!K51</f>
        <v>35725000</v>
      </c>
    </row>
    <row r="31" spans="1:11">
      <c r="A31" s="1544" t="s">
        <v>1541</v>
      </c>
      <c r="B31" s="557"/>
      <c r="C31" s="1064">
        <f>SA34b!C65</f>
        <v>0</v>
      </c>
      <c r="D31" s="1064">
        <f>SA34b!D65</f>
        <v>0</v>
      </c>
      <c r="E31" s="1065">
        <f>SA34b!E65</f>
        <v>0</v>
      </c>
      <c r="F31" s="1066">
        <f>SA34b!F65</f>
        <v>0</v>
      </c>
      <c r="G31" s="1064">
        <f>SA34b!G65</f>
        <v>0</v>
      </c>
      <c r="H31" s="1067">
        <f>SA34b!H65</f>
        <v>0</v>
      </c>
      <c r="I31" s="1068">
        <f>SA34b!I65</f>
        <v>0</v>
      </c>
      <c r="J31" s="1064">
        <f>SA34b!J65</f>
        <v>0</v>
      </c>
      <c r="K31" s="1065">
        <f>SA34b!K65</f>
        <v>0</v>
      </c>
    </row>
    <row r="32" spans="1:11" ht="11.25" customHeight="1">
      <c r="A32" s="1434" t="str">
        <f>A17</f>
        <v>Biological assets</v>
      </c>
      <c r="B32" s="182"/>
      <c r="C32" s="1064">
        <f>SA34b!C69</f>
        <v>0</v>
      </c>
      <c r="D32" s="1064">
        <f>SA34b!D69</f>
        <v>0</v>
      </c>
      <c r="E32" s="1065">
        <f>SA34b!E69</f>
        <v>0</v>
      </c>
      <c r="F32" s="1066">
        <f>SA34b!F69</f>
        <v>0</v>
      </c>
      <c r="G32" s="1064">
        <f>SA34b!G69</f>
        <v>0</v>
      </c>
      <c r="H32" s="1067">
        <f>SA34b!H69</f>
        <v>0</v>
      </c>
      <c r="I32" s="1068">
        <f>SA34b!I69</f>
        <v>0</v>
      </c>
      <c r="J32" s="1064">
        <f>SA34b!J69</f>
        <v>0</v>
      </c>
      <c r="K32" s="1065">
        <f>SA34b!K69</f>
        <v>0</v>
      </c>
    </row>
    <row r="33" spans="1:11" ht="11.25" customHeight="1">
      <c r="A33" s="1434" t="str">
        <f>A18</f>
        <v>Intangibles</v>
      </c>
      <c r="B33" s="182"/>
      <c r="C33" s="1143">
        <f>SA34b!C73</f>
        <v>0</v>
      </c>
      <c r="D33" s="1143">
        <f>SA34b!D73</f>
        <v>0</v>
      </c>
      <c r="E33" s="1144">
        <f>SA34b!E73</f>
        <v>0</v>
      </c>
      <c r="F33" s="1145">
        <f>SA34b!F73</f>
        <v>0</v>
      </c>
      <c r="G33" s="1143">
        <f>SA34b!G73</f>
        <v>0</v>
      </c>
      <c r="H33" s="1146">
        <f>SA34b!H73</f>
        <v>0</v>
      </c>
      <c r="I33" s="1147">
        <f>SA34b!I73</f>
        <v>0</v>
      </c>
      <c r="J33" s="1143">
        <f>SA34b!J73</f>
        <v>0</v>
      </c>
      <c r="K33" s="1144">
        <f>SA34b!K73</f>
        <v>0</v>
      </c>
    </row>
    <row r="34" spans="1:11" ht="5" customHeight="1">
      <c r="A34" s="1435"/>
      <c r="B34" s="182"/>
      <c r="C34" s="207"/>
      <c r="D34" s="207"/>
      <c r="E34" s="264"/>
      <c r="F34" s="251"/>
      <c r="G34" s="207"/>
      <c r="H34" s="210"/>
      <c r="I34" s="211"/>
      <c r="J34" s="207"/>
      <c r="K34" s="264"/>
    </row>
    <row r="35" spans="1:11" ht="11.25" customHeight="1">
      <c r="A35" s="1542" t="s">
        <v>602</v>
      </c>
      <c r="B35" s="182">
        <v>4</v>
      </c>
      <c r="C35" s="203"/>
      <c r="D35" s="203"/>
      <c r="E35" s="204"/>
      <c r="F35" s="205"/>
      <c r="G35" s="203"/>
      <c r="H35" s="202"/>
      <c r="I35" s="206"/>
      <c r="J35" s="203"/>
      <c r="K35" s="204"/>
    </row>
    <row r="36" spans="1:11" ht="11.25" customHeight="1">
      <c r="A36" s="1543" t="s">
        <v>389</v>
      </c>
      <c r="B36" s="350"/>
      <c r="C36" s="207">
        <f>C6+C21</f>
        <v>68806993</v>
      </c>
      <c r="D36" s="207">
        <f t="shared" ref="D36:K36" si="4">D6+D21</f>
        <v>42216419.18</v>
      </c>
      <c r="E36" s="264">
        <f t="shared" si="4"/>
        <v>95986921</v>
      </c>
      <c r="F36" s="251">
        <f t="shared" si="4"/>
        <v>421345818</v>
      </c>
      <c r="G36" s="207">
        <f t="shared" si="4"/>
        <v>540130656</v>
      </c>
      <c r="H36" s="210">
        <f t="shared" si="4"/>
        <v>540130656</v>
      </c>
      <c r="I36" s="211">
        <f t="shared" si="4"/>
        <v>655021000</v>
      </c>
      <c r="J36" s="207">
        <f t="shared" si="4"/>
        <v>764500000</v>
      </c>
      <c r="K36" s="264">
        <f t="shared" si="4"/>
        <v>790000000</v>
      </c>
    </row>
    <row r="37" spans="1:11" ht="11.25" customHeight="1">
      <c r="A37" s="1543" t="s">
        <v>752</v>
      </c>
      <c r="B37" s="350"/>
      <c r="C37" s="207">
        <f>C7+C22</f>
        <v>81911620.670000002</v>
      </c>
      <c r="D37" s="207">
        <f t="shared" ref="D37:K38" si="5">D7+D22</f>
        <v>164376305.85999998</v>
      </c>
      <c r="E37" s="264">
        <f t="shared" si="5"/>
        <v>37297172</v>
      </c>
      <c r="F37" s="251">
        <f t="shared" si="5"/>
        <v>166717000</v>
      </c>
      <c r="G37" s="207">
        <f t="shared" si="5"/>
        <v>121986919</v>
      </c>
      <c r="H37" s="210">
        <f t="shared" si="5"/>
        <v>121986919</v>
      </c>
      <c r="I37" s="211">
        <f t="shared" si="5"/>
        <v>198755000</v>
      </c>
      <c r="J37" s="207">
        <f t="shared" si="5"/>
        <v>42965000</v>
      </c>
      <c r="K37" s="264">
        <f t="shared" si="5"/>
        <v>38760000</v>
      </c>
    </row>
    <row r="38" spans="1:11" ht="11.25" customHeight="1">
      <c r="A38" s="1543" t="s">
        <v>390</v>
      </c>
      <c r="B38" s="350"/>
      <c r="C38" s="207">
        <f>C8+C23</f>
        <v>21378702.02</v>
      </c>
      <c r="D38" s="207">
        <f t="shared" si="5"/>
        <v>24614808.120000001</v>
      </c>
      <c r="E38" s="264">
        <f t="shared" si="5"/>
        <v>11709729</v>
      </c>
      <c r="F38" s="251">
        <f t="shared" si="5"/>
        <v>108755876</v>
      </c>
      <c r="G38" s="207">
        <f t="shared" si="5"/>
        <v>105869827</v>
      </c>
      <c r="H38" s="210">
        <f t="shared" si="5"/>
        <v>105869827</v>
      </c>
      <c r="I38" s="211">
        <f t="shared" si="5"/>
        <v>151500000</v>
      </c>
      <c r="J38" s="207">
        <f t="shared" si="5"/>
        <v>105500000</v>
      </c>
      <c r="K38" s="264">
        <f t="shared" si="5"/>
        <v>51500000</v>
      </c>
    </row>
    <row r="39" spans="1:11" ht="11.25" customHeight="1">
      <c r="A39" s="1543" t="s">
        <v>391</v>
      </c>
      <c r="B39" s="350"/>
      <c r="C39" s="207">
        <f>C9+C24</f>
        <v>19753954</v>
      </c>
      <c r="D39" s="207">
        <f t="shared" ref="D39:K39" si="6">D9+D24</f>
        <v>72824049.86999999</v>
      </c>
      <c r="E39" s="264">
        <f>E9+E24</f>
        <v>4924372</v>
      </c>
      <c r="F39" s="251">
        <f t="shared" si="6"/>
        <v>125999146</v>
      </c>
      <c r="G39" s="207">
        <f t="shared" si="6"/>
        <v>94633357</v>
      </c>
      <c r="H39" s="210">
        <f t="shared" si="6"/>
        <v>94633357</v>
      </c>
      <c r="I39" s="211">
        <f t="shared" si="6"/>
        <v>113065000</v>
      </c>
      <c r="J39" s="207">
        <f t="shared" si="6"/>
        <v>63200000</v>
      </c>
      <c r="K39" s="264">
        <f t="shared" si="6"/>
        <v>64838000</v>
      </c>
    </row>
    <row r="40" spans="1:11" ht="11.25" customHeight="1">
      <c r="A40" s="1543" t="s">
        <v>691</v>
      </c>
      <c r="B40" s="350"/>
      <c r="C40" s="207">
        <f t="shared" ref="C40:K40" si="7">C10+C25</f>
        <v>16215254.41</v>
      </c>
      <c r="D40" s="207">
        <f t="shared" si="7"/>
        <v>48394555.57</v>
      </c>
      <c r="E40" s="264">
        <f t="shared" si="7"/>
        <v>11709426</v>
      </c>
      <c r="F40" s="251">
        <f t="shared" si="7"/>
        <v>30940000</v>
      </c>
      <c r="G40" s="207">
        <f t="shared" si="7"/>
        <v>29323989</v>
      </c>
      <c r="H40" s="210">
        <f t="shared" si="7"/>
        <v>29323989</v>
      </c>
      <c r="I40" s="211">
        <f t="shared" si="7"/>
        <v>69173000</v>
      </c>
      <c r="J40" s="207">
        <f t="shared" si="7"/>
        <v>73488000</v>
      </c>
      <c r="K40" s="264">
        <f t="shared" si="7"/>
        <v>54175000</v>
      </c>
    </row>
    <row r="41" spans="1:11" ht="11.25" customHeight="1">
      <c r="A41" s="1433" t="str">
        <f>$A$11</f>
        <v>Infrastructure</v>
      </c>
      <c r="B41" s="350"/>
      <c r="C41" s="1025">
        <f>SUM(C36:C40)</f>
        <v>208066524.10000002</v>
      </c>
      <c r="D41" s="1025">
        <f t="shared" ref="D41:K41" si="8">SUM(D36:D40)</f>
        <v>352426138.59999996</v>
      </c>
      <c r="E41" s="1026">
        <f t="shared" si="8"/>
        <v>161627620</v>
      </c>
      <c r="F41" s="1027">
        <f t="shared" si="8"/>
        <v>853757840</v>
      </c>
      <c r="G41" s="1025">
        <f t="shared" si="8"/>
        <v>891944748</v>
      </c>
      <c r="H41" s="1028">
        <f t="shared" si="8"/>
        <v>891944748</v>
      </c>
      <c r="I41" s="1029">
        <f t="shared" si="8"/>
        <v>1187514000</v>
      </c>
      <c r="J41" s="1025">
        <f t="shared" si="8"/>
        <v>1049653000</v>
      </c>
      <c r="K41" s="1026">
        <f t="shared" si="8"/>
        <v>999273000</v>
      </c>
    </row>
    <row r="42" spans="1:11" ht="11.25" customHeight="1">
      <c r="A42" s="1434" t="str">
        <f>SA34a!A27</f>
        <v>Community</v>
      </c>
      <c r="B42" s="182"/>
      <c r="C42" s="207">
        <f t="shared" ref="C42:C48" si="9">C12+C27</f>
        <v>131938718.11</v>
      </c>
      <c r="D42" s="207">
        <f t="shared" ref="D42:K42" si="10">D12+D27</f>
        <v>172377148.90000004</v>
      </c>
      <c r="E42" s="204">
        <f t="shared" si="10"/>
        <v>10628126</v>
      </c>
      <c r="F42" s="205">
        <f t="shared" si="10"/>
        <v>8778000</v>
      </c>
      <c r="G42" s="203">
        <f t="shared" si="10"/>
        <v>33170040</v>
      </c>
      <c r="H42" s="202">
        <f t="shared" si="10"/>
        <v>33170040</v>
      </c>
      <c r="I42" s="206">
        <f t="shared" si="10"/>
        <v>21636050</v>
      </c>
      <c r="J42" s="203">
        <f t="shared" si="10"/>
        <v>9792800</v>
      </c>
      <c r="K42" s="204">
        <f t="shared" si="10"/>
        <v>4507000</v>
      </c>
    </row>
    <row r="43" spans="1:11" ht="11.25" customHeight="1">
      <c r="A43" s="1434" t="str">
        <f>SA34a!A43</f>
        <v>Heritage assets</v>
      </c>
      <c r="B43" s="182"/>
      <c r="C43" s="256">
        <f t="shared" si="9"/>
        <v>0</v>
      </c>
      <c r="D43" s="256">
        <f t="shared" ref="D43:K43" si="11">D13+D28</f>
        <v>0</v>
      </c>
      <c r="E43" s="257">
        <f t="shared" si="11"/>
        <v>0</v>
      </c>
      <c r="F43" s="296">
        <f t="shared" si="11"/>
        <v>0</v>
      </c>
      <c r="G43" s="259">
        <f t="shared" si="11"/>
        <v>0</v>
      </c>
      <c r="H43" s="255">
        <f t="shared" si="11"/>
        <v>0</v>
      </c>
      <c r="I43" s="260">
        <f t="shared" si="11"/>
        <v>0</v>
      </c>
      <c r="J43" s="259">
        <f t="shared" si="11"/>
        <v>0</v>
      </c>
      <c r="K43" s="257">
        <f t="shared" si="11"/>
        <v>0</v>
      </c>
    </row>
    <row r="44" spans="1:11" ht="11.25" customHeight="1">
      <c r="A44" s="1434" t="str">
        <f>SA34a!A47</f>
        <v>Investment properties</v>
      </c>
      <c r="B44" s="182"/>
      <c r="C44" s="207">
        <f t="shared" si="9"/>
        <v>0</v>
      </c>
      <c r="D44" s="207">
        <f t="shared" ref="D44:K44" si="12">D14+D29</f>
        <v>0</v>
      </c>
      <c r="E44" s="204">
        <f t="shared" si="12"/>
        <v>0</v>
      </c>
      <c r="F44" s="205">
        <f t="shared" si="12"/>
        <v>0</v>
      </c>
      <c r="G44" s="203">
        <f t="shared" si="12"/>
        <v>0</v>
      </c>
      <c r="H44" s="202">
        <f t="shared" si="12"/>
        <v>0</v>
      </c>
      <c r="I44" s="206">
        <f t="shared" si="12"/>
        <v>0</v>
      </c>
      <c r="J44" s="203">
        <f t="shared" si="12"/>
        <v>0</v>
      </c>
      <c r="K44" s="204">
        <f t="shared" si="12"/>
        <v>0</v>
      </c>
    </row>
    <row r="45" spans="1:11" ht="11.25" customHeight="1">
      <c r="A45" s="1434" t="str">
        <f>SA34a!A51</f>
        <v>Other assets</v>
      </c>
      <c r="B45" s="182"/>
      <c r="C45" s="207">
        <f t="shared" si="9"/>
        <v>30768118.850000001</v>
      </c>
      <c r="D45" s="207">
        <f t="shared" ref="D45:K45" si="13">D15+D30</f>
        <v>19607427</v>
      </c>
      <c r="E45" s="204">
        <f t="shared" si="13"/>
        <v>23559046</v>
      </c>
      <c r="F45" s="205">
        <f t="shared" si="13"/>
        <v>54163554</v>
      </c>
      <c r="G45" s="203">
        <f t="shared" si="13"/>
        <v>68709882</v>
      </c>
      <c r="H45" s="202">
        <f t="shared" si="13"/>
        <v>68709882</v>
      </c>
      <c r="I45" s="206">
        <f t="shared" si="13"/>
        <v>104508811</v>
      </c>
      <c r="J45" s="203">
        <f t="shared" si="13"/>
        <v>60975848</v>
      </c>
      <c r="K45" s="204">
        <f t="shared" si="13"/>
        <v>38100000</v>
      </c>
    </row>
    <row r="46" spans="1:11">
      <c r="A46" s="1544" t="s">
        <v>1541</v>
      </c>
      <c r="B46" s="182"/>
      <c r="C46" s="207">
        <f t="shared" si="9"/>
        <v>0</v>
      </c>
      <c r="D46" s="207">
        <f t="shared" ref="D46:K46" si="14">D16+D31</f>
        <v>0</v>
      </c>
      <c r="E46" s="204">
        <f t="shared" si="14"/>
        <v>0</v>
      </c>
      <c r="F46" s="205">
        <f t="shared" si="14"/>
        <v>0</v>
      </c>
      <c r="G46" s="203">
        <f t="shared" si="14"/>
        <v>0</v>
      </c>
      <c r="H46" s="202">
        <f t="shared" si="14"/>
        <v>0</v>
      </c>
      <c r="I46" s="206">
        <f t="shared" si="14"/>
        <v>0</v>
      </c>
      <c r="J46" s="203">
        <f t="shared" si="14"/>
        <v>0</v>
      </c>
      <c r="K46" s="204">
        <f t="shared" si="14"/>
        <v>0</v>
      </c>
    </row>
    <row r="47" spans="1:11" ht="11.25" customHeight="1">
      <c r="A47" s="1434" t="str">
        <f>A32</f>
        <v>Biological assets</v>
      </c>
      <c r="B47" s="182"/>
      <c r="C47" s="207">
        <f t="shared" si="9"/>
        <v>0</v>
      </c>
      <c r="D47" s="207">
        <f t="shared" ref="D47:K47" si="15">D17+D32</f>
        <v>0</v>
      </c>
      <c r="E47" s="204">
        <f t="shared" si="15"/>
        <v>0</v>
      </c>
      <c r="F47" s="205">
        <f t="shared" si="15"/>
        <v>0</v>
      </c>
      <c r="G47" s="203">
        <f t="shared" si="15"/>
        <v>0</v>
      </c>
      <c r="H47" s="202">
        <f t="shared" si="15"/>
        <v>0</v>
      </c>
      <c r="I47" s="206">
        <f t="shared" si="15"/>
        <v>0</v>
      </c>
      <c r="J47" s="203">
        <f t="shared" si="15"/>
        <v>0</v>
      </c>
      <c r="K47" s="204">
        <f t="shared" si="15"/>
        <v>0</v>
      </c>
    </row>
    <row r="48" spans="1:11" ht="11.25" customHeight="1">
      <c r="A48" s="1434" t="str">
        <f>A33</f>
        <v>Intangibles</v>
      </c>
      <c r="B48" s="182"/>
      <c r="C48" s="207">
        <f t="shared" si="9"/>
        <v>0</v>
      </c>
      <c r="D48" s="207">
        <f t="shared" ref="D48:K48" si="16">D18+D33</f>
        <v>0</v>
      </c>
      <c r="E48" s="204">
        <f t="shared" si="16"/>
        <v>0</v>
      </c>
      <c r="F48" s="205">
        <f t="shared" si="16"/>
        <v>0</v>
      </c>
      <c r="G48" s="203">
        <f t="shared" si="16"/>
        <v>0</v>
      </c>
      <c r="H48" s="202">
        <f t="shared" si="16"/>
        <v>0</v>
      </c>
      <c r="I48" s="206">
        <f t="shared" si="16"/>
        <v>0</v>
      </c>
      <c r="J48" s="203">
        <f t="shared" si="16"/>
        <v>0</v>
      </c>
      <c r="K48" s="204">
        <f t="shared" si="16"/>
        <v>0</v>
      </c>
    </row>
    <row r="49" spans="1:11">
      <c r="A49" s="1545" t="s">
        <v>1431</v>
      </c>
      <c r="B49" s="225">
        <v>2</v>
      </c>
      <c r="C49" s="230">
        <f t="shared" ref="C49:K49" si="17">SUM(C41:C48)</f>
        <v>370773361.06000006</v>
      </c>
      <c r="D49" s="230">
        <f t="shared" si="17"/>
        <v>544410714.5</v>
      </c>
      <c r="E49" s="228">
        <f t="shared" si="17"/>
        <v>195814792</v>
      </c>
      <c r="F49" s="229">
        <f t="shared" si="17"/>
        <v>916699394</v>
      </c>
      <c r="G49" s="230">
        <f t="shared" si="17"/>
        <v>993824670</v>
      </c>
      <c r="H49" s="231">
        <f t="shared" si="17"/>
        <v>993824670</v>
      </c>
      <c r="I49" s="232">
        <f t="shared" si="17"/>
        <v>1313658861</v>
      </c>
      <c r="J49" s="230">
        <f t="shared" si="17"/>
        <v>1120421648</v>
      </c>
      <c r="K49" s="228">
        <f t="shared" si="17"/>
        <v>1041880000</v>
      </c>
    </row>
    <row r="50" spans="1:11" ht="5" customHeight="1">
      <c r="A50" s="250"/>
      <c r="B50" s="182"/>
      <c r="C50" s="203"/>
      <c r="D50" s="203"/>
      <c r="E50" s="204"/>
      <c r="F50" s="205"/>
      <c r="G50" s="203"/>
      <c r="H50" s="202"/>
      <c r="I50" s="206"/>
      <c r="J50" s="203"/>
      <c r="K50" s="204"/>
    </row>
    <row r="51" spans="1:11" ht="11.25" customHeight="1">
      <c r="A51" s="326" t="s">
        <v>1435</v>
      </c>
      <c r="B51" s="182">
        <v>5</v>
      </c>
      <c r="C51" s="203"/>
      <c r="D51" s="203"/>
      <c r="E51" s="204"/>
      <c r="F51" s="205"/>
      <c r="G51" s="203"/>
      <c r="H51" s="202"/>
      <c r="I51" s="206"/>
      <c r="J51" s="203"/>
      <c r="K51" s="204"/>
    </row>
    <row r="52" spans="1:11" ht="11.25" customHeight="1">
      <c r="A52" s="1472" t="s">
        <v>389</v>
      </c>
      <c r="B52" s="350"/>
      <c r="C52" s="1052">
        <v>22350138</v>
      </c>
      <c r="D52" s="1052">
        <v>95986922</v>
      </c>
      <c r="E52" s="1051">
        <v>179665964</v>
      </c>
      <c r="F52" s="1051">
        <f>105124400+50000000+8000000+300184947</f>
        <v>463309347</v>
      </c>
      <c r="G52" s="1057">
        <f>1308522112+425.95</f>
        <v>1308522537.95</v>
      </c>
      <c r="H52" s="1057">
        <f>1308522112-31000000-50000000</f>
        <v>1227522112</v>
      </c>
      <c r="I52" s="1049">
        <f>1341398217.6+216000000+100000000+20000000</f>
        <v>1677398217.5999999</v>
      </c>
      <c r="J52" s="1049">
        <f>1408468128.48+262820896.69+200000000</f>
        <v>1871289025.1700001</v>
      </c>
      <c r="K52" s="1049">
        <f>1478891534.904+200000000+250000000+20000000</f>
        <v>1948891534.904</v>
      </c>
    </row>
    <row r="53" spans="1:11" ht="11.25" customHeight="1">
      <c r="A53" s="1472" t="s">
        <v>752</v>
      </c>
      <c r="B53" s="350"/>
      <c r="C53" s="1052">
        <v>109777617</v>
      </c>
      <c r="D53" s="1052">
        <v>35634060</v>
      </c>
      <c r="E53" s="1051">
        <v>61788613</v>
      </c>
      <c r="F53" s="1051">
        <v>83957000</v>
      </c>
      <c r="G53" s="1057">
        <v>1317187285</v>
      </c>
      <c r="H53" s="1057">
        <f>1317187285-30000000-50000000</f>
        <v>1237187285</v>
      </c>
      <c r="I53" s="1049">
        <f>1351546649.25+200000000+100000000+14000000</f>
        <v>1665546649.25</v>
      </c>
      <c r="J53" s="1049">
        <f>1419123981.7125+201000000+200000000</f>
        <v>1820123981.7125001</v>
      </c>
      <c r="K53" s="1049">
        <f>1490080180.79813+200000000+250000000+20000000</f>
        <v>1960080180.79813</v>
      </c>
    </row>
    <row r="54" spans="1:11" ht="11.25" customHeight="1">
      <c r="A54" s="1472" t="s">
        <v>390</v>
      </c>
      <c r="B54" s="350"/>
      <c r="C54" s="1052">
        <v>14643305</v>
      </c>
      <c r="D54" s="1052">
        <v>11709730</v>
      </c>
      <c r="E54" s="1051">
        <v>10911904</v>
      </c>
      <c r="F54" s="1051">
        <v>85420000</v>
      </c>
      <c r="G54" s="1057">
        <v>1200417960</v>
      </c>
      <c r="H54" s="1057">
        <f>1200417960-589477.93-50000000</f>
        <v>1149828482.0699999</v>
      </c>
      <c r="I54" s="1049">
        <f>1259819906.1735+200000000+100000000+985333.8</f>
        <v>1560805239.9735</v>
      </c>
      <c r="J54" s="1049">
        <f>1322810901.48218+200000000+200000000</f>
        <v>1722810901.4821801</v>
      </c>
      <c r="K54" s="1049">
        <f>1388951446.55628+200000000+250000000+20000000</f>
        <v>1858951446.5562799</v>
      </c>
    </row>
    <row r="55" spans="1:11" ht="11.25" customHeight="1">
      <c r="A55" s="1472" t="s">
        <v>391</v>
      </c>
      <c r="B55" s="350"/>
      <c r="C55" s="1052">
        <v>36676279</v>
      </c>
      <c r="D55" s="1052">
        <v>4924372</v>
      </c>
      <c r="E55" s="1051">
        <v>13098874</v>
      </c>
      <c r="F55" s="1051">
        <f>60700000+31000000+15000000</f>
        <v>106700000</v>
      </c>
      <c r="G55" s="1057">
        <v>1089292839</v>
      </c>
      <c r="H55" s="1057">
        <f>1089292839-50000000</f>
        <v>1039292839</v>
      </c>
      <c r="I55" s="1049">
        <f>1143757480.95+200000000+100000000</f>
        <v>1443757480.95</v>
      </c>
      <c r="J55" s="1049">
        <f>1200945354.9975+200000000+200000000</f>
        <v>1600945354.9974999</v>
      </c>
      <c r="K55" s="1049">
        <f>1260992622.74738+200000000+250000000+10000000</f>
        <v>1720992622.74738</v>
      </c>
    </row>
    <row r="56" spans="1:11" ht="11.25" customHeight="1">
      <c r="A56" s="1472" t="s">
        <v>691</v>
      </c>
      <c r="B56" s="350"/>
      <c r="C56" s="1615">
        <v>26468499</v>
      </c>
      <c r="D56" s="1635">
        <v>182068648</v>
      </c>
      <c r="E56" s="1635">
        <v>244058585</v>
      </c>
      <c r="F56" s="2534">
        <v>55699080</v>
      </c>
      <c r="G56" s="1615">
        <v>1127731911</v>
      </c>
      <c r="H56" s="1615">
        <f>1127731911-100000000</f>
        <v>1027731911</v>
      </c>
      <c r="I56" s="1049">
        <f>1184118506.55+635572.5+100000000-70514375</f>
        <v>1214239704.05</v>
      </c>
      <c r="J56" s="1049">
        <f>1243324431.8775+200000000+52575815.12</f>
        <v>1495900246.9974999</v>
      </c>
      <c r="K56" s="1049">
        <f>1305490653.47138-1272258.14+276365710.44+5584291.52</f>
        <v>1586168397.2913799</v>
      </c>
    </row>
    <row r="57" spans="1:11" ht="11.25" customHeight="1">
      <c r="A57" s="254" t="str">
        <f>A41</f>
        <v>Infrastructure</v>
      </c>
      <c r="B57" s="350"/>
      <c r="C57" s="1293">
        <f>SUM(C52:C56)</f>
        <v>209915838</v>
      </c>
      <c r="D57" s="1293">
        <f t="shared" ref="D57:K57" si="18">SUM(D52:D56)</f>
        <v>330323732</v>
      </c>
      <c r="E57" s="1294">
        <f t="shared" si="18"/>
        <v>509523940</v>
      </c>
      <c r="F57" s="1295">
        <f t="shared" si="18"/>
        <v>795085427</v>
      </c>
      <c r="G57" s="1293">
        <f t="shared" si="18"/>
        <v>6043152532.9499998</v>
      </c>
      <c r="H57" s="1296">
        <f t="shared" si="18"/>
        <v>5681562629.0699997</v>
      </c>
      <c r="I57" s="1297">
        <f t="shared" si="18"/>
        <v>7561747291.8234997</v>
      </c>
      <c r="J57" s="1293">
        <f t="shared" si="18"/>
        <v>8511069510.3596802</v>
      </c>
      <c r="K57" s="1294">
        <f t="shared" si="18"/>
        <v>9075084182.2971706</v>
      </c>
    </row>
    <row r="58" spans="1:11" ht="11.25" customHeight="1">
      <c r="A58" s="250" t="str">
        <f>A12</f>
        <v>Community</v>
      </c>
      <c r="B58" s="182"/>
      <c r="C58" s="1054">
        <v>57632959</v>
      </c>
      <c r="D58" s="1054">
        <v>54043920</v>
      </c>
      <c r="E58" s="1635">
        <v>54453450</v>
      </c>
      <c r="F58" s="1057">
        <v>57176123</v>
      </c>
      <c r="G58" s="1057">
        <v>63034929</v>
      </c>
      <c r="H58" s="1057">
        <v>63034929</v>
      </c>
      <c r="I58" s="2534">
        <v>12293500</v>
      </c>
      <c r="J58" s="1615">
        <v>3938500</v>
      </c>
      <c r="K58" s="1635">
        <v>3683000</v>
      </c>
    </row>
    <row r="59" spans="1:11" ht="11.25" customHeight="1">
      <c r="A59" s="250" t="str">
        <f>A13</f>
        <v>Heritage assets</v>
      </c>
      <c r="B59" s="182"/>
      <c r="C59" s="1639">
        <v>429115</v>
      </c>
      <c r="D59" s="1639">
        <v>429115</v>
      </c>
      <c r="E59" s="1639">
        <v>429115</v>
      </c>
      <c r="F59" s="1638">
        <v>429115</v>
      </c>
      <c r="G59" s="1638">
        <v>429115</v>
      </c>
      <c r="H59" s="1638">
        <v>429115</v>
      </c>
      <c r="I59" s="1642">
        <v>0</v>
      </c>
      <c r="J59" s="1638">
        <v>0</v>
      </c>
      <c r="K59" s="1639">
        <v>0</v>
      </c>
    </row>
    <row r="60" spans="1:11" ht="11.25" customHeight="1">
      <c r="A60" s="250" t="str">
        <f>A14</f>
        <v>Investment properties</v>
      </c>
      <c r="B60" s="182"/>
      <c r="C60" s="1064">
        <f>'A6-FinPos'!C17</f>
        <v>1301985</v>
      </c>
      <c r="D60" s="1064">
        <f>'A6-FinPos'!D17</f>
        <v>66730428</v>
      </c>
      <c r="E60" s="1065">
        <f>'A6-FinPos'!E17</f>
        <v>62785665</v>
      </c>
      <c r="F60" s="1066">
        <f>'A6-FinPos'!F17</f>
        <v>0</v>
      </c>
      <c r="G60" s="1064">
        <f>'A6-FinPos'!G17</f>
        <v>0</v>
      </c>
      <c r="H60" s="1067">
        <f>'A6-FinPos'!H17</f>
        <v>0</v>
      </c>
      <c r="I60" s="1068">
        <f>'A6-FinPos'!J17</f>
        <v>0</v>
      </c>
      <c r="J60" s="1064">
        <f>'A6-FinPos'!K17</f>
        <v>0</v>
      </c>
      <c r="K60" s="1065">
        <f>'A6-FinPos'!L17</f>
        <v>0</v>
      </c>
    </row>
    <row r="61" spans="1:11" ht="11.25" customHeight="1">
      <c r="A61" s="250" t="str">
        <f>A15</f>
        <v>Other assets</v>
      </c>
      <c r="B61" s="182"/>
      <c r="C61" s="1054">
        <v>104054808</v>
      </c>
      <c r="D61" s="1054">
        <v>276982004</v>
      </c>
      <c r="E61" s="1635">
        <f>269263000+1233306</f>
        <v>270496306</v>
      </c>
      <c r="F61" s="1057">
        <v>48276948</v>
      </c>
      <c r="G61" s="1057">
        <v>392081159</v>
      </c>
      <c r="H61" s="1057">
        <v>392081159</v>
      </c>
      <c r="I61" s="2534">
        <v>97416361</v>
      </c>
      <c r="J61" s="1615">
        <v>50830148</v>
      </c>
      <c r="K61" s="1635">
        <v>23924000</v>
      </c>
    </row>
    <row r="62" spans="1:11">
      <c r="A62" s="190" t="s">
        <v>1541</v>
      </c>
      <c r="B62" s="182"/>
      <c r="C62" s="1064">
        <f>'A6-FinPos'!C20</f>
        <v>0</v>
      </c>
      <c r="D62" s="1064">
        <f>'A6-FinPos'!D20</f>
        <v>0</v>
      </c>
      <c r="E62" s="1065">
        <f>'A6-FinPos'!E20</f>
        <v>0</v>
      </c>
      <c r="F62" s="1066">
        <f>'A6-FinPos'!F20</f>
        <v>0</v>
      </c>
      <c r="G62" s="1064">
        <f>'A6-FinPos'!G20</f>
        <v>0</v>
      </c>
      <c r="H62" s="1067">
        <f>'A6-FinPos'!H20</f>
        <v>0</v>
      </c>
      <c r="I62" s="1068">
        <f>'A6-FinPos'!J20</f>
        <v>0</v>
      </c>
      <c r="J62" s="1064">
        <f>'A6-FinPos'!K20</f>
        <v>0</v>
      </c>
      <c r="K62" s="1065">
        <f>'A6-FinPos'!L20</f>
        <v>0</v>
      </c>
    </row>
    <row r="63" spans="1:11" ht="11.25" customHeight="1">
      <c r="A63" s="250" t="str">
        <f>A17</f>
        <v>Biological assets</v>
      </c>
      <c r="B63" s="182"/>
      <c r="C63" s="1064">
        <f>'A6-FinPos'!C21</f>
        <v>0</v>
      </c>
      <c r="D63" s="1064">
        <f>'A6-FinPos'!D21</f>
        <v>0</v>
      </c>
      <c r="E63" s="1065">
        <f>'A6-FinPos'!E21</f>
        <v>0</v>
      </c>
      <c r="F63" s="1066">
        <f>'A6-FinPos'!F21</f>
        <v>0</v>
      </c>
      <c r="G63" s="1064">
        <f>'A6-FinPos'!G21</f>
        <v>0</v>
      </c>
      <c r="H63" s="1067">
        <f>'A6-FinPos'!H21</f>
        <v>0</v>
      </c>
      <c r="I63" s="1068">
        <f>'A6-FinPos'!J21</f>
        <v>0</v>
      </c>
      <c r="J63" s="1064">
        <f>'A6-FinPos'!K21</f>
        <v>0</v>
      </c>
      <c r="K63" s="1065">
        <f>'A6-FinPos'!L21</f>
        <v>0</v>
      </c>
    </row>
    <row r="64" spans="1:11" ht="11.25" customHeight="1">
      <c r="A64" s="250" t="str">
        <f>A18</f>
        <v>Intangibles</v>
      </c>
      <c r="B64" s="182"/>
      <c r="C64" s="1064">
        <f>'A6-FinPos'!C22</f>
        <v>0</v>
      </c>
      <c r="D64" s="1064">
        <f>'A6-FinPos'!D22</f>
        <v>241480</v>
      </c>
      <c r="E64" s="1065">
        <f>'A6-FinPos'!E22</f>
        <v>123847</v>
      </c>
      <c r="F64" s="1066">
        <f>'A6-FinPos'!F22</f>
        <v>0</v>
      </c>
      <c r="G64" s="1064">
        <f>'A6-FinPos'!G22</f>
        <v>0</v>
      </c>
      <c r="H64" s="1067">
        <f>'A6-FinPos'!H22</f>
        <v>0</v>
      </c>
      <c r="I64" s="1068">
        <f>'A6-FinPos'!J22</f>
        <v>0</v>
      </c>
      <c r="J64" s="1064">
        <f>'A6-FinPos'!K22</f>
        <v>0</v>
      </c>
      <c r="K64" s="1065">
        <f>'A6-FinPos'!L22</f>
        <v>0</v>
      </c>
    </row>
    <row r="65" spans="1:11" ht="11.25" customHeight="1">
      <c r="A65" s="1545" t="s">
        <v>1436</v>
      </c>
      <c r="B65" s="225">
        <v>5</v>
      </c>
      <c r="C65" s="230">
        <f t="shared" ref="C65:K65" si="19">SUM(C57:C64)</f>
        <v>373334705</v>
      </c>
      <c r="D65" s="230">
        <f t="shared" si="19"/>
        <v>728750679</v>
      </c>
      <c r="E65" s="228">
        <f t="shared" si="19"/>
        <v>897812323</v>
      </c>
      <c r="F65" s="229">
        <f t="shared" si="19"/>
        <v>900967613</v>
      </c>
      <c r="G65" s="230">
        <f t="shared" si="19"/>
        <v>6498697735.9499998</v>
      </c>
      <c r="H65" s="231">
        <f t="shared" si="19"/>
        <v>6137107832.0699997</v>
      </c>
      <c r="I65" s="354">
        <f t="shared" si="19"/>
        <v>7671457152.8234997</v>
      </c>
      <c r="J65" s="230">
        <f t="shared" si="19"/>
        <v>8565838158.3596802</v>
      </c>
      <c r="K65" s="228">
        <f t="shared" si="19"/>
        <v>9102691182.2971706</v>
      </c>
    </row>
    <row r="66" spans="1:11" ht="5" customHeight="1">
      <c r="A66" s="250"/>
      <c r="B66" s="182"/>
      <c r="C66" s="203"/>
      <c r="D66" s="203"/>
      <c r="E66" s="204"/>
      <c r="F66" s="205"/>
      <c r="G66" s="203"/>
      <c r="H66" s="202"/>
      <c r="I66" s="206"/>
      <c r="J66" s="203"/>
      <c r="K66" s="204"/>
    </row>
    <row r="67" spans="1:11" ht="11.25" customHeight="1">
      <c r="A67" s="372" t="s">
        <v>1432</v>
      </c>
      <c r="B67" s="182"/>
      <c r="C67" s="218"/>
      <c r="D67" s="218"/>
      <c r="E67" s="219"/>
      <c r="F67" s="220"/>
      <c r="G67" s="218"/>
      <c r="H67" s="217"/>
      <c r="I67" s="221"/>
      <c r="J67" s="218"/>
      <c r="K67" s="219"/>
    </row>
    <row r="68" spans="1:11" ht="11.25" customHeight="1">
      <c r="A68" s="1303" t="str">
        <f>'A4-FinPerf RE'!A28</f>
        <v>Depreciation &amp; asset impairment</v>
      </c>
      <c r="B68" s="182"/>
      <c r="C68" s="203">
        <f>'A4-FinPerf RE'!C28</f>
        <v>109873900</v>
      </c>
      <c r="D68" s="203">
        <f>'A4-FinPerf RE'!D28</f>
        <v>403378129</v>
      </c>
      <c r="E68" s="204">
        <f>'A4-FinPerf RE'!E28</f>
        <v>403760550</v>
      </c>
      <c r="F68" s="205">
        <f>'A4-FinPerf RE'!F28</f>
        <v>124317839</v>
      </c>
      <c r="G68" s="203">
        <f>'A4-FinPerf RE'!G28</f>
        <v>124620031</v>
      </c>
      <c r="H68" s="202">
        <f>'A4-FinPerf RE'!H28</f>
        <v>124620031</v>
      </c>
      <c r="I68" s="206">
        <f>'A4-FinPerf RE'!J28</f>
        <v>286184715</v>
      </c>
      <c r="J68" s="203">
        <f>'A4-FinPerf RE'!K28</f>
        <v>303458347</v>
      </c>
      <c r="K68" s="204">
        <f>'A4-FinPerf RE'!L28</f>
        <v>320986411</v>
      </c>
    </row>
    <row r="69" spans="1:11" ht="11.25" customHeight="1">
      <c r="A69" s="1303" t="s">
        <v>392</v>
      </c>
      <c r="B69" s="182">
        <v>3</v>
      </c>
      <c r="C69" s="203">
        <f>SUM(C75:C79)</f>
        <v>28425994.159999996</v>
      </c>
      <c r="D69" s="203">
        <f t="shared" ref="D69:K69" si="20">SUM(D75:D79)</f>
        <v>28870529.430000003</v>
      </c>
      <c r="E69" s="204">
        <f t="shared" si="20"/>
        <v>0</v>
      </c>
      <c r="F69" s="205">
        <f t="shared" si="20"/>
        <v>135250904</v>
      </c>
      <c r="G69" s="203">
        <f t="shared" si="20"/>
        <v>67398090</v>
      </c>
      <c r="H69" s="202">
        <f t="shared" si="20"/>
        <v>67398090</v>
      </c>
      <c r="I69" s="206">
        <f t="shared" si="20"/>
        <v>155289226</v>
      </c>
      <c r="J69" s="203">
        <f t="shared" si="20"/>
        <v>163199041</v>
      </c>
      <c r="K69" s="204">
        <f t="shared" si="20"/>
        <v>173275893</v>
      </c>
    </row>
    <row r="70" spans="1:11" ht="11.25" customHeight="1">
      <c r="A70" s="1472" t="s">
        <v>389</v>
      </c>
      <c r="B70" s="350"/>
      <c r="C70" s="1064">
        <f>SA34c!C7</f>
        <v>6663578.9500000002</v>
      </c>
      <c r="D70" s="1064">
        <f>SA34c!D7</f>
        <v>5989156.2000000002</v>
      </c>
      <c r="E70" s="1065">
        <f>SA34c!E7</f>
        <v>0</v>
      </c>
      <c r="F70" s="1066">
        <f>SA34c!F7</f>
        <v>34955071</v>
      </c>
      <c r="G70" s="1064">
        <f>SA34c!G7</f>
        <v>15557000</v>
      </c>
      <c r="H70" s="1067">
        <f>SA34c!H7</f>
        <v>15557000</v>
      </c>
      <c r="I70" s="1068">
        <f>SA34c!I7</f>
        <v>27735000</v>
      </c>
      <c r="J70" s="1064">
        <f>SA34c!J7</f>
        <v>29205500</v>
      </c>
      <c r="K70" s="1065">
        <f>SA34c!K7</f>
        <v>30759080</v>
      </c>
    </row>
    <row r="71" spans="1:11" ht="11.25" customHeight="1">
      <c r="A71" s="1472" t="s">
        <v>752</v>
      </c>
      <c r="B71" s="350"/>
      <c r="C71" s="1064">
        <f>SA34c!C10</f>
        <v>6034585.1799999997</v>
      </c>
      <c r="D71" s="1064">
        <f>SA34c!D10</f>
        <v>5382209.6300000008</v>
      </c>
      <c r="E71" s="1065">
        <f>SA34c!E10</f>
        <v>0</v>
      </c>
      <c r="F71" s="1066">
        <f>SA34c!F10</f>
        <v>29472650</v>
      </c>
      <c r="G71" s="1064">
        <f>SA34c!G10</f>
        <v>11987474</v>
      </c>
      <c r="H71" s="1067">
        <f>SA34c!H10</f>
        <v>11987474</v>
      </c>
      <c r="I71" s="1068">
        <f>SA34c!I10</f>
        <v>36372889</v>
      </c>
      <c r="J71" s="1064">
        <f>SA34c!J10</f>
        <v>42657685</v>
      </c>
      <c r="K71" s="1065">
        <f>SA34c!K10</f>
        <v>45088536</v>
      </c>
    </row>
    <row r="72" spans="1:11" ht="11.25" customHeight="1">
      <c r="A72" s="1472" t="s">
        <v>390</v>
      </c>
      <c r="B72" s="350"/>
      <c r="C72" s="1064">
        <f>SA34c!C14</f>
        <v>4093732.1100000003</v>
      </c>
      <c r="D72" s="1064">
        <f>SA34c!D14</f>
        <v>5313245.1199999992</v>
      </c>
      <c r="E72" s="1065">
        <f>SA34c!E14</f>
        <v>0</v>
      </c>
      <c r="F72" s="1066">
        <f>SA34c!F14</f>
        <v>30284600</v>
      </c>
      <c r="G72" s="1064">
        <f>SA34c!G14</f>
        <v>14814230</v>
      </c>
      <c r="H72" s="1067">
        <f>SA34c!H14</f>
        <v>14814230</v>
      </c>
      <c r="I72" s="1068">
        <f>SA34c!I14</f>
        <v>35458450</v>
      </c>
      <c r="J72" s="1064">
        <f>SA34c!J14</f>
        <v>35331700</v>
      </c>
      <c r="K72" s="1065">
        <f>SA34c!K14</f>
        <v>37304472</v>
      </c>
    </row>
    <row r="73" spans="1:11" ht="11.25" customHeight="1">
      <c r="A73" s="1472" t="s">
        <v>391</v>
      </c>
      <c r="B73" s="350"/>
      <c r="C73" s="1064">
        <f>SA34c!C18</f>
        <v>687188.29</v>
      </c>
      <c r="D73" s="1064">
        <f>SA34c!D18</f>
        <v>823063.75</v>
      </c>
      <c r="E73" s="1065">
        <f>SA34c!E18</f>
        <v>0</v>
      </c>
      <c r="F73" s="1066">
        <f>SA34c!F18</f>
        <v>5779200</v>
      </c>
      <c r="G73" s="1064">
        <f>SA34c!G18</f>
        <v>3248104</v>
      </c>
      <c r="H73" s="1067">
        <f>SA34c!H18</f>
        <v>3248104</v>
      </c>
      <c r="I73" s="1068">
        <f>SA34c!I18</f>
        <v>13385000</v>
      </c>
      <c r="J73" s="1064">
        <f>SA34c!J18</f>
        <v>13500800</v>
      </c>
      <c r="K73" s="1065">
        <f>SA34c!K18</f>
        <v>15256800</v>
      </c>
    </row>
    <row r="74" spans="1:11" ht="11.25" customHeight="1">
      <c r="A74" s="1472" t="s">
        <v>691</v>
      </c>
      <c r="B74" s="350"/>
      <c r="C74" s="1064">
        <f>SA34c!C21</f>
        <v>3934626.9899999998</v>
      </c>
      <c r="D74" s="1064">
        <f>SA34c!D21</f>
        <v>3967338.4899999998</v>
      </c>
      <c r="E74" s="1065">
        <f>SA34c!E21</f>
        <v>0</v>
      </c>
      <c r="F74" s="1066">
        <f>SA34c!F21</f>
        <v>5650000</v>
      </c>
      <c r="G74" s="1064">
        <f>SA34c!G21</f>
        <v>4250000</v>
      </c>
      <c r="H74" s="1067">
        <f>SA34c!H21</f>
        <v>4250000</v>
      </c>
      <c r="I74" s="1068">
        <f>SA34c!I21</f>
        <v>6810000</v>
      </c>
      <c r="J74" s="1064">
        <f>SA34c!J21</f>
        <v>7196600</v>
      </c>
      <c r="K74" s="1065">
        <f>SA34c!K21</f>
        <v>7615130</v>
      </c>
    </row>
    <row r="75" spans="1:11" ht="11.25" customHeight="1">
      <c r="A75" s="364" t="str">
        <f>$A$11</f>
        <v>Infrastructure</v>
      </c>
      <c r="B75" s="350"/>
      <c r="C75" s="1025">
        <f>SUM(C70:C74)</f>
        <v>21413711.519999996</v>
      </c>
      <c r="D75" s="1025">
        <f t="shared" ref="D75:K75" si="21">SUM(D70:D74)</f>
        <v>21475013.190000001</v>
      </c>
      <c r="E75" s="1026">
        <f t="shared" si="21"/>
        <v>0</v>
      </c>
      <c r="F75" s="1027">
        <f t="shared" si="21"/>
        <v>106141521</v>
      </c>
      <c r="G75" s="1025">
        <f t="shared" si="21"/>
        <v>49856808</v>
      </c>
      <c r="H75" s="1028">
        <f t="shared" si="21"/>
        <v>49856808</v>
      </c>
      <c r="I75" s="1029">
        <f t="shared" si="21"/>
        <v>119761339</v>
      </c>
      <c r="J75" s="1025">
        <f t="shared" si="21"/>
        <v>127892285</v>
      </c>
      <c r="K75" s="1026">
        <f t="shared" si="21"/>
        <v>136024018</v>
      </c>
    </row>
    <row r="76" spans="1:11" ht="11.25" customHeight="1">
      <c r="A76" s="368" t="str">
        <f>A12</f>
        <v>Community</v>
      </c>
      <c r="B76" s="182"/>
      <c r="C76" s="1064">
        <f>SA34c!C27</f>
        <v>2591071.2300000004</v>
      </c>
      <c r="D76" s="1064">
        <f>SA34c!D27</f>
        <v>2857342.73</v>
      </c>
      <c r="E76" s="1065">
        <f>SA34c!E27</f>
        <v>0</v>
      </c>
      <c r="F76" s="1066">
        <f>SA34c!F27</f>
        <v>11231912</v>
      </c>
      <c r="G76" s="1064">
        <f>SA34c!G27</f>
        <v>4644002</v>
      </c>
      <c r="H76" s="1067">
        <f>SA34c!H27</f>
        <v>4644002</v>
      </c>
      <c r="I76" s="1068">
        <f>SA34c!I27</f>
        <v>10934507</v>
      </c>
      <c r="J76" s="1064">
        <f>SA34c!J27</f>
        <v>10658740</v>
      </c>
      <c r="K76" s="1065">
        <f>SA34c!K27</f>
        <v>11707040</v>
      </c>
    </row>
    <row r="77" spans="1:11" ht="11.25" customHeight="1">
      <c r="A77" s="368" t="str">
        <f>A13</f>
        <v>Heritage assets</v>
      </c>
      <c r="B77" s="182"/>
      <c r="C77" s="1466">
        <f>SA34c!C43</f>
        <v>0</v>
      </c>
      <c r="D77" s="1466">
        <f>SA34c!D43</f>
        <v>0</v>
      </c>
      <c r="E77" s="1467">
        <f>SA34c!E43</f>
        <v>0</v>
      </c>
      <c r="F77" s="1468">
        <f>SA34c!F43</f>
        <v>0</v>
      </c>
      <c r="G77" s="1466">
        <f>SA34c!G43</f>
        <v>0</v>
      </c>
      <c r="H77" s="1469">
        <f>SA34c!H43</f>
        <v>0</v>
      </c>
      <c r="I77" s="1470">
        <f>SA34c!I43</f>
        <v>0</v>
      </c>
      <c r="J77" s="1466">
        <f>SA34c!J43</f>
        <v>0</v>
      </c>
      <c r="K77" s="1467">
        <f>SA34c!K43</f>
        <v>0</v>
      </c>
    </row>
    <row r="78" spans="1:11" ht="11.25" customHeight="1">
      <c r="A78" s="368" t="str">
        <f>A14</f>
        <v>Investment properties</v>
      </c>
      <c r="B78" s="182"/>
      <c r="C78" s="1064">
        <f>SA34c!C47</f>
        <v>375098.87</v>
      </c>
      <c r="D78" s="1064">
        <f>SA34c!D47</f>
        <v>393767.25</v>
      </c>
      <c r="E78" s="1065">
        <f>SA34c!E47</f>
        <v>0</v>
      </c>
      <c r="F78" s="1066">
        <f>SA34c!F47</f>
        <v>733425</v>
      </c>
      <c r="G78" s="1064">
        <f>SA34c!G47</f>
        <v>653234</v>
      </c>
      <c r="H78" s="1067">
        <f>SA34c!H47</f>
        <v>653234</v>
      </c>
      <c r="I78" s="1068">
        <f>SA34c!I47</f>
        <v>1122000</v>
      </c>
      <c r="J78" s="1064">
        <f>SA34c!J47</f>
        <v>919450</v>
      </c>
      <c r="K78" s="1065">
        <f>SA34c!K47</f>
        <v>931905</v>
      </c>
    </row>
    <row r="79" spans="1:11" ht="11.25" customHeight="1">
      <c r="A79" s="368" t="str">
        <f>A15</f>
        <v>Other assets</v>
      </c>
      <c r="B79" s="182" t="s">
        <v>1237</v>
      </c>
      <c r="C79" s="1064">
        <f>SA34c!C51+SA34c!C65+SA34c!C69+SA34c!C73</f>
        <v>4046112.54</v>
      </c>
      <c r="D79" s="1064">
        <f>SA34c!D51+SA34c!D65+SA34c!D69+SA34c!D73</f>
        <v>4144406.2600000002</v>
      </c>
      <c r="E79" s="1065">
        <f>SA34c!E51+SA34c!E65+SA34c!E69+SA34c!E73</f>
        <v>0</v>
      </c>
      <c r="F79" s="1066">
        <f>SA34c!F51+SA34c!F65+SA34c!F69+SA34c!F73</f>
        <v>17144046</v>
      </c>
      <c r="G79" s="1064">
        <f>SA34c!G51+SA34c!G65+SA34c!G69+SA34c!G73</f>
        <v>12244046</v>
      </c>
      <c r="H79" s="1067">
        <f>SA34c!H51+SA34c!H65+SA34c!H69+SA34c!H73</f>
        <v>12244046</v>
      </c>
      <c r="I79" s="1068">
        <f>SA34c!I51+SA34c!I65+SA34c!I69+SA34c!I73</f>
        <v>23471380</v>
      </c>
      <c r="J79" s="1064">
        <f>SA34c!J51+SA34c!J65+SA34c!J69+SA34c!J73</f>
        <v>23728566</v>
      </c>
      <c r="K79" s="1065">
        <f>SA34c!K51+SA34c!K65+SA34c!K69+SA34c!K73</f>
        <v>24612930</v>
      </c>
    </row>
    <row r="80" spans="1:11" ht="11.25" customHeight="1">
      <c r="A80" s="224" t="s">
        <v>1433</v>
      </c>
      <c r="B80" s="225"/>
      <c r="C80" s="213">
        <f t="shared" ref="C80:K80" si="22">SUM(C68:C69)</f>
        <v>138299894.16</v>
      </c>
      <c r="D80" s="213">
        <f t="shared" si="22"/>
        <v>432248658.43000001</v>
      </c>
      <c r="E80" s="214">
        <f t="shared" si="22"/>
        <v>403760550</v>
      </c>
      <c r="F80" s="215">
        <f t="shared" si="22"/>
        <v>259568743</v>
      </c>
      <c r="G80" s="213">
        <f t="shared" si="22"/>
        <v>192018121</v>
      </c>
      <c r="H80" s="212">
        <f t="shared" si="22"/>
        <v>192018121</v>
      </c>
      <c r="I80" s="216">
        <f t="shared" si="22"/>
        <v>441473941</v>
      </c>
      <c r="J80" s="213">
        <f t="shared" si="22"/>
        <v>466657388</v>
      </c>
      <c r="K80" s="214">
        <f t="shared" si="22"/>
        <v>494262304</v>
      </c>
    </row>
    <row r="81" spans="1:11" ht="6.75" customHeight="1">
      <c r="A81" s="1546"/>
      <c r="B81" s="749"/>
      <c r="C81" s="1298"/>
      <c r="D81" s="1298"/>
      <c r="E81" s="1299"/>
      <c r="F81" s="1300"/>
      <c r="G81" s="1298"/>
      <c r="H81" s="1301"/>
      <c r="I81" s="1302"/>
      <c r="J81" s="1298"/>
      <c r="K81" s="1299"/>
    </row>
    <row r="82" spans="1:11" ht="11.25" customHeight="1">
      <c r="A82" s="374" t="s">
        <v>1965</v>
      </c>
      <c r="B82" s="375"/>
      <c r="C82" s="376">
        <f>IF(ISERROR(C20/C49),0,(C20/C49))</f>
        <v>0.32784945960648182</v>
      </c>
      <c r="D82" s="376">
        <f t="shared" ref="D82:K82" si="23">IF(ISERROR(D20/D49),0,(D20/D49))</f>
        <v>0.56406086125992294</v>
      </c>
      <c r="E82" s="377">
        <f t="shared" si="23"/>
        <v>7.915643063369799E-3</v>
      </c>
      <c r="F82" s="378">
        <f t="shared" si="23"/>
        <v>0.46970519869242983</v>
      </c>
      <c r="G82" s="376">
        <f t="shared" si="23"/>
        <v>0.47868902268244157</v>
      </c>
      <c r="H82" s="379">
        <f t="shared" si="23"/>
        <v>0.47868902268244157</v>
      </c>
      <c r="I82" s="380">
        <f t="shared" si="23"/>
        <v>0.85812671346187497</v>
      </c>
      <c r="J82" s="376">
        <f t="shared" si="23"/>
        <v>0.85316867065745949</v>
      </c>
      <c r="K82" s="377">
        <f t="shared" si="23"/>
        <v>0.92783621914231962</v>
      </c>
    </row>
    <row r="83" spans="1:11" ht="11.25" customHeight="1">
      <c r="A83" s="374" t="s">
        <v>1434</v>
      </c>
      <c r="B83" s="375"/>
      <c r="C83" s="376">
        <f>IF(ISERROR(C20/C68),0,(C20/C68))</f>
        <v>1.1063395952997026</v>
      </c>
      <c r="D83" s="376">
        <f t="shared" ref="D83:K83" si="24">IF(ISERROR(D20/D68),0,(D20/D68))</f>
        <v>0.76127274738784856</v>
      </c>
      <c r="E83" s="377">
        <f t="shared" si="24"/>
        <v>3.8389089771152731E-3</v>
      </c>
      <c r="F83" s="378">
        <f t="shared" si="24"/>
        <v>3.4635292445841181</v>
      </c>
      <c r="G83" s="376">
        <f t="shared" si="24"/>
        <v>3.81746783548786</v>
      </c>
      <c r="H83" s="379">
        <f t="shared" si="24"/>
        <v>3.81746783548786</v>
      </c>
      <c r="I83" s="380">
        <f t="shared" si="24"/>
        <v>3.9390145661692659</v>
      </c>
      <c r="J83" s="376">
        <f t="shared" si="24"/>
        <v>3.1500489521878268</v>
      </c>
      <c r="K83" s="377">
        <f t="shared" si="24"/>
        <v>3.0116352807222109</v>
      </c>
    </row>
    <row r="84" spans="1:11" ht="11.25" customHeight="1">
      <c r="A84" s="374" t="s">
        <v>930</v>
      </c>
      <c r="B84" s="375"/>
      <c r="C84" s="376">
        <f>IF(ISERROR(ROUND(C69/'A6-FinPos'!C19,3)),0,(ROUND(C69/'A6-FinPos'!C19,3)))</f>
        <v>2.4E-2</v>
      </c>
      <c r="D84" s="376">
        <f>IF(ISERROR(ROUND(D69/'A6-FinPos'!D19,3)),0,(ROUND(D69/'A6-FinPos'!D19,3)))</f>
        <v>5.0000000000000001E-3</v>
      </c>
      <c r="E84" s="377">
        <f>IF(ISERROR(ROUND(E69/'A6-FinPos'!E19,3)),0,(ROUND(E69/'A6-FinPos'!E19,3)))</f>
        <v>0</v>
      </c>
      <c r="F84" s="378">
        <f>IF(ISERROR(ROUND(F69/'A6-FinPos'!F19,3)),0,(ROUND(F69/'A6-FinPos'!F19,3)))</f>
        <v>9.9000000000000005E-2</v>
      </c>
      <c r="G84" s="376">
        <f>IF(ISERROR(ROUND(G69/'A6-FinPos'!G19,3)),0,(ROUND(G69/'A6-FinPos'!G19,3)))</f>
        <v>0.01</v>
      </c>
      <c r="H84" s="379">
        <f>IF(ISERROR(ROUND(H69/'A6-FinPos'!H19,3)),0,(ROUND(H69/'A6-FinPos'!H19,3)))</f>
        <v>1.0999999999999999E-2</v>
      </c>
      <c r="I84" s="380">
        <f>IF(ISERROR(ROUND(I69/'A6-FinPos'!J19,3)),0,(ROUND(I69/'A6-FinPos'!J19,3)))</f>
        <v>0.02</v>
      </c>
      <c r="J84" s="376">
        <f>IF(ISERROR(ROUND(J69/'A6-FinPos'!K19,3)),0,(ROUND(J69/'A6-FinPos'!K19,3)))</f>
        <v>1.9E-2</v>
      </c>
      <c r="K84" s="377">
        <f>IF(ISERROR(ROUND(K69/'A6-FinPos'!L19,3)),0,(ROUND(K69/'A6-FinPos'!L19,3)))</f>
        <v>1.9E-2</v>
      </c>
    </row>
    <row r="85" spans="1:11" ht="11.25" customHeight="1">
      <c r="A85" s="374" t="s">
        <v>539</v>
      </c>
      <c r="B85" s="375"/>
      <c r="C85" s="376">
        <f>IF(ISERROR(ROUND((C20+C69)/C65,2)),0,(ROUND((C20+C69)/C65,2)))</f>
        <v>0.4</v>
      </c>
      <c r="D85" s="376">
        <f t="shared" ref="D85:K85" si="25">IF(ISERROR(ROUND((D20+D69)/D65,2)),0,(ROUND((D20+D69)/D65,2)))</f>
        <v>0.46</v>
      </c>
      <c r="E85" s="377">
        <f t="shared" si="25"/>
        <v>0</v>
      </c>
      <c r="F85" s="378">
        <f t="shared" si="25"/>
        <v>0.63</v>
      </c>
      <c r="G85" s="376">
        <f t="shared" si="25"/>
        <v>0.08</v>
      </c>
      <c r="H85" s="379">
        <f t="shared" si="25"/>
        <v>0.09</v>
      </c>
      <c r="I85" s="380">
        <f t="shared" si="25"/>
        <v>0.17</v>
      </c>
      <c r="J85" s="376">
        <f t="shared" si="25"/>
        <v>0.13</v>
      </c>
      <c r="K85" s="377">
        <f t="shared" si="25"/>
        <v>0.13</v>
      </c>
    </row>
    <row r="86" spans="1:11" ht="5" customHeight="1">
      <c r="A86" s="381"/>
      <c r="B86" s="382"/>
      <c r="C86" s="383"/>
      <c r="D86" s="383"/>
      <c r="E86" s="384"/>
      <c r="F86" s="385"/>
      <c r="G86" s="383"/>
      <c r="H86" s="386"/>
      <c r="I86" s="387"/>
      <c r="J86" s="383"/>
      <c r="K86" s="384"/>
    </row>
    <row r="87" spans="1:11" s="709" customFormat="1">
      <c r="A87" s="1233" t="str">
        <f>head27a</f>
        <v>References</v>
      </c>
      <c r="B87" s="1234"/>
      <c r="C87" s="1238"/>
      <c r="D87" s="1238"/>
      <c r="E87" s="1238"/>
      <c r="F87" s="1238"/>
      <c r="G87" s="1238"/>
      <c r="H87" s="1238"/>
      <c r="I87" s="1238"/>
      <c r="J87" s="1238"/>
      <c r="K87" s="1238"/>
    </row>
    <row r="88" spans="1:11" s="709" customFormat="1">
      <c r="A88" s="1198" t="s">
        <v>453</v>
      </c>
      <c r="B88" s="1234"/>
      <c r="C88" s="1238"/>
      <c r="D88" s="1238"/>
      <c r="E88" s="1238"/>
      <c r="F88" s="1238"/>
      <c r="G88" s="1238"/>
      <c r="H88" s="1238"/>
      <c r="I88" s="1238"/>
      <c r="J88" s="1238"/>
      <c r="K88" s="1238"/>
    </row>
    <row r="89" spans="1:11" s="709" customFormat="1">
      <c r="A89" s="1198" t="s">
        <v>454</v>
      </c>
      <c r="B89" s="1234"/>
      <c r="C89" s="1238"/>
      <c r="D89" s="1238"/>
      <c r="E89" s="1238"/>
      <c r="F89" s="1238"/>
      <c r="G89" s="1238"/>
      <c r="H89" s="1238"/>
      <c r="I89" s="1238"/>
      <c r="J89" s="1238"/>
      <c r="K89" s="1238"/>
    </row>
    <row r="90" spans="1:11" s="709" customFormat="1">
      <c r="A90" s="1198" t="s">
        <v>455</v>
      </c>
      <c r="B90" s="1234"/>
      <c r="C90" s="1238"/>
      <c r="D90" s="1238"/>
      <c r="E90" s="1238"/>
      <c r="F90" s="1238"/>
      <c r="G90" s="1238"/>
      <c r="H90" s="1238"/>
      <c r="I90" s="1238"/>
      <c r="J90" s="1238"/>
      <c r="K90" s="1238"/>
    </row>
    <row r="91" spans="1:11" s="709" customFormat="1">
      <c r="A91" s="1195" t="s">
        <v>456</v>
      </c>
      <c r="B91" s="1234"/>
      <c r="C91" s="1238"/>
      <c r="D91" s="1238"/>
      <c r="E91" s="1238"/>
      <c r="F91" s="1238"/>
      <c r="G91" s="1238"/>
      <c r="H91" s="1238"/>
      <c r="I91" s="1238"/>
      <c r="J91" s="1238"/>
      <c r="K91" s="1238"/>
    </row>
    <row r="92" spans="1:11" s="709" customFormat="1">
      <c r="A92" s="1198" t="s">
        <v>457</v>
      </c>
      <c r="B92" s="1234"/>
      <c r="C92" s="1238"/>
      <c r="D92" s="1238"/>
      <c r="E92" s="1238"/>
      <c r="F92" s="1238"/>
      <c r="G92" s="1238"/>
      <c r="H92" s="1238"/>
      <c r="I92" s="1238"/>
      <c r="J92" s="1238"/>
      <c r="K92" s="1238"/>
    </row>
    <row r="93" spans="1:11" s="709" customFormat="1">
      <c r="A93" s="1195" t="s">
        <v>458</v>
      </c>
      <c r="B93" s="1265"/>
      <c r="C93" s="1265"/>
      <c r="D93" s="1265"/>
      <c r="E93" s="1265"/>
      <c r="F93" s="1265"/>
      <c r="G93" s="1265"/>
      <c r="H93" s="1265"/>
      <c r="I93" s="1265"/>
      <c r="J93" s="1265"/>
      <c r="K93" s="1265"/>
    </row>
    <row r="94" spans="1:11" ht="11.25" customHeight="1">
      <c r="A94" s="1265" t="s">
        <v>500</v>
      </c>
      <c r="B94" s="1234"/>
      <c r="C94" s="1265"/>
      <c r="D94" s="1265"/>
      <c r="E94" s="1265"/>
      <c r="F94" s="1265"/>
      <c r="G94" s="1265"/>
      <c r="H94" s="707"/>
      <c r="I94" s="707"/>
      <c r="J94" s="707"/>
      <c r="K94" s="707"/>
    </row>
    <row r="95" spans="1:11" ht="11.25" customHeight="1">
      <c r="A95" s="1270" t="s">
        <v>2080</v>
      </c>
      <c r="B95" s="1265"/>
      <c r="C95" s="1268">
        <f>C65-'A6-FinPos'!C17-'A6-FinPos'!C19-'A6-FinPos'!C21-'A6-FinPos'!C22</f>
        <v>-829898396</v>
      </c>
      <c r="D95" s="1268">
        <f>D65-'A6-FinPos'!D17-'A6-FinPos'!D19-'A6-FinPos'!D21-'A6-FinPos'!D22</f>
        <v>-5429528222</v>
      </c>
      <c r="E95" s="1268">
        <f>E65-'A6-FinPos'!E17-'A6-FinPos'!E19-'A6-FinPos'!E21-'A6-FinPos'!E22</f>
        <v>-5174628139</v>
      </c>
      <c r="F95" s="1268">
        <f>F65-'A6-FinPos'!F17-'A6-FinPos'!F19-'A6-FinPos'!F21-'A6-FinPos'!F22</f>
        <v>-468908801.95000005</v>
      </c>
      <c r="G95" s="1268">
        <f>G65-'A6-FinPos'!G17-'A6-FinPos'!G19-'A6-FinPos'!G21-'A6-FinPos'!G22</f>
        <v>-9.5367431640625E-7</v>
      </c>
      <c r="H95" s="1268">
        <f>H65-'A6-FinPos'!H17-'A6-FinPos'!H19-'A6-FinPos'!H21-'A6-FinPos'!H22</f>
        <v>-1.9073486328125E-6</v>
      </c>
      <c r="I95" s="1268">
        <f>I65-'A6-FinPos'!J17-'A6-FinPos'!J19-'A6-FinPos'!J21-'A6-FinPos'!J22</f>
        <v>3.4999847412109375E-3</v>
      </c>
      <c r="J95" s="1268">
        <f>J65-'A6-FinPos'!K17-'A6-FinPos'!K19-'A6-FinPos'!K21-'A6-FinPos'!K22</f>
        <v>-3.204345703125E-4</v>
      </c>
      <c r="K95" s="1268">
        <f>K65-'A6-FinPos'!L17-'A6-FinPos'!L19-'A6-FinPos'!L21-'A6-FinPos'!L22</f>
        <v>-2.8285980224609375E-3</v>
      </c>
    </row>
    <row r="96" spans="1:11" ht="11.25" customHeight="1">
      <c r="A96" s="246"/>
      <c r="B96" s="246"/>
      <c r="C96" s="246"/>
      <c r="D96" s="246"/>
      <c r="E96" s="246"/>
      <c r="F96" s="246"/>
      <c r="G96" s="246"/>
    </row>
    <row r="97" spans="1:7" ht="11.25" customHeight="1">
      <c r="A97" s="246"/>
      <c r="B97" s="246"/>
      <c r="C97" s="246"/>
      <c r="D97" s="246"/>
      <c r="E97" s="246"/>
      <c r="F97" s="246"/>
      <c r="G97" s="246"/>
    </row>
    <row r="98" spans="1:7" ht="11.25" customHeight="1">
      <c r="A98" s="246"/>
      <c r="B98" s="246"/>
      <c r="C98" s="246"/>
      <c r="D98" s="246"/>
      <c r="E98" s="246"/>
      <c r="F98" s="246"/>
      <c r="G98" s="246"/>
    </row>
    <row r="99" spans="1:7" ht="11.25" customHeight="1">
      <c r="A99" s="246"/>
      <c r="B99" s="236"/>
      <c r="C99" s="246"/>
      <c r="D99" s="246"/>
      <c r="E99" s="246"/>
      <c r="F99" s="246"/>
      <c r="G99" s="246"/>
    </row>
    <row r="100" spans="1:7" ht="11.25" customHeight="1"/>
    <row r="101" spans="1:7" ht="11.25" customHeight="1"/>
    <row r="102" spans="1:7" ht="11.25" customHeight="1"/>
    <row r="103" spans="1:7" ht="11.25" customHeight="1"/>
    <row r="104" spans="1:7" ht="11.25" customHeight="1"/>
    <row r="105" spans="1:7" ht="11.25" customHeight="1"/>
    <row r="106" spans="1:7" ht="11.25" customHeight="1"/>
    <row r="107" spans="1:7" ht="11.25" customHeight="1"/>
    <row r="108" spans="1:7" ht="11.25" customHeight="1"/>
    <row r="109" spans="1:7" ht="11.25" customHeight="1"/>
    <row r="110" spans="1:7" ht="11.25" customHeight="1"/>
    <row r="111" spans="1:7" ht="11.25" customHeight="1"/>
    <row r="112" spans="1:7"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sheetData>
  <sheetProtection password="C646" sheet="1" objects="1" scenarios="1"/>
  <dataConsolidate/>
  <mergeCells count="2">
    <mergeCell ref="F2:H2"/>
    <mergeCell ref="I2:K2"/>
  </mergeCells>
  <phoneticPr fontId="5" type="noConversion"/>
  <printOptions horizontalCentered="1"/>
  <pageMargins left="0.37" right="0.2" top="0.6" bottom="0.5" header="0.511811023622047" footer="0.39370078740157499"/>
  <headerFooter alignWithMargins="0"/>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enableFormatConditionsCalculation="0">
    <tabColor indexed="44"/>
  </sheetPr>
  <dimension ref="A1:M133"/>
  <sheetViews>
    <sheetView showGridLines="0" workbookViewId="0">
      <pane xSplit="2" ySplit="3" topLeftCell="C73" activePane="bottomRight" state="frozen"/>
      <selection pane="topRight"/>
      <selection pane="bottomLeft"/>
      <selection pane="bottomRight" activeCell="C69" sqref="C69:K77"/>
    </sheetView>
  </sheetViews>
  <sheetFormatPr baseColWidth="10" defaultColWidth="8.83203125" defaultRowHeight="10" x14ac:dyDescent="0"/>
  <cols>
    <col min="1" max="1" width="30.6640625" style="707" customWidth="1"/>
    <col min="2" max="2" width="3" style="704" customWidth="1"/>
    <col min="3" max="8" width="9.33203125" style="707" customWidth="1"/>
    <col min="9" max="9" width="9.83203125" style="707" customWidth="1"/>
    <col min="10" max="11" width="9.33203125" style="707" customWidth="1"/>
    <col min="12" max="12" width="9.83203125" style="707" customWidth="1"/>
    <col min="13" max="13" width="9.5" style="707" customWidth="1"/>
    <col min="14" max="14" width="9.83203125" style="707" customWidth="1"/>
    <col min="15" max="17" width="9.5" style="707" customWidth="1"/>
    <col min="18" max="18" width="9.83203125" style="707" customWidth="1"/>
    <col min="19" max="21" width="9.5" style="707" customWidth="1"/>
    <col min="22" max="23" width="9.83203125" style="707" customWidth="1"/>
    <col min="24" max="16384" width="8.83203125" style="707"/>
  </cols>
  <sheetData>
    <row r="1" spans="1:13" s="1123" customFormat="1" ht="12">
      <c r="A1" s="1122" t="str">
        <f>muni&amp;" - "&amp;Approve10</f>
        <v>NW373 Rustenburg - Table A10 Consolidated basic service delivery measurement</v>
      </c>
      <c r="B1" s="1122"/>
      <c r="C1" s="1122"/>
      <c r="D1" s="1122"/>
      <c r="E1" s="1122"/>
      <c r="F1" s="1122"/>
      <c r="G1" s="1122"/>
      <c r="H1" s="1122"/>
      <c r="I1" s="1122"/>
      <c r="J1" s="1122"/>
      <c r="K1" s="1122"/>
    </row>
    <row r="2" spans="1:13" ht="28.5" customHeight="1">
      <c r="A2" s="2785" t="str">
        <f>desc</f>
        <v>Description</v>
      </c>
      <c r="B2" s="2787" t="str">
        <f>head27</f>
        <v>Ref</v>
      </c>
      <c r="C2" s="1124" t="str">
        <f>head1b</f>
        <v>2009/10</v>
      </c>
      <c r="D2" s="1124" t="str">
        <f>head1A</f>
        <v>2010/11</v>
      </c>
      <c r="E2" s="1125" t="str">
        <f>Head1</f>
        <v>2011/12</v>
      </c>
      <c r="F2" s="2771" t="str">
        <f>Head2</f>
        <v>Current Year 2012/13</v>
      </c>
      <c r="G2" s="2772"/>
      <c r="H2" s="2784"/>
      <c r="I2" s="2773" t="str">
        <f>Head3</f>
        <v>2013/14 Medium Term Revenue &amp; Expenditure Framework</v>
      </c>
      <c r="J2" s="2774"/>
      <c r="K2" s="2775"/>
    </row>
    <row r="3" spans="1:13" ht="20">
      <c r="A3" s="2786"/>
      <c r="B3" s="2788"/>
      <c r="C3" s="1126" t="str">
        <f>Head5A</f>
        <v>Outcome</v>
      </c>
      <c r="D3" s="1126" t="str">
        <f>Head5A</f>
        <v>Outcome</v>
      </c>
      <c r="E3" s="1127" t="str">
        <f>Head5A</f>
        <v>Outcome</v>
      </c>
      <c r="F3" s="1128" t="str">
        <f>Head6</f>
        <v>Original Budget</v>
      </c>
      <c r="G3" s="1126" t="str">
        <f>Head7</f>
        <v>Adjusted Budget</v>
      </c>
      <c r="H3" s="1127" t="str">
        <f>Head8</f>
        <v>Full Year Forecast</v>
      </c>
      <c r="I3" s="1128" t="str">
        <f>Head9</f>
        <v>Budget Year 2013/14</v>
      </c>
      <c r="J3" s="1126" t="str">
        <f>Head10</f>
        <v>Budget Year +1 2014/15</v>
      </c>
      <c r="K3" s="1127" t="str">
        <f>Head11</f>
        <v>Budget Year +2 2015/16</v>
      </c>
    </row>
    <row r="4" spans="1:13" s="2502" customFormat="1" ht="11.25" customHeight="1">
      <c r="A4" s="1129" t="s">
        <v>2235</v>
      </c>
      <c r="B4" s="1130">
        <v>1</v>
      </c>
      <c r="C4" s="2503"/>
      <c r="D4" s="2503"/>
      <c r="E4" s="2504"/>
      <c r="F4" s="2505"/>
      <c r="G4" s="2503"/>
      <c r="H4" s="2506"/>
      <c r="I4" s="2507"/>
      <c r="J4" s="2503"/>
      <c r="K4" s="2504"/>
    </row>
    <row r="5" spans="1:13" s="2502" customFormat="1">
      <c r="A5" s="1136" t="s">
        <v>1865</v>
      </c>
      <c r="B5" s="1130"/>
      <c r="C5" s="2473"/>
      <c r="D5" s="2473"/>
      <c r="E5" s="2474"/>
      <c r="F5" s="2475"/>
      <c r="G5" s="2473"/>
      <c r="H5" s="2476"/>
      <c r="I5" s="2477"/>
      <c r="J5" s="2473"/>
      <c r="K5" s="2474"/>
    </row>
    <row r="6" spans="1:13" ht="11.25" customHeight="1">
      <c r="A6" s="1137" t="s">
        <v>1652</v>
      </c>
      <c r="B6" s="1130"/>
      <c r="C6" s="1615">
        <v>19546</v>
      </c>
      <c r="D6" s="1635">
        <v>22000</v>
      </c>
      <c r="E6" s="1662">
        <v>22880</v>
      </c>
      <c r="F6" s="1665">
        <v>25225.200000000001</v>
      </c>
      <c r="G6" s="1665">
        <v>25225.200000000001</v>
      </c>
      <c r="H6" s="1665">
        <v>25225.200000000001</v>
      </c>
      <c r="I6" s="1665">
        <v>112457</v>
      </c>
      <c r="J6" s="1661">
        <v>118079</v>
      </c>
      <c r="K6" s="1662">
        <v>123984</v>
      </c>
      <c r="L6" s="1465"/>
      <c r="M6" s="1465"/>
    </row>
    <row r="7" spans="1:13" ht="11.25" customHeight="1">
      <c r="A7" s="1137" t="s">
        <v>1864</v>
      </c>
      <c r="B7" s="1130"/>
      <c r="C7" s="1615">
        <v>23679</v>
      </c>
      <c r="D7" s="1635">
        <v>24000</v>
      </c>
      <c r="E7" s="1662">
        <v>24720</v>
      </c>
      <c r="F7" s="1665">
        <v>27253.8</v>
      </c>
      <c r="G7" s="1665">
        <v>27253.8</v>
      </c>
      <c r="H7" s="1665">
        <v>27253.8</v>
      </c>
      <c r="I7" s="1665">
        <v>4281</v>
      </c>
      <c r="J7" s="1661">
        <v>4495</v>
      </c>
      <c r="K7" s="1662">
        <v>4719</v>
      </c>
      <c r="L7" s="1465"/>
      <c r="M7" s="1465"/>
    </row>
    <row r="8" spans="1:13" ht="11.25" customHeight="1">
      <c r="A8" s="1137" t="s">
        <v>131</v>
      </c>
      <c r="B8" s="1130">
        <v>2</v>
      </c>
      <c r="C8" s="1615">
        <v>3000</v>
      </c>
      <c r="D8" s="1635">
        <v>3000</v>
      </c>
      <c r="E8" s="1662">
        <v>3150</v>
      </c>
      <c r="F8" s="1665">
        <v>3472.875</v>
      </c>
      <c r="G8" s="1665">
        <v>3472.875</v>
      </c>
      <c r="H8" s="1665">
        <v>3472.875</v>
      </c>
      <c r="I8" s="1665">
        <v>3647</v>
      </c>
      <c r="J8" s="1661">
        <v>3829</v>
      </c>
      <c r="K8" s="1662">
        <v>4021</v>
      </c>
      <c r="L8" s="1465"/>
      <c r="M8" s="1465"/>
    </row>
    <row r="9" spans="1:13" ht="11.25" customHeight="1">
      <c r="A9" s="1137" t="s">
        <v>132</v>
      </c>
      <c r="B9" s="1130">
        <v>4</v>
      </c>
      <c r="C9" s="1615">
        <v>3613</v>
      </c>
      <c r="D9" s="1635">
        <v>4000</v>
      </c>
      <c r="E9" s="1662">
        <v>4200</v>
      </c>
      <c r="F9" s="1665">
        <v>4630.5</v>
      </c>
      <c r="G9" s="1665">
        <v>4630.5</v>
      </c>
      <c r="H9" s="1665">
        <v>4630.5</v>
      </c>
      <c r="I9" s="1665">
        <v>4863</v>
      </c>
      <c r="J9" s="1661">
        <v>5106</v>
      </c>
      <c r="K9" s="1662">
        <v>5361</v>
      </c>
      <c r="L9" s="1465"/>
      <c r="M9" s="1465"/>
    </row>
    <row r="10" spans="1:13" ht="11.25" customHeight="1">
      <c r="A10" s="1540" t="s">
        <v>377</v>
      </c>
      <c r="B10" s="1130"/>
      <c r="C10" s="2479">
        <f>SUM(C6:C9)</f>
        <v>49838</v>
      </c>
      <c r="D10" s="2479">
        <f t="shared" ref="D10:K10" si="0">SUM(D6:D9)</f>
        <v>53000</v>
      </c>
      <c r="E10" s="2480">
        <f t="shared" si="0"/>
        <v>54950</v>
      </c>
      <c r="F10" s="2481">
        <f t="shared" si="0"/>
        <v>60582.375</v>
      </c>
      <c r="G10" s="2479">
        <f t="shared" si="0"/>
        <v>60582.375</v>
      </c>
      <c r="H10" s="2482">
        <f t="shared" si="0"/>
        <v>60582.375</v>
      </c>
      <c r="I10" s="2483">
        <f t="shared" si="0"/>
        <v>125248</v>
      </c>
      <c r="J10" s="2479">
        <f t="shared" si="0"/>
        <v>131509</v>
      </c>
      <c r="K10" s="2480">
        <f t="shared" si="0"/>
        <v>138085</v>
      </c>
      <c r="L10" s="1465"/>
      <c r="M10" s="1465"/>
    </row>
    <row r="11" spans="1:13" ht="11.25" customHeight="1">
      <c r="A11" s="1137" t="s">
        <v>506</v>
      </c>
      <c r="B11" s="1130">
        <v>3</v>
      </c>
      <c r="C11" s="1635"/>
      <c r="D11" s="1662"/>
      <c r="E11" s="2478"/>
      <c r="F11" s="1665"/>
      <c r="G11" s="1665"/>
      <c r="H11" s="1665"/>
      <c r="I11" s="1665"/>
      <c r="J11" s="1661"/>
      <c r="K11" s="1662"/>
      <c r="L11" s="1465"/>
      <c r="M11" s="1465"/>
    </row>
    <row r="12" spans="1:13" ht="11.25" customHeight="1">
      <c r="A12" s="1137" t="s">
        <v>507</v>
      </c>
      <c r="B12" s="1130">
        <f>B9</f>
        <v>4</v>
      </c>
      <c r="C12" s="1635">
        <v>2751</v>
      </c>
      <c r="D12" s="1662">
        <v>2888.55</v>
      </c>
      <c r="E12" s="2478">
        <v>3032.9775</v>
      </c>
      <c r="F12" s="1665">
        <v>3511.0505784374996</v>
      </c>
      <c r="G12" s="1665">
        <v>3511.0505784374996</v>
      </c>
      <c r="H12" s="1665">
        <v>3511.0505784374996</v>
      </c>
      <c r="I12" s="1665">
        <v>3686</v>
      </c>
      <c r="J12" s="1661">
        <v>3870</v>
      </c>
      <c r="K12" s="1662">
        <v>4064</v>
      </c>
      <c r="L12" s="1465"/>
      <c r="M12" s="1465"/>
    </row>
    <row r="13" spans="1:13" ht="11.25" customHeight="1">
      <c r="A13" s="1137" t="s">
        <v>974</v>
      </c>
      <c r="B13" s="1130"/>
      <c r="C13" s="1635"/>
      <c r="D13" s="1662"/>
      <c r="E13" s="2478"/>
      <c r="F13" s="1665"/>
      <c r="G13" s="1665"/>
      <c r="H13" s="1665"/>
      <c r="I13" s="1665"/>
      <c r="J13" s="1661"/>
      <c r="K13" s="1662"/>
      <c r="L13" s="1465"/>
      <c r="M13" s="1465"/>
    </row>
    <row r="14" spans="1:13" ht="11.25" customHeight="1">
      <c r="A14" s="1540" t="s">
        <v>1294</v>
      </c>
      <c r="B14" s="1130"/>
      <c r="C14" s="2484">
        <f>SUM(C11:C13)</f>
        <v>2751</v>
      </c>
      <c r="D14" s="2484">
        <f t="shared" ref="D14:K14" si="1">SUM(D11:D13)</f>
        <v>2888.55</v>
      </c>
      <c r="E14" s="2485">
        <f t="shared" si="1"/>
        <v>3032.9775</v>
      </c>
      <c r="F14" s="2486">
        <f t="shared" si="1"/>
        <v>3511.0505784374996</v>
      </c>
      <c r="G14" s="2484">
        <f t="shared" si="1"/>
        <v>3511.0505784374996</v>
      </c>
      <c r="H14" s="2487">
        <f t="shared" si="1"/>
        <v>3511.0505784374996</v>
      </c>
      <c r="I14" s="2488">
        <f t="shared" si="1"/>
        <v>3686</v>
      </c>
      <c r="J14" s="2484">
        <f t="shared" si="1"/>
        <v>3870</v>
      </c>
      <c r="K14" s="2485">
        <f t="shared" si="1"/>
        <v>4064</v>
      </c>
      <c r="L14" s="1465"/>
      <c r="M14" s="1465"/>
    </row>
    <row r="15" spans="1:13" ht="11.25" customHeight="1">
      <c r="A15" s="1138" t="s">
        <v>1332</v>
      </c>
      <c r="B15" s="1130">
        <v>5</v>
      </c>
      <c r="C15" s="2489">
        <f>C10+C14</f>
        <v>52589</v>
      </c>
      <c r="D15" s="2489">
        <f t="shared" ref="D15:K15" si="2">D10+D14</f>
        <v>55888.55</v>
      </c>
      <c r="E15" s="2490">
        <f t="shared" si="2"/>
        <v>57982.977500000001</v>
      </c>
      <c r="F15" s="2491">
        <f t="shared" si="2"/>
        <v>64093.425578437498</v>
      </c>
      <c r="G15" s="2489">
        <f t="shared" si="2"/>
        <v>64093.425578437498</v>
      </c>
      <c r="H15" s="2492">
        <f t="shared" si="2"/>
        <v>64093.425578437498</v>
      </c>
      <c r="I15" s="2493">
        <f t="shared" si="2"/>
        <v>128934</v>
      </c>
      <c r="J15" s="2489">
        <f t="shared" si="2"/>
        <v>135379</v>
      </c>
      <c r="K15" s="2490">
        <f t="shared" si="2"/>
        <v>142149</v>
      </c>
      <c r="L15" s="1465"/>
      <c r="M15" s="1465"/>
    </row>
    <row r="16" spans="1:13" s="2502" customFormat="1" ht="15.75" customHeight="1">
      <c r="A16" s="1136" t="s">
        <v>1333</v>
      </c>
      <c r="B16" s="1130"/>
      <c r="C16" s="2473"/>
      <c r="D16" s="2473"/>
      <c r="E16" s="2474"/>
      <c r="F16" s="2475"/>
      <c r="G16" s="2473"/>
      <c r="H16" s="2476"/>
      <c r="I16" s="2477"/>
      <c r="J16" s="2473"/>
      <c r="K16" s="2474"/>
      <c r="L16" s="2501"/>
      <c r="M16" s="2501"/>
    </row>
    <row r="17" spans="1:13" ht="11.25" customHeight="1">
      <c r="A17" s="1137" t="s">
        <v>1334</v>
      </c>
      <c r="B17" s="1130"/>
      <c r="C17" s="1615">
        <v>39982</v>
      </c>
      <c r="D17" s="1635">
        <v>44000</v>
      </c>
      <c r="E17" s="1662">
        <v>46200</v>
      </c>
      <c r="F17" s="2478">
        <v>48510</v>
      </c>
      <c r="G17" s="1661">
        <v>50935.5</v>
      </c>
      <c r="H17" s="1664">
        <v>53482.275000000001</v>
      </c>
      <c r="I17" s="1665">
        <v>71016</v>
      </c>
      <c r="J17" s="1661">
        <v>74567</v>
      </c>
      <c r="K17" s="1662">
        <v>78295</v>
      </c>
      <c r="L17" s="1465"/>
      <c r="M17" s="1465"/>
    </row>
    <row r="18" spans="1:13" ht="11.25" customHeight="1">
      <c r="A18" s="1137" t="s">
        <v>1335</v>
      </c>
      <c r="B18" s="1130"/>
      <c r="C18" s="1615">
        <v>201</v>
      </c>
      <c r="D18" s="1635">
        <v>201</v>
      </c>
      <c r="E18" s="1662">
        <v>211.05</v>
      </c>
      <c r="F18" s="2478">
        <v>221.60250000000002</v>
      </c>
      <c r="G18" s="1661">
        <v>232.68262500000003</v>
      </c>
      <c r="H18" s="1664">
        <v>244.31675625000003</v>
      </c>
      <c r="I18" s="1665">
        <v>17083</v>
      </c>
      <c r="J18" s="1661">
        <v>17937</v>
      </c>
      <c r="K18" s="1662">
        <v>18834</v>
      </c>
      <c r="L18" s="1465"/>
      <c r="M18" s="1465"/>
    </row>
    <row r="19" spans="1:13" ht="11.25" customHeight="1">
      <c r="A19" s="1137" t="s">
        <v>1407</v>
      </c>
      <c r="B19" s="1130"/>
      <c r="C19" s="1615"/>
      <c r="D19" s="1635"/>
      <c r="E19" s="1662">
        <v>0</v>
      </c>
      <c r="F19" s="2478">
        <v>0</v>
      </c>
      <c r="G19" s="1661">
        <v>0</v>
      </c>
      <c r="H19" s="1664">
        <v>0</v>
      </c>
      <c r="I19" s="1665">
        <v>0</v>
      </c>
      <c r="J19" s="1661">
        <v>0</v>
      </c>
      <c r="K19" s="1662">
        <v>0</v>
      </c>
      <c r="L19" s="1465"/>
      <c r="M19" s="1465"/>
    </row>
    <row r="20" spans="1:13" ht="11.25" customHeight="1">
      <c r="A20" s="1137" t="s">
        <v>242</v>
      </c>
      <c r="B20" s="1130"/>
      <c r="C20" s="1615">
        <v>5807</v>
      </c>
      <c r="D20" s="1635">
        <v>10000</v>
      </c>
      <c r="E20" s="1662">
        <v>10500</v>
      </c>
      <c r="F20" s="2478">
        <v>9975</v>
      </c>
      <c r="G20" s="1661">
        <v>10473.75</v>
      </c>
      <c r="H20" s="1664">
        <v>10997.4375</v>
      </c>
      <c r="I20" s="1665">
        <v>17037</v>
      </c>
      <c r="J20" s="1661">
        <v>17889</v>
      </c>
      <c r="K20" s="1662">
        <v>18783</v>
      </c>
      <c r="L20" s="1465"/>
      <c r="M20" s="1465"/>
    </row>
    <row r="21" spans="1:13" ht="11.25" customHeight="1">
      <c r="A21" s="1137" t="s">
        <v>244</v>
      </c>
      <c r="B21" s="1130"/>
      <c r="C21" s="1615"/>
      <c r="D21" s="1635"/>
      <c r="E21" s="1662">
        <v>0</v>
      </c>
      <c r="F21" s="2478">
        <v>0</v>
      </c>
      <c r="G21" s="1661">
        <v>0</v>
      </c>
      <c r="H21" s="1664">
        <v>0</v>
      </c>
      <c r="I21" s="1665">
        <v>20502</v>
      </c>
      <c r="J21" s="1661">
        <v>21527</v>
      </c>
      <c r="K21" s="1662">
        <v>22603</v>
      </c>
      <c r="L21" s="1465"/>
      <c r="M21" s="1465"/>
    </row>
    <row r="22" spans="1:13" ht="11.25" customHeight="1">
      <c r="A22" s="1540" t="str">
        <f>$A$10</f>
        <v>Minimum Service Level and Above sub-total</v>
      </c>
      <c r="B22" s="1130"/>
      <c r="C22" s="2479">
        <f>SUM(C17:C21)</f>
        <v>45990</v>
      </c>
      <c r="D22" s="2479">
        <f t="shared" ref="D22:K22" si="3">SUM(D17:D21)</f>
        <v>54201</v>
      </c>
      <c r="E22" s="2480">
        <f t="shared" si="3"/>
        <v>56911.05</v>
      </c>
      <c r="F22" s="2481">
        <f t="shared" si="3"/>
        <v>58706.602500000001</v>
      </c>
      <c r="G22" s="2479">
        <f t="shared" si="3"/>
        <v>61641.932625000001</v>
      </c>
      <c r="H22" s="2482">
        <f t="shared" si="3"/>
        <v>64724.029256250004</v>
      </c>
      <c r="I22" s="2483">
        <f t="shared" si="3"/>
        <v>125638</v>
      </c>
      <c r="J22" s="2479">
        <f t="shared" si="3"/>
        <v>131920</v>
      </c>
      <c r="K22" s="2480">
        <f t="shared" si="3"/>
        <v>138515</v>
      </c>
      <c r="L22" s="1465"/>
      <c r="M22" s="1465"/>
    </row>
    <row r="23" spans="1:13" ht="11.25" customHeight="1">
      <c r="A23" s="1137" t="s">
        <v>243</v>
      </c>
      <c r="B23" s="1130"/>
      <c r="C23" s="1635"/>
      <c r="D23" s="1662"/>
      <c r="E23" s="2478"/>
      <c r="F23" s="1665"/>
      <c r="G23" s="1665"/>
      <c r="H23" s="1665"/>
      <c r="I23" s="1665"/>
      <c r="J23" s="1661"/>
      <c r="K23" s="1662"/>
      <c r="L23" s="1465"/>
      <c r="M23" s="1465"/>
    </row>
    <row r="24" spans="1:13" ht="11.25" customHeight="1">
      <c r="A24" s="1137" t="s">
        <v>1238</v>
      </c>
      <c r="B24" s="1130"/>
      <c r="C24" s="1635">
        <v>3958</v>
      </c>
      <c r="D24" s="1662">
        <v>4155.8999999999996</v>
      </c>
      <c r="E24" s="2478">
        <v>4363.6949999999997</v>
      </c>
      <c r="F24" s="1665">
        <v>5051.5224243750008</v>
      </c>
      <c r="G24" s="1665">
        <v>5051.5224243750008</v>
      </c>
      <c r="H24" s="1665">
        <v>5051.5224243750008</v>
      </c>
      <c r="I24" s="1665">
        <v>5303</v>
      </c>
      <c r="J24" s="1661">
        <v>5568</v>
      </c>
      <c r="K24" s="1662">
        <v>5847</v>
      </c>
      <c r="L24" s="1465"/>
      <c r="M24" s="1465"/>
    </row>
    <row r="25" spans="1:13" ht="11.25" customHeight="1">
      <c r="A25" s="1137" t="s">
        <v>1409</v>
      </c>
      <c r="B25" s="1130"/>
      <c r="C25" s="1635"/>
      <c r="D25" s="1662"/>
      <c r="E25" s="2478"/>
      <c r="F25" s="1665"/>
      <c r="G25" s="1665"/>
      <c r="H25" s="1665"/>
      <c r="I25" s="1665"/>
      <c r="J25" s="1661"/>
      <c r="K25" s="1662"/>
      <c r="L25" s="1465"/>
      <c r="M25" s="1465"/>
    </row>
    <row r="26" spans="1:13" ht="11.25" customHeight="1">
      <c r="A26" s="1540" t="str">
        <f>$A$14</f>
        <v>Below Minimum Service Level sub-total</v>
      </c>
      <c r="B26" s="1130"/>
      <c r="C26" s="2484">
        <f>SUM(C23:C25)</f>
        <v>3958</v>
      </c>
      <c r="D26" s="2484">
        <f t="shared" ref="D26:K26" si="4">SUM(D23:D25)</f>
        <v>4155.8999999999996</v>
      </c>
      <c r="E26" s="2485">
        <f t="shared" si="4"/>
        <v>4363.6949999999997</v>
      </c>
      <c r="F26" s="2486">
        <f t="shared" si="4"/>
        <v>5051.5224243750008</v>
      </c>
      <c r="G26" s="2484">
        <f t="shared" si="4"/>
        <v>5051.5224243750008</v>
      </c>
      <c r="H26" s="2487">
        <f t="shared" si="4"/>
        <v>5051.5224243750008</v>
      </c>
      <c r="I26" s="2488">
        <f t="shared" si="4"/>
        <v>5303</v>
      </c>
      <c r="J26" s="2484">
        <f t="shared" si="4"/>
        <v>5568</v>
      </c>
      <c r="K26" s="2485">
        <f t="shared" si="4"/>
        <v>5847</v>
      </c>
      <c r="L26" s="1465"/>
      <c r="M26" s="1465"/>
    </row>
    <row r="27" spans="1:13" ht="11.25" customHeight="1">
      <c r="A27" s="1138" t="str">
        <f>$A$15</f>
        <v>Total number of households</v>
      </c>
      <c r="B27" s="1130">
        <f>$B$15</f>
        <v>5</v>
      </c>
      <c r="C27" s="2489">
        <f>C22+C26</f>
        <v>49948</v>
      </c>
      <c r="D27" s="2489">
        <f t="shared" ref="D27:K27" si="5">D22+D26</f>
        <v>58356.9</v>
      </c>
      <c r="E27" s="2490">
        <f t="shared" si="5"/>
        <v>61274.745000000003</v>
      </c>
      <c r="F27" s="2491">
        <f t="shared" si="5"/>
        <v>63758.124924374999</v>
      </c>
      <c r="G27" s="2489">
        <f t="shared" si="5"/>
        <v>66693.455049374999</v>
      </c>
      <c r="H27" s="2492">
        <f t="shared" si="5"/>
        <v>69775.551680625009</v>
      </c>
      <c r="I27" s="2493">
        <f t="shared" si="5"/>
        <v>130941</v>
      </c>
      <c r="J27" s="2489">
        <f t="shared" si="5"/>
        <v>137488</v>
      </c>
      <c r="K27" s="2490">
        <f t="shared" si="5"/>
        <v>144362</v>
      </c>
      <c r="L27" s="1465"/>
      <c r="M27" s="1465"/>
    </row>
    <row r="28" spans="1:13" s="2502" customFormat="1" ht="15.75" customHeight="1">
      <c r="A28" s="1136" t="s">
        <v>689</v>
      </c>
      <c r="B28" s="1130"/>
      <c r="C28" s="2473"/>
      <c r="D28" s="2473"/>
      <c r="E28" s="2474"/>
      <c r="F28" s="2475"/>
      <c r="G28" s="2473"/>
      <c r="H28" s="2476"/>
      <c r="I28" s="2477"/>
      <c r="J28" s="2473"/>
      <c r="K28" s="2474"/>
      <c r="L28" s="2501"/>
      <c r="M28" s="2501"/>
    </row>
    <row r="29" spans="1:13" ht="11.25" customHeight="1">
      <c r="A29" s="1137" t="s">
        <v>1239</v>
      </c>
      <c r="B29" s="1130"/>
      <c r="C29" s="1661"/>
      <c r="D29" s="1661"/>
      <c r="E29" s="1662"/>
      <c r="F29" s="2478"/>
      <c r="G29" s="1661"/>
      <c r="H29" s="1664"/>
      <c r="I29" s="1665"/>
      <c r="J29" s="1661"/>
      <c r="K29" s="1662"/>
      <c r="L29" s="1465"/>
      <c r="M29" s="1465"/>
    </row>
    <row r="30" spans="1:13" ht="11.25" customHeight="1">
      <c r="A30" s="1137" t="s">
        <v>508</v>
      </c>
      <c r="B30" s="1130"/>
      <c r="C30" s="1661"/>
      <c r="D30" s="1661"/>
      <c r="E30" s="1662"/>
      <c r="F30" s="2478"/>
      <c r="G30" s="1661"/>
      <c r="H30" s="1664"/>
      <c r="I30" s="1665"/>
      <c r="J30" s="1661"/>
      <c r="K30" s="1662"/>
      <c r="L30" s="1465"/>
      <c r="M30" s="1465"/>
    </row>
    <row r="31" spans="1:13" ht="11.25" customHeight="1">
      <c r="A31" s="1540" t="str">
        <f>$A$10</f>
        <v>Minimum Service Level and Above sub-total</v>
      </c>
      <c r="B31" s="1130"/>
      <c r="C31" s="2479">
        <f>SUM(C29:C30)</f>
        <v>0</v>
      </c>
      <c r="D31" s="2479">
        <f t="shared" ref="D31:K31" si="6">SUM(D29:D30)</f>
        <v>0</v>
      </c>
      <c r="E31" s="2480">
        <f t="shared" si="6"/>
        <v>0</v>
      </c>
      <c r="F31" s="2481">
        <f t="shared" si="6"/>
        <v>0</v>
      </c>
      <c r="G31" s="2479">
        <f t="shared" si="6"/>
        <v>0</v>
      </c>
      <c r="H31" s="2482">
        <f t="shared" si="6"/>
        <v>0</v>
      </c>
      <c r="I31" s="2483">
        <f t="shared" si="6"/>
        <v>0</v>
      </c>
      <c r="J31" s="2479">
        <f t="shared" si="6"/>
        <v>0</v>
      </c>
      <c r="K31" s="2480">
        <f t="shared" si="6"/>
        <v>0</v>
      </c>
      <c r="L31" s="1465"/>
      <c r="M31" s="1465"/>
    </row>
    <row r="32" spans="1:13" ht="11.25" customHeight="1">
      <c r="A32" s="1137" t="s">
        <v>509</v>
      </c>
      <c r="B32" s="1130"/>
      <c r="C32" s="1661"/>
      <c r="D32" s="1661"/>
      <c r="E32" s="1662"/>
      <c r="F32" s="2478"/>
      <c r="G32" s="1661"/>
      <c r="H32" s="1664"/>
      <c r="I32" s="1665"/>
      <c r="J32" s="1661"/>
      <c r="K32" s="1662"/>
      <c r="L32" s="1465"/>
      <c r="M32" s="1465"/>
    </row>
    <row r="33" spans="1:13" ht="11.25" customHeight="1">
      <c r="A33" s="1137" t="s">
        <v>510</v>
      </c>
      <c r="B33" s="1130"/>
      <c r="C33" s="1661"/>
      <c r="D33" s="1661"/>
      <c r="E33" s="1662"/>
      <c r="F33" s="2478"/>
      <c r="G33" s="1661"/>
      <c r="H33" s="1664"/>
      <c r="I33" s="1665"/>
      <c r="J33" s="1661"/>
      <c r="K33" s="1662"/>
      <c r="L33" s="1465"/>
      <c r="M33" s="1465"/>
    </row>
    <row r="34" spans="1:13" ht="11.25" customHeight="1">
      <c r="A34" s="1137" t="s">
        <v>690</v>
      </c>
      <c r="B34" s="1130"/>
      <c r="C34" s="1661"/>
      <c r="D34" s="1661"/>
      <c r="E34" s="1662"/>
      <c r="F34" s="2478"/>
      <c r="G34" s="1661"/>
      <c r="H34" s="1664"/>
      <c r="I34" s="1665"/>
      <c r="J34" s="1661"/>
      <c r="K34" s="1662"/>
      <c r="L34" s="1465"/>
      <c r="M34" s="1465"/>
    </row>
    <row r="35" spans="1:13" ht="11.25" customHeight="1">
      <c r="A35" s="1540" t="str">
        <f>$A$14</f>
        <v>Below Minimum Service Level sub-total</v>
      </c>
      <c r="B35" s="1130"/>
      <c r="C35" s="2484">
        <f>SUM(C32:C34)</f>
        <v>0</v>
      </c>
      <c r="D35" s="2484">
        <f t="shared" ref="D35:K35" si="7">SUM(D32:D34)</f>
        <v>0</v>
      </c>
      <c r="E35" s="2485">
        <f t="shared" si="7"/>
        <v>0</v>
      </c>
      <c r="F35" s="2486">
        <f t="shared" si="7"/>
        <v>0</v>
      </c>
      <c r="G35" s="2484">
        <f t="shared" si="7"/>
        <v>0</v>
      </c>
      <c r="H35" s="2487">
        <f t="shared" si="7"/>
        <v>0</v>
      </c>
      <c r="I35" s="2488">
        <f t="shared" si="7"/>
        <v>0</v>
      </c>
      <c r="J35" s="2484">
        <f t="shared" si="7"/>
        <v>0</v>
      </c>
      <c r="K35" s="2485">
        <f t="shared" si="7"/>
        <v>0</v>
      </c>
      <c r="L35" s="1465"/>
      <c r="M35" s="1465"/>
    </row>
    <row r="36" spans="1:13" ht="11.25" customHeight="1">
      <c r="A36" s="1138" t="str">
        <f>$A$15</f>
        <v>Total number of households</v>
      </c>
      <c r="B36" s="1130">
        <f>$B$15</f>
        <v>5</v>
      </c>
      <c r="C36" s="2489">
        <f>C31+C35</f>
        <v>0</v>
      </c>
      <c r="D36" s="2489">
        <f t="shared" ref="D36:K36" si="8">D31+D35</f>
        <v>0</v>
      </c>
      <c r="E36" s="2490">
        <f t="shared" si="8"/>
        <v>0</v>
      </c>
      <c r="F36" s="2491">
        <f t="shared" si="8"/>
        <v>0</v>
      </c>
      <c r="G36" s="2489">
        <f t="shared" si="8"/>
        <v>0</v>
      </c>
      <c r="H36" s="2492">
        <f t="shared" si="8"/>
        <v>0</v>
      </c>
      <c r="I36" s="2493">
        <f t="shared" si="8"/>
        <v>0</v>
      </c>
      <c r="J36" s="2489">
        <f t="shared" si="8"/>
        <v>0</v>
      </c>
      <c r="K36" s="2490">
        <f t="shared" si="8"/>
        <v>0</v>
      </c>
      <c r="L36" s="1465"/>
      <c r="M36" s="1465"/>
    </row>
    <row r="37" spans="1:13" s="2502" customFormat="1" ht="15.75" customHeight="1">
      <c r="A37" s="1136" t="s">
        <v>693</v>
      </c>
      <c r="B37" s="1130"/>
      <c r="C37" s="2473"/>
      <c r="D37" s="2473"/>
      <c r="E37" s="2474"/>
      <c r="F37" s="2475"/>
      <c r="G37" s="2473"/>
      <c r="H37" s="2476"/>
      <c r="I37" s="2477"/>
      <c r="J37" s="2473"/>
      <c r="K37" s="2474"/>
      <c r="L37" s="2501"/>
      <c r="M37" s="2501"/>
    </row>
    <row r="38" spans="1:13" ht="11.25" customHeight="1">
      <c r="A38" s="1137" t="s">
        <v>745</v>
      </c>
      <c r="B38" s="1130"/>
      <c r="C38" s="1656">
        <v>70000</v>
      </c>
      <c r="D38" s="1657"/>
      <c r="E38" s="2541">
        <v>80000</v>
      </c>
      <c r="F38" s="2541"/>
      <c r="G38" s="1669"/>
      <c r="H38" s="2500"/>
      <c r="I38" s="1671">
        <v>105000</v>
      </c>
      <c r="J38" s="1669">
        <v>110250</v>
      </c>
      <c r="K38" s="1670">
        <v>115765</v>
      </c>
      <c r="L38" s="1465"/>
      <c r="M38" s="1465"/>
    </row>
    <row r="39" spans="1:13" ht="11.25" customHeight="1">
      <c r="A39" s="1540" t="str">
        <f>$A$10</f>
        <v>Minimum Service Level and Above sub-total</v>
      </c>
      <c r="B39" s="1130"/>
      <c r="C39" s="2494">
        <f>SUM(C38)</f>
        <v>70000</v>
      </c>
      <c r="D39" s="2494">
        <f t="shared" ref="D39:K39" si="9">SUM(D38)</f>
        <v>0</v>
      </c>
      <c r="E39" s="2495">
        <f t="shared" si="9"/>
        <v>80000</v>
      </c>
      <c r="F39" s="2496">
        <f t="shared" si="9"/>
        <v>0</v>
      </c>
      <c r="G39" s="2494">
        <f t="shared" si="9"/>
        <v>0</v>
      </c>
      <c r="H39" s="2497">
        <f t="shared" si="9"/>
        <v>0</v>
      </c>
      <c r="I39" s="2498">
        <f t="shared" si="9"/>
        <v>105000</v>
      </c>
      <c r="J39" s="2494">
        <f t="shared" si="9"/>
        <v>110250</v>
      </c>
      <c r="K39" s="2495">
        <f t="shared" si="9"/>
        <v>115765</v>
      </c>
      <c r="L39" s="1465"/>
      <c r="M39" s="1465"/>
    </row>
    <row r="40" spans="1:13" ht="11.25" customHeight="1">
      <c r="A40" s="1137" t="s">
        <v>694</v>
      </c>
      <c r="B40" s="1130"/>
      <c r="C40" s="1615">
        <v>10000</v>
      </c>
      <c r="D40" s="1662">
        <v>10500</v>
      </c>
      <c r="E40" s="2534">
        <v>7000</v>
      </c>
      <c r="F40" s="1665">
        <v>8103.375</v>
      </c>
      <c r="G40" s="1665">
        <v>8103.375</v>
      </c>
      <c r="H40" s="1665">
        <v>8103.375</v>
      </c>
      <c r="I40" s="1665">
        <v>25200</v>
      </c>
      <c r="J40" s="1661">
        <v>26460</v>
      </c>
      <c r="K40" s="1662">
        <v>27783</v>
      </c>
      <c r="L40" s="1465"/>
      <c r="M40" s="1465"/>
    </row>
    <row r="41" spans="1:13" ht="11.25" customHeight="1">
      <c r="A41" s="1137" t="s">
        <v>695</v>
      </c>
      <c r="B41" s="1130"/>
      <c r="C41" s="1615">
        <v>8000</v>
      </c>
      <c r="D41" s="1662">
        <v>8400</v>
      </c>
      <c r="E41" s="2534">
        <v>5000</v>
      </c>
      <c r="F41" s="1665">
        <v>5788.125</v>
      </c>
      <c r="G41" s="1665">
        <v>5788.125</v>
      </c>
      <c r="H41" s="1665">
        <v>5788.125</v>
      </c>
      <c r="I41" s="1665">
        <v>5</v>
      </c>
      <c r="J41" s="1661">
        <v>5</v>
      </c>
      <c r="K41" s="1662">
        <v>5</v>
      </c>
      <c r="L41" s="1465"/>
      <c r="M41" s="1465"/>
    </row>
    <row r="42" spans="1:13" ht="11.25" customHeight="1">
      <c r="A42" s="1137" t="s">
        <v>884</v>
      </c>
      <c r="B42" s="1130"/>
      <c r="C42" s="1615">
        <v>1000</v>
      </c>
      <c r="D42" s="1662">
        <v>1050</v>
      </c>
      <c r="E42" s="2534">
        <v>500</v>
      </c>
      <c r="F42" s="1665">
        <v>578.8125</v>
      </c>
      <c r="G42" s="1665">
        <v>578.8125</v>
      </c>
      <c r="H42" s="1665">
        <v>578.8125</v>
      </c>
      <c r="I42" s="1665">
        <v>0</v>
      </c>
      <c r="J42" s="1661">
        <v>0</v>
      </c>
      <c r="K42" s="1662">
        <v>0</v>
      </c>
      <c r="L42" s="1465"/>
      <c r="M42" s="1465"/>
    </row>
    <row r="43" spans="1:13" ht="11.25" customHeight="1">
      <c r="A43" s="1137" t="s">
        <v>885</v>
      </c>
      <c r="B43" s="1130"/>
      <c r="C43" s="1615">
        <v>2000</v>
      </c>
      <c r="D43" s="1662">
        <v>2100</v>
      </c>
      <c r="E43" s="2534">
        <v>3000</v>
      </c>
      <c r="F43" s="1665">
        <v>3472.875</v>
      </c>
      <c r="G43" s="1665">
        <v>3472.875</v>
      </c>
      <c r="H43" s="1665">
        <v>3472.875</v>
      </c>
      <c r="I43" s="1665">
        <v>1</v>
      </c>
      <c r="J43" s="1661">
        <v>1</v>
      </c>
      <c r="K43" s="1662">
        <v>1</v>
      </c>
      <c r="L43" s="1465"/>
      <c r="M43" s="1465"/>
    </row>
    <row r="44" spans="1:13" ht="11.25" customHeight="1">
      <c r="A44" s="1137" t="s">
        <v>199</v>
      </c>
      <c r="B44" s="1130"/>
      <c r="C44" s="1615">
        <v>30000</v>
      </c>
      <c r="D44" s="1662">
        <v>31500</v>
      </c>
      <c r="E44" s="2534">
        <v>5000</v>
      </c>
      <c r="F44" s="1665">
        <v>5236.875</v>
      </c>
      <c r="G44" s="1665">
        <v>5236.875</v>
      </c>
      <c r="H44" s="1665">
        <v>5236.875</v>
      </c>
      <c r="I44" s="1665">
        <v>21000</v>
      </c>
      <c r="J44" s="1661">
        <v>22050</v>
      </c>
      <c r="K44" s="1662">
        <v>23152</v>
      </c>
      <c r="L44" s="1465"/>
      <c r="M44" s="1465"/>
    </row>
    <row r="45" spans="1:13" ht="11.25" customHeight="1">
      <c r="A45" s="1540" t="str">
        <f>$A$14</f>
        <v>Below Minimum Service Level sub-total</v>
      </c>
      <c r="B45" s="1130"/>
      <c r="C45" s="2484">
        <f t="shared" ref="C45:K45" si="10">SUM(C40:C44)</f>
        <v>51000</v>
      </c>
      <c r="D45" s="2484">
        <f t="shared" si="10"/>
        <v>53550</v>
      </c>
      <c r="E45" s="2485">
        <f t="shared" si="10"/>
        <v>20500</v>
      </c>
      <c r="F45" s="2486">
        <f t="shared" si="10"/>
        <v>23180.0625</v>
      </c>
      <c r="G45" s="2484">
        <f t="shared" si="10"/>
        <v>23180.0625</v>
      </c>
      <c r="H45" s="2487">
        <f t="shared" si="10"/>
        <v>23180.0625</v>
      </c>
      <c r="I45" s="2488">
        <f t="shared" si="10"/>
        <v>46206</v>
      </c>
      <c r="J45" s="2484">
        <f t="shared" si="10"/>
        <v>48516</v>
      </c>
      <c r="K45" s="2485">
        <f t="shared" si="10"/>
        <v>50941</v>
      </c>
      <c r="L45" s="1465"/>
      <c r="M45" s="1465"/>
    </row>
    <row r="46" spans="1:13" ht="11.25" customHeight="1">
      <c r="A46" s="1138" t="str">
        <f>$A$15</f>
        <v>Total number of households</v>
      </c>
      <c r="B46" s="1130">
        <f>$B$15</f>
        <v>5</v>
      </c>
      <c r="C46" s="2489">
        <f>C39+C45</f>
        <v>121000</v>
      </c>
      <c r="D46" s="2489">
        <f t="shared" ref="D46:K46" si="11">D39+D45</f>
        <v>53550</v>
      </c>
      <c r="E46" s="2490">
        <f t="shared" si="11"/>
        <v>100500</v>
      </c>
      <c r="F46" s="2491">
        <f t="shared" si="11"/>
        <v>23180.0625</v>
      </c>
      <c r="G46" s="2489">
        <f t="shared" si="11"/>
        <v>23180.0625</v>
      </c>
      <c r="H46" s="2492">
        <f t="shared" si="11"/>
        <v>23180.0625</v>
      </c>
      <c r="I46" s="2493">
        <f t="shared" si="11"/>
        <v>151206</v>
      </c>
      <c r="J46" s="2489">
        <f t="shared" si="11"/>
        <v>158766</v>
      </c>
      <c r="K46" s="2490">
        <f t="shared" si="11"/>
        <v>166706</v>
      </c>
      <c r="L46" s="1465"/>
      <c r="M46" s="1465"/>
    </row>
    <row r="47" spans="1:13" ht="5" customHeight="1">
      <c r="A47" s="1141"/>
      <c r="B47" s="1142"/>
      <c r="C47" s="1143"/>
      <c r="D47" s="1143"/>
      <c r="E47" s="1144"/>
      <c r="F47" s="1145"/>
      <c r="G47" s="1143"/>
      <c r="H47" s="1146"/>
      <c r="I47" s="1147"/>
      <c r="J47" s="1143"/>
      <c r="K47" s="1144"/>
      <c r="L47" s="1465"/>
      <c r="M47" s="1465"/>
    </row>
    <row r="48" spans="1:13" ht="15.75" customHeight="1">
      <c r="A48" s="1129" t="s">
        <v>200</v>
      </c>
      <c r="B48" s="1130">
        <v>7</v>
      </c>
      <c r="C48" s="1064"/>
      <c r="D48" s="1064"/>
      <c r="E48" s="1148"/>
      <c r="F48" s="1112"/>
      <c r="G48" s="1064"/>
      <c r="H48" s="1067"/>
      <c r="I48" s="1068"/>
      <c r="J48" s="1064"/>
      <c r="K48" s="1065"/>
      <c r="L48" s="1465"/>
      <c r="M48" s="1465"/>
    </row>
    <row r="49" spans="1:13" ht="11.25" customHeight="1">
      <c r="A49" s="1137" t="s">
        <v>1315</v>
      </c>
      <c r="B49" s="1130"/>
      <c r="C49" s="1661">
        <v>12</v>
      </c>
      <c r="D49" s="1666">
        <v>12</v>
      </c>
      <c r="E49" s="1667">
        <v>12</v>
      </c>
      <c r="F49" s="1667">
        <v>12</v>
      </c>
      <c r="G49" s="1667">
        <v>12</v>
      </c>
      <c r="H49" s="1667">
        <v>12</v>
      </c>
      <c r="I49" s="1667">
        <v>12</v>
      </c>
      <c r="J49" s="1667">
        <v>12</v>
      </c>
      <c r="K49" s="1667">
        <v>12</v>
      </c>
      <c r="L49" s="1465"/>
      <c r="M49" s="1465"/>
    </row>
    <row r="50" spans="1:13" ht="11.25" customHeight="1">
      <c r="A50" s="1137" t="s">
        <v>378</v>
      </c>
      <c r="B50" s="1130"/>
      <c r="C50" s="1661"/>
      <c r="D50" s="1661"/>
      <c r="E50" s="1661"/>
      <c r="F50" s="1661"/>
      <c r="G50" s="1661"/>
      <c r="H50" s="1661"/>
      <c r="I50" s="1661"/>
      <c r="J50" s="1661"/>
      <c r="K50" s="1661"/>
      <c r="L50" s="1465"/>
      <c r="M50" s="1465"/>
    </row>
    <row r="51" spans="1:13" ht="11.25" customHeight="1">
      <c r="A51" s="1137" t="s">
        <v>1317</v>
      </c>
      <c r="B51" s="1130"/>
      <c r="C51" s="1661">
        <v>50</v>
      </c>
      <c r="D51" s="1661">
        <v>50</v>
      </c>
      <c r="E51" s="1661">
        <v>50</v>
      </c>
      <c r="F51" s="1661">
        <v>50</v>
      </c>
      <c r="G51" s="1661">
        <v>50</v>
      </c>
      <c r="H51" s="1661">
        <v>50</v>
      </c>
      <c r="I51" s="1661">
        <v>50</v>
      </c>
      <c r="J51" s="1661">
        <v>50</v>
      </c>
      <c r="K51" s="1661">
        <v>50</v>
      </c>
      <c r="L51" s="1465"/>
      <c r="M51" s="1465"/>
    </row>
    <row r="52" spans="1:13" ht="11.25" customHeight="1">
      <c r="A52" s="1335" t="s">
        <v>379</v>
      </c>
      <c r="B52" s="1142"/>
      <c r="C52" s="1661">
        <v>1</v>
      </c>
      <c r="D52" s="1661">
        <v>1</v>
      </c>
      <c r="E52" s="1661">
        <v>1</v>
      </c>
      <c r="F52" s="1661">
        <v>1</v>
      </c>
      <c r="G52" s="1661">
        <v>1</v>
      </c>
      <c r="H52" s="1661">
        <v>1</v>
      </c>
      <c r="I52" s="1661">
        <v>1</v>
      </c>
      <c r="J52" s="1661">
        <v>1</v>
      </c>
      <c r="K52" s="1661">
        <v>1</v>
      </c>
      <c r="L52" s="1465"/>
      <c r="M52" s="1465"/>
    </row>
    <row r="53" spans="1:13" ht="4.5" customHeight="1">
      <c r="A53" s="1150"/>
      <c r="B53" s="1130"/>
      <c r="C53" s="1064"/>
      <c r="D53" s="1064"/>
      <c r="E53" s="1151"/>
      <c r="F53" s="1068"/>
      <c r="G53" s="1064"/>
      <c r="H53" s="1067"/>
      <c r="I53" s="1068"/>
      <c r="J53" s="1064"/>
      <c r="K53" s="1151"/>
      <c r="L53" s="1465"/>
      <c r="M53" s="1465"/>
    </row>
    <row r="54" spans="1:13" ht="11.25" customHeight="1">
      <c r="A54" s="1336" t="s">
        <v>393</v>
      </c>
      <c r="B54" s="1130">
        <v>8</v>
      </c>
      <c r="C54" s="1615"/>
      <c r="D54" s="1615"/>
      <c r="E54" s="1635"/>
      <c r="F54" s="1636"/>
      <c r="G54" s="1636"/>
      <c r="H54" s="1636"/>
      <c r="I54" s="2534"/>
      <c r="J54" s="1615"/>
      <c r="K54" s="1635"/>
      <c r="L54" s="1465"/>
      <c r="M54" s="1465"/>
    </row>
    <row r="55" spans="1:13" ht="11.25" customHeight="1">
      <c r="A55" s="1137" t="s">
        <v>1315</v>
      </c>
      <c r="B55" s="1130"/>
      <c r="C55" s="1615">
        <v>2216699.59</v>
      </c>
      <c r="D55" s="1615">
        <v>2189081.56</v>
      </c>
      <c r="E55" s="1635">
        <v>2295843.71</v>
      </c>
      <c r="F55" s="1636">
        <v>3040396.29</v>
      </c>
      <c r="G55" s="1636">
        <v>3040396.29</v>
      </c>
      <c r="H55" s="1636">
        <v>3040396.29</v>
      </c>
      <c r="I55" s="2534">
        <v>129924</v>
      </c>
      <c r="J55" s="1615">
        <v>137719</v>
      </c>
      <c r="K55" s="1635">
        <v>145983</v>
      </c>
      <c r="L55" s="1465"/>
      <c r="M55" s="1465"/>
    </row>
    <row r="56" spans="1:13" ht="11.25" customHeight="1">
      <c r="A56" s="1137" t="s">
        <v>1316</v>
      </c>
      <c r="B56" s="1130"/>
      <c r="C56" s="1615">
        <v>1074779.46</v>
      </c>
      <c r="D56" s="1615">
        <v>1941571.75</v>
      </c>
      <c r="E56" s="1635">
        <v>1964555.17</v>
      </c>
      <c r="F56" s="1636">
        <v>2463096.33</v>
      </c>
      <c r="G56" s="1636">
        <v>2463096.33</v>
      </c>
      <c r="H56" s="1636">
        <v>2463096.33</v>
      </c>
      <c r="I56" s="2534">
        <v>3248537</v>
      </c>
      <c r="J56" s="1615">
        <v>3447449</v>
      </c>
      <c r="K56" s="1635">
        <v>3650056</v>
      </c>
      <c r="L56" s="1465"/>
      <c r="M56" s="1465"/>
    </row>
    <row r="57" spans="1:13" ht="11.25" customHeight="1">
      <c r="A57" s="1137" t="s">
        <v>1317</v>
      </c>
      <c r="B57" s="1130"/>
      <c r="C57" s="1615">
        <v>100538.67</v>
      </c>
      <c r="D57" s="1615">
        <v>170871.13</v>
      </c>
      <c r="E57" s="1635">
        <v>259813.02</v>
      </c>
      <c r="F57" s="1636">
        <v>279011.20000000001</v>
      </c>
      <c r="G57" s="1636">
        <v>279011.20000000001</v>
      </c>
      <c r="H57" s="1636">
        <v>279011.20000000001</v>
      </c>
      <c r="I57" s="2534">
        <v>291518</v>
      </c>
      <c r="J57" s="1615">
        <v>349822</v>
      </c>
      <c r="K57" s="1635">
        <v>419786</v>
      </c>
      <c r="L57" s="1465"/>
      <c r="M57" s="1465"/>
    </row>
    <row r="58" spans="1:13" ht="11.25" customHeight="1">
      <c r="A58" s="1137" t="s">
        <v>1318</v>
      </c>
      <c r="B58" s="1130"/>
      <c r="C58" s="1615">
        <v>1068002.1599999999</v>
      </c>
      <c r="D58" s="1615">
        <v>2041112.96</v>
      </c>
      <c r="E58" s="1635">
        <v>2332879.66</v>
      </c>
      <c r="F58" s="1636">
        <v>3158876.68</v>
      </c>
      <c r="G58" s="1636">
        <v>3158876.68</v>
      </c>
      <c r="H58" s="1636">
        <v>3158876.68</v>
      </c>
      <c r="I58" s="2534">
        <v>3471914</v>
      </c>
      <c r="J58" s="1615">
        <v>3680229</v>
      </c>
      <c r="K58" s="1635">
        <v>3901042</v>
      </c>
      <c r="L58" s="1465"/>
      <c r="M58" s="1465"/>
    </row>
    <row r="59" spans="1:13" ht="11.25" customHeight="1">
      <c r="A59" s="1337" t="s">
        <v>746</v>
      </c>
      <c r="B59" s="1142"/>
      <c r="C59" s="1338">
        <f>SUM(C54:C58)</f>
        <v>4460019.88</v>
      </c>
      <c r="D59" s="1338">
        <f t="shared" ref="D59:K59" si="12">SUM(D54:D58)</f>
        <v>6342637.4000000004</v>
      </c>
      <c r="E59" s="1339">
        <f t="shared" si="12"/>
        <v>6853091.5599999996</v>
      </c>
      <c r="F59" s="1340">
        <f t="shared" si="12"/>
        <v>8941380.5</v>
      </c>
      <c r="G59" s="1338">
        <f t="shared" si="12"/>
        <v>8941380.5</v>
      </c>
      <c r="H59" s="1341">
        <f t="shared" si="12"/>
        <v>8941380.5</v>
      </c>
      <c r="I59" s="1342">
        <f t="shared" si="12"/>
        <v>7141893</v>
      </c>
      <c r="J59" s="1338">
        <f t="shared" si="12"/>
        <v>7615219</v>
      </c>
      <c r="K59" s="1339">
        <f t="shared" si="12"/>
        <v>8116867</v>
      </c>
      <c r="L59" s="1465"/>
      <c r="M59" s="1465"/>
    </row>
    <row r="60" spans="1:13" ht="3.75" customHeight="1">
      <c r="A60" s="1189"/>
      <c r="B60" s="1130"/>
      <c r="C60" s="1131"/>
      <c r="D60" s="1131"/>
      <c r="E60" s="1132"/>
      <c r="F60" s="1133"/>
      <c r="G60" s="1131"/>
      <c r="H60" s="1134"/>
      <c r="I60" s="1135"/>
      <c r="J60" s="1131"/>
      <c r="K60" s="1132"/>
      <c r="L60" s="1465"/>
      <c r="M60" s="1465"/>
    </row>
    <row r="61" spans="1:13" ht="11.25" customHeight="1">
      <c r="A61" s="1129" t="s">
        <v>743</v>
      </c>
      <c r="B61" s="1130"/>
      <c r="C61" s="1064"/>
      <c r="D61" s="1064"/>
      <c r="E61" s="1065"/>
      <c r="F61" s="1066"/>
      <c r="G61" s="1064"/>
      <c r="H61" s="1067"/>
      <c r="I61" s="1068"/>
      <c r="J61" s="1064"/>
      <c r="K61" s="1065"/>
      <c r="L61" s="1465"/>
      <c r="M61" s="1465"/>
    </row>
    <row r="62" spans="1:13" ht="11.25" customHeight="1">
      <c r="A62" s="1137" t="s">
        <v>1917</v>
      </c>
      <c r="B62" s="1130"/>
      <c r="C62" s="1661">
        <v>15000</v>
      </c>
      <c r="D62" s="1661">
        <v>15000</v>
      </c>
      <c r="E62" s="1662">
        <v>15000</v>
      </c>
      <c r="F62" s="1663">
        <v>56000</v>
      </c>
      <c r="G62" s="1661">
        <v>56000</v>
      </c>
      <c r="H62" s="1664">
        <v>56000</v>
      </c>
      <c r="I62" s="1665">
        <v>100000</v>
      </c>
      <c r="J62" s="1661">
        <v>100000</v>
      </c>
      <c r="K62" s="1662">
        <v>100000</v>
      </c>
      <c r="L62" s="1465"/>
      <c r="M62" s="1465"/>
    </row>
    <row r="63" spans="1:13" ht="11.25" customHeight="1">
      <c r="A63" s="1137" t="s">
        <v>1410</v>
      </c>
      <c r="B63" s="1130"/>
      <c r="C63" s="1661">
        <v>12</v>
      </c>
      <c r="D63" s="1666">
        <v>12</v>
      </c>
      <c r="E63" s="1667">
        <v>12</v>
      </c>
      <c r="F63" s="1661">
        <v>12</v>
      </c>
      <c r="G63" s="1666">
        <v>12</v>
      </c>
      <c r="H63" s="1667">
        <v>12</v>
      </c>
      <c r="I63" s="1661">
        <v>12</v>
      </c>
      <c r="J63" s="1666">
        <v>12</v>
      </c>
      <c r="K63" s="1667">
        <v>12</v>
      </c>
      <c r="L63" s="1465"/>
      <c r="M63" s="1465"/>
    </row>
    <row r="64" spans="1:13" ht="11.25" customHeight="1">
      <c r="A64" s="1137" t="s">
        <v>1411</v>
      </c>
      <c r="B64" s="1130"/>
      <c r="C64" s="1661"/>
      <c r="D64" s="1661"/>
      <c r="E64" s="1662"/>
      <c r="F64" s="1663"/>
      <c r="G64" s="1666"/>
      <c r="H64" s="1668"/>
      <c r="I64" s="1665"/>
      <c r="J64" s="1661"/>
      <c r="K64" s="1662"/>
      <c r="L64" s="1465"/>
      <c r="M64" s="1465"/>
    </row>
    <row r="65" spans="1:13" ht="11.25" customHeight="1">
      <c r="A65" s="1137" t="s">
        <v>688</v>
      </c>
      <c r="B65" s="1130"/>
      <c r="C65" s="1894">
        <v>59</v>
      </c>
      <c r="D65" s="1894">
        <v>66.67</v>
      </c>
      <c r="E65" s="1895">
        <v>84</v>
      </c>
      <c r="F65" s="1663"/>
      <c r="G65" s="1666"/>
      <c r="H65" s="1668"/>
      <c r="I65" s="1665"/>
      <c r="J65" s="1661"/>
      <c r="K65" s="1662"/>
      <c r="L65" s="1465"/>
      <c r="M65" s="1465"/>
    </row>
    <row r="66" spans="1:13" ht="11.25" customHeight="1">
      <c r="A66" s="1137" t="s">
        <v>380</v>
      </c>
      <c r="B66" s="1130"/>
      <c r="C66" s="1661">
        <v>50</v>
      </c>
      <c r="D66" s="1666">
        <v>50</v>
      </c>
      <c r="E66" s="1667">
        <v>50</v>
      </c>
      <c r="F66" s="1661">
        <v>50</v>
      </c>
      <c r="G66" s="1666">
        <v>50</v>
      </c>
      <c r="H66" s="1667">
        <v>50</v>
      </c>
      <c r="I66" s="1661">
        <v>50</v>
      </c>
      <c r="J66" s="1666">
        <v>50</v>
      </c>
      <c r="K66" s="1667">
        <v>50</v>
      </c>
      <c r="L66" s="1465"/>
      <c r="M66" s="1465"/>
    </row>
    <row r="67" spans="1:13" ht="11.25" customHeight="1">
      <c r="A67" s="1149" t="s">
        <v>692</v>
      </c>
      <c r="B67" s="1142"/>
      <c r="C67" s="1669">
        <v>1</v>
      </c>
      <c r="D67" s="1669">
        <v>1</v>
      </c>
      <c r="E67" s="1670">
        <v>1</v>
      </c>
      <c r="F67" s="1669">
        <v>1</v>
      </c>
      <c r="G67" s="1669">
        <v>1</v>
      </c>
      <c r="H67" s="1670">
        <v>1</v>
      </c>
      <c r="I67" s="1669">
        <v>1</v>
      </c>
      <c r="J67" s="1669">
        <v>1</v>
      </c>
      <c r="K67" s="1670">
        <v>1</v>
      </c>
      <c r="L67" s="1465"/>
      <c r="M67" s="1465"/>
    </row>
    <row r="68" spans="1:13" ht="15.75" customHeight="1">
      <c r="A68" s="1129" t="s">
        <v>381</v>
      </c>
      <c r="B68" s="1130">
        <v>9</v>
      </c>
      <c r="C68" s="1064"/>
      <c r="D68" s="1064"/>
      <c r="E68" s="1065"/>
      <c r="F68" s="1066"/>
      <c r="G68" s="1064"/>
      <c r="H68" s="1067"/>
      <c r="I68" s="1068"/>
      <c r="J68" s="1064"/>
      <c r="K68" s="1065"/>
      <c r="L68" s="1465"/>
      <c r="M68" s="1465"/>
    </row>
    <row r="69" spans="1:13" ht="11.25" customHeight="1">
      <c r="A69" s="1137" t="s">
        <v>382</v>
      </c>
      <c r="B69" s="1130"/>
      <c r="C69" s="1615"/>
      <c r="D69" s="1615"/>
      <c r="E69" s="1635"/>
      <c r="F69" s="1636">
        <v>18332664</v>
      </c>
      <c r="G69" s="1615">
        <v>18332664</v>
      </c>
      <c r="H69" s="1637">
        <v>18332664</v>
      </c>
      <c r="I69" s="2534">
        <v>19208715</v>
      </c>
      <c r="J69" s="1615">
        <v>20169150</v>
      </c>
      <c r="K69" s="1635">
        <v>21177608</v>
      </c>
      <c r="L69" s="1465"/>
      <c r="M69" s="1465"/>
    </row>
    <row r="70" spans="1:13" ht="24" customHeight="1">
      <c r="A70" s="2508" t="s">
        <v>744</v>
      </c>
      <c r="B70" s="1130"/>
      <c r="C70" s="1615"/>
      <c r="D70" s="1615"/>
      <c r="E70" s="1635"/>
      <c r="F70" s="1636"/>
      <c r="G70" s="1615"/>
      <c r="H70" s="1637"/>
      <c r="I70" s="2534"/>
      <c r="J70" s="1615"/>
      <c r="K70" s="1635"/>
      <c r="L70" s="1465"/>
      <c r="M70" s="1465"/>
    </row>
    <row r="71" spans="1:13" ht="11.25" customHeight="1">
      <c r="A71" s="1137" t="s">
        <v>956</v>
      </c>
      <c r="B71" s="1130"/>
      <c r="C71" s="1615">
        <v>2216699.59</v>
      </c>
      <c r="D71" s="1615">
        <v>2189081.56</v>
      </c>
      <c r="E71" s="1635">
        <v>2295843.71</v>
      </c>
      <c r="F71" s="1636">
        <v>3040396.29</v>
      </c>
      <c r="G71" s="1636">
        <v>3040396.29</v>
      </c>
      <c r="H71" s="1636">
        <v>3040396.29</v>
      </c>
      <c r="I71" s="2534">
        <v>129924</v>
      </c>
      <c r="J71" s="1615">
        <v>137719</v>
      </c>
      <c r="K71" s="1635">
        <v>145983</v>
      </c>
      <c r="L71" s="1465"/>
      <c r="M71" s="1465"/>
    </row>
    <row r="72" spans="1:13" ht="11.25" customHeight="1">
      <c r="A72" s="1137" t="s">
        <v>957</v>
      </c>
      <c r="B72" s="1130"/>
      <c r="C72" s="1615">
        <v>1074779.46</v>
      </c>
      <c r="D72" s="1615">
        <v>1941571.75</v>
      </c>
      <c r="E72" s="1635">
        <v>1964555.17</v>
      </c>
      <c r="F72" s="1636">
        <v>2463096.33</v>
      </c>
      <c r="G72" s="1636">
        <v>2463096.33</v>
      </c>
      <c r="H72" s="1636">
        <v>2463096.33</v>
      </c>
      <c r="I72" s="2534">
        <v>3248537</v>
      </c>
      <c r="J72" s="1615">
        <v>3447449</v>
      </c>
      <c r="K72" s="1635">
        <v>3650056</v>
      </c>
      <c r="L72" s="1465"/>
      <c r="M72" s="1465"/>
    </row>
    <row r="73" spans="1:13" ht="11.25" customHeight="1">
      <c r="A73" s="1137" t="s">
        <v>1821</v>
      </c>
      <c r="B73" s="1130"/>
      <c r="C73" s="1615">
        <v>100538.67</v>
      </c>
      <c r="D73" s="1615">
        <v>170871.13</v>
      </c>
      <c r="E73" s="1635">
        <v>259813.02</v>
      </c>
      <c r="F73" s="1636">
        <v>279011.20000000001</v>
      </c>
      <c r="G73" s="1636">
        <v>279011.20000000001</v>
      </c>
      <c r="H73" s="1636">
        <v>279011.20000000001</v>
      </c>
      <c r="I73" s="2534">
        <v>291518</v>
      </c>
      <c r="J73" s="1615">
        <v>349822</v>
      </c>
      <c r="K73" s="1635">
        <v>419786</v>
      </c>
      <c r="L73" s="1465"/>
      <c r="M73" s="1465"/>
    </row>
    <row r="74" spans="1:13" ht="11.25" customHeight="1">
      <c r="A74" s="1137" t="s">
        <v>1291</v>
      </c>
      <c r="B74" s="1130"/>
      <c r="C74" s="1615">
        <v>1068002.1599999999</v>
      </c>
      <c r="D74" s="1615">
        <v>2041112.96</v>
      </c>
      <c r="E74" s="1635">
        <v>2332879.66</v>
      </c>
      <c r="F74" s="1636">
        <v>3158876.68</v>
      </c>
      <c r="G74" s="1636">
        <v>3158876.68</v>
      </c>
      <c r="H74" s="1636">
        <v>3158876.68</v>
      </c>
      <c r="I74" s="2534">
        <v>3471914</v>
      </c>
      <c r="J74" s="1615">
        <v>3680229</v>
      </c>
      <c r="K74" s="1635">
        <v>3901042</v>
      </c>
      <c r="L74" s="1465"/>
      <c r="M74" s="1465"/>
    </row>
    <row r="75" spans="1:13" ht="11.25" customHeight="1">
      <c r="A75" s="1137" t="s">
        <v>383</v>
      </c>
      <c r="B75" s="1130"/>
      <c r="C75" s="1615"/>
      <c r="D75" s="1615"/>
      <c r="E75" s="1635"/>
      <c r="F75" s="1636"/>
      <c r="G75" s="1615"/>
      <c r="H75" s="1637"/>
      <c r="I75" s="2534"/>
      <c r="J75" s="1615"/>
      <c r="K75" s="1635"/>
      <c r="L75" s="1465"/>
      <c r="M75" s="1465"/>
    </row>
    <row r="76" spans="1:13" ht="11.25" customHeight="1">
      <c r="A76" s="1137" t="s">
        <v>384</v>
      </c>
      <c r="B76" s="1130">
        <v>6</v>
      </c>
      <c r="C76" s="1615"/>
      <c r="D76" s="1615"/>
      <c r="E76" s="1635"/>
      <c r="F76" s="1636"/>
      <c r="G76" s="1615"/>
      <c r="H76" s="1637"/>
      <c r="I76" s="2534"/>
      <c r="J76" s="1615"/>
      <c r="K76" s="1635"/>
      <c r="L76" s="1465"/>
      <c r="M76" s="1465"/>
    </row>
    <row r="77" spans="1:13" ht="11.25" customHeight="1">
      <c r="A77" s="1137" t="s">
        <v>293</v>
      </c>
      <c r="B77" s="1130"/>
      <c r="C77" s="1615"/>
      <c r="D77" s="1615"/>
      <c r="E77" s="1635"/>
      <c r="F77" s="1636"/>
      <c r="G77" s="1615"/>
      <c r="H77" s="1637"/>
      <c r="I77" s="2534"/>
      <c r="J77" s="1615"/>
      <c r="K77" s="1635"/>
      <c r="L77" s="1465"/>
      <c r="M77" s="1465"/>
    </row>
    <row r="78" spans="1:13" ht="20">
      <c r="A78" s="1436" t="s">
        <v>385</v>
      </c>
      <c r="B78" s="1152"/>
      <c r="C78" s="1153">
        <f t="shared" ref="C78:I78" si="13">SUM(C69:C77)</f>
        <v>4460019.88</v>
      </c>
      <c r="D78" s="1153">
        <f t="shared" si="13"/>
        <v>6342637.4000000004</v>
      </c>
      <c r="E78" s="1154">
        <f t="shared" si="13"/>
        <v>6853091.5599999996</v>
      </c>
      <c r="F78" s="1155">
        <f t="shared" si="13"/>
        <v>27274044.499999996</v>
      </c>
      <c r="G78" s="1153">
        <f t="shared" si="13"/>
        <v>27274044.499999996</v>
      </c>
      <c r="H78" s="1156">
        <f t="shared" si="13"/>
        <v>27274044.499999996</v>
      </c>
      <c r="I78" s="1157">
        <f t="shared" si="13"/>
        <v>26350608</v>
      </c>
      <c r="J78" s="1153">
        <f>SUM(J69:J77)</f>
        <v>27784369</v>
      </c>
      <c r="K78" s="1154">
        <f>SUM(K69:K77)</f>
        <v>29294475</v>
      </c>
      <c r="L78" s="1465"/>
      <c r="M78" s="1465"/>
    </row>
    <row r="79" spans="1:13" ht="11.25" customHeight="1">
      <c r="A79" s="1158" t="str">
        <f>head27a</f>
        <v>References</v>
      </c>
      <c r="B79" s="707"/>
      <c r="L79" s="1465"/>
      <c r="M79" s="1465"/>
    </row>
    <row r="80" spans="1:13" ht="11.25" customHeight="1">
      <c r="A80" s="1159" t="s">
        <v>511</v>
      </c>
      <c r="B80" s="707"/>
    </row>
    <row r="81" spans="1:11" ht="11.25" customHeight="1">
      <c r="A81" s="1159" t="s">
        <v>512</v>
      </c>
      <c r="B81" s="707"/>
    </row>
    <row r="82" spans="1:11" ht="11.25" customHeight="1">
      <c r="A82" s="1159" t="s">
        <v>513</v>
      </c>
      <c r="B82" s="707"/>
    </row>
    <row r="83" spans="1:11" ht="11.25" customHeight="1">
      <c r="A83" s="1159" t="s">
        <v>514</v>
      </c>
      <c r="B83" s="1160"/>
      <c r="C83" s="1160"/>
      <c r="D83" s="1160"/>
      <c r="E83" s="1160"/>
      <c r="F83" s="1160"/>
      <c r="G83" s="1160"/>
      <c r="H83" s="1160"/>
      <c r="I83" s="1160"/>
      <c r="J83" s="1160"/>
      <c r="K83" s="1160"/>
    </row>
    <row r="84" spans="1:11" ht="11.25" customHeight="1">
      <c r="A84" s="1159" t="s">
        <v>515</v>
      </c>
      <c r="B84" s="1160"/>
      <c r="C84" s="1160"/>
      <c r="D84" s="1160"/>
      <c r="E84" s="1160"/>
      <c r="F84" s="1160"/>
      <c r="G84" s="1160"/>
      <c r="H84" s="1160"/>
      <c r="I84" s="1160"/>
      <c r="J84" s="1160"/>
      <c r="K84" s="1160"/>
    </row>
    <row r="85" spans="1:11" ht="11.25" customHeight="1">
      <c r="A85" s="1159" t="s">
        <v>516</v>
      </c>
      <c r="B85" s="1160"/>
      <c r="C85" s="1160"/>
      <c r="D85" s="1160"/>
      <c r="E85" s="1160"/>
      <c r="F85" s="1160"/>
      <c r="G85" s="1160"/>
      <c r="H85" s="1160"/>
      <c r="I85" s="1160"/>
      <c r="J85" s="1160"/>
      <c r="K85" s="1160"/>
    </row>
    <row r="86" spans="1:11" ht="11.25" customHeight="1">
      <c r="A86" s="1159" t="s">
        <v>747</v>
      </c>
      <c r="B86" s="1160"/>
      <c r="C86" s="1160"/>
      <c r="D86" s="1160"/>
      <c r="E86" s="1160"/>
      <c r="F86" s="1160"/>
      <c r="G86" s="1160"/>
      <c r="H86" s="1160"/>
      <c r="I86" s="1160"/>
      <c r="J86" s="1160"/>
      <c r="K86" s="1160"/>
    </row>
    <row r="87" spans="1:11" ht="11.25" customHeight="1">
      <c r="A87" s="1159" t="s">
        <v>822</v>
      </c>
      <c r="B87" s="1160"/>
      <c r="C87" s="1160"/>
      <c r="D87" s="1160"/>
      <c r="E87" s="1160"/>
      <c r="F87" s="1160"/>
      <c r="G87" s="1160"/>
      <c r="H87" s="1160"/>
      <c r="I87" s="1160"/>
      <c r="J87" s="1160"/>
      <c r="K87" s="1160"/>
    </row>
    <row r="88" spans="1:11" ht="11.25" customHeight="1">
      <c r="A88" s="1159" t="s">
        <v>1550</v>
      </c>
      <c r="B88" s="1159"/>
      <c r="C88" s="1160"/>
      <c r="D88" s="1160"/>
      <c r="E88" s="1160"/>
      <c r="F88" s="1160"/>
      <c r="G88" s="1160"/>
      <c r="H88" s="1160"/>
      <c r="I88" s="1160"/>
      <c r="J88" s="1160"/>
      <c r="K88" s="1160"/>
    </row>
    <row r="89" spans="1:11" ht="11.25" customHeight="1">
      <c r="A89" s="1160"/>
      <c r="B89" s="1160"/>
      <c r="C89" s="1160"/>
      <c r="D89" s="1160"/>
      <c r="E89" s="1160"/>
      <c r="F89" s="1160"/>
      <c r="G89" s="1160"/>
      <c r="H89" s="1160"/>
      <c r="I89" s="1160"/>
      <c r="J89" s="1160"/>
      <c r="K89" s="1160"/>
    </row>
    <row r="90" spans="1:11" ht="11.25" customHeight="1">
      <c r="A90" s="1160"/>
      <c r="B90" s="1160"/>
      <c r="C90" s="1160"/>
      <c r="D90" s="1160"/>
      <c r="E90" s="1160"/>
      <c r="F90" s="1160"/>
      <c r="G90" s="1160"/>
      <c r="H90" s="1160"/>
      <c r="I90" s="1160"/>
      <c r="J90" s="1160"/>
      <c r="K90" s="1160"/>
    </row>
    <row r="91" spans="1:11" ht="11.25" customHeight="1">
      <c r="A91" s="2509" t="s">
        <v>2238</v>
      </c>
      <c r="B91" s="1160"/>
      <c r="D91" s="1160"/>
      <c r="E91" s="1160"/>
      <c r="F91" s="1160"/>
      <c r="G91" s="1160"/>
      <c r="H91" s="1160"/>
      <c r="I91" s="1160"/>
      <c r="J91" s="1160"/>
      <c r="K91" s="1160"/>
    </row>
    <row r="92" spans="1:11" ht="11.25" customHeight="1">
      <c r="A92" s="2510" t="s">
        <v>2236</v>
      </c>
      <c r="B92" s="1160"/>
      <c r="C92" s="2497">
        <f>C15-'SA9'!E76</f>
        <v>52589</v>
      </c>
      <c r="D92" s="2497">
        <f>D15-'SA9'!F76</f>
        <v>55888.55</v>
      </c>
      <c r="E92" s="2497">
        <f>E15-'SA9'!G76</f>
        <v>57982.977500000001</v>
      </c>
      <c r="F92" s="2497">
        <f>F15-'SA9'!H76</f>
        <v>64093.425578437498</v>
      </c>
      <c r="G92" s="2497">
        <f>G15-'SA9'!I76</f>
        <v>64093.425578437498</v>
      </c>
      <c r="H92" s="2497">
        <f>H15-'SA9'!J76</f>
        <v>64093.425578437498</v>
      </c>
      <c r="I92" s="2497">
        <f>I15-'SA9'!K76</f>
        <v>128934</v>
      </c>
      <c r="J92" s="2497">
        <f>J15-'SA9'!L76</f>
        <v>135379</v>
      </c>
      <c r="K92" s="2497">
        <f>K15-'SA9'!M76</f>
        <v>142149</v>
      </c>
    </row>
    <row r="93" spans="1:11" ht="11.25" customHeight="1">
      <c r="A93" s="2510" t="s">
        <v>957</v>
      </c>
      <c r="B93" s="1160"/>
      <c r="C93" s="2497">
        <f>C27-'SA9'!E88</f>
        <v>49948</v>
      </c>
      <c r="D93" s="2497">
        <f>D27-'SA9'!F88</f>
        <v>58356.9</v>
      </c>
      <c r="E93" s="2497">
        <f>E27-'SA9'!G88</f>
        <v>61274.745000000003</v>
      </c>
      <c r="F93" s="2497">
        <f>F27-'SA9'!H88</f>
        <v>63758.124924374999</v>
      </c>
      <c r="G93" s="2497">
        <f>G27-'SA9'!I88</f>
        <v>66693.455049374999</v>
      </c>
      <c r="H93" s="2497">
        <f>H27-'SA9'!J88</f>
        <v>69775.551680625009</v>
      </c>
      <c r="I93" s="2497">
        <f>I27-'SA9'!K88</f>
        <v>130941</v>
      </c>
      <c r="J93" s="2497">
        <f>J27-'SA9'!L88</f>
        <v>137488</v>
      </c>
      <c r="K93" s="2497">
        <f>K27-'SA9'!M88</f>
        <v>144362</v>
      </c>
    </row>
    <row r="94" spans="1:11" ht="11.25" customHeight="1">
      <c r="A94" s="2510" t="s">
        <v>2237</v>
      </c>
      <c r="B94" s="1160"/>
      <c r="C94" s="2497">
        <f>C36-'SA9'!E97</f>
        <v>0</v>
      </c>
      <c r="D94" s="2497">
        <f>D36-'SA9'!F97</f>
        <v>0</v>
      </c>
      <c r="E94" s="2497">
        <f>E36-'SA9'!G97</f>
        <v>0</v>
      </c>
      <c r="F94" s="2497">
        <f>F36-'SA9'!H97</f>
        <v>0</v>
      </c>
      <c r="G94" s="2497">
        <f>G36-'SA9'!I97</f>
        <v>0</v>
      </c>
      <c r="H94" s="2497">
        <f>H36-'SA9'!J97</f>
        <v>0</v>
      </c>
      <c r="I94" s="2497">
        <f>I36-'SA9'!K97</f>
        <v>0</v>
      </c>
      <c r="J94" s="2497">
        <f>J36-'SA9'!L97</f>
        <v>0</v>
      </c>
      <c r="K94" s="2497">
        <f>K36-'SA9'!M97</f>
        <v>0</v>
      </c>
    </row>
    <row r="95" spans="1:11" ht="11.25" customHeight="1">
      <c r="A95" s="2510" t="s">
        <v>1291</v>
      </c>
      <c r="B95" s="1160"/>
      <c r="C95" s="2497">
        <f>C46-'SA9'!E107</f>
        <v>121000</v>
      </c>
      <c r="D95" s="2497">
        <f>D46-'SA9'!F107</f>
        <v>53550</v>
      </c>
      <c r="E95" s="2497">
        <f>E46-'SA9'!G107</f>
        <v>100500</v>
      </c>
      <c r="F95" s="2497">
        <f>F46-'SA9'!H107</f>
        <v>23180.0625</v>
      </c>
      <c r="G95" s="2497">
        <f>G46-'SA9'!I107</f>
        <v>23180.0625</v>
      </c>
      <c r="H95" s="2497">
        <f>H46-'SA9'!J107</f>
        <v>23180.0625</v>
      </c>
      <c r="I95" s="2497">
        <f>I46-'SA9'!K107</f>
        <v>151206</v>
      </c>
      <c r="J95" s="2497">
        <f>J46-'SA9'!L107</f>
        <v>158766</v>
      </c>
      <c r="K95" s="2497">
        <f>K46-'SA9'!M107</f>
        <v>166706</v>
      </c>
    </row>
    <row r="96" spans="1:11" ht="11.25" customHeight="1">
      <c r="A96" s="1160"/>
      <c r="B96" s="1160"/>
      <c r="C96" s="1160"/>
      <c r="D96" s="1160"/>
      <c r="E96" s="1160"/>
      <c r="F96" s="1160"/>
      <c r="G96" s="1160"/>
      <c r="H96" s="1160"/>
      <c r="I96" s="1160"/>
      <c r="J96" s="1160"/>
      <c r="K96" s="1160"/>
    </row>
    <row r="97" spans="1:11" ht="11.25" customHeight="1">
      <c r="A97" s="1160"/>
      <c r="B97" s="1160"/>
      <c r="C97" s="1160"/>
      <c r="D97" s="1160"/>
      <c r="E97" s="1160"/>
      <c r="F97" s="1160"/>
      <c r="G97" s="1160"/>
      <c r="H97" s="1160"/>
      <c r="I97" s="1160"/>
      <c r="J97" s="1160"/>
      <c r="K97" s="1160"/>
    </row>
    <row r="98" spans="1:11" ht="11.25" customHeight="1">
      <c r="A98" s="1160"/>
      <c r="B98" s="1160"/>
      <c r="C98" s="1160"/>
      <c r="D98" s="1160"/>
      <c r="E98" s="1160"/>
      <c r="F98" s="1160"/>
      <c r="G98" s="1160"/>
      <c r="H98" s="1160"/>
      <c r="I98" s="1160"/>
      <c r="J98" s="1160"/>
      <c r="K98" s="1160"/>
    </row>
    <row r="99" spans="1:11" ht="11.25" customHeight="1">
      <c r="B99" s="707"/>
    </row>
    <row r="100" spans="1:11" ht="11.25" customHeight="1">
      <c r="B100" s="707"/>
    </row>
    <row r="101" spans="1:11" ht="11.25" customHeight="1">
      <c r="B101" s="707"/>
    </row>
    <row r="102" spans="1:11" ht="11.25" customHeight="1">
      <c r="B102" s="707"/>
    </row>
    <row r="103" spans="1:11" ht="11.25" customHeight="1">
      <c r="B103" s="707"/>
    </row>
    <row r="104" spans="1:11" ht="11.25" customHeight="1">
      <c r="B104" s="707"/>
    </row>
    <row r="105" spans="1:11" ht="11.25" customHeight="1">
      <c r="B105" s="707"/>
    </row>
    <row r="106" spans="1:11" ht="11.25" customHeight="1">
      <c r="B106" s="707"/>
    </row>
    <row r="107" spans="1:11" ht="11.25" customHeight="1">
      <c r="B107" s="707"/>
    </row>
    <row r="108" spans="1:11" ht="11.25" customHeight="1">
      <c r="B108" s="707"/>
    </row>
    <row r="109" spans="1:11" ht="11.25" customHeight="1">
      <c r="B109" s="707"/>
    </row>
    <row r="110" spans="1:11" ht="11.25" customHeight="1">
      <c r="B110" s="707"/>
    </row>
    <row r="111" spans="1:11" ht="11.25" customHeight="1">
      <c r="B111" s="707"/>
    </row>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password="C646" sheet="1" objects="1" scenarios="1"/>
  <mergeCells count="4">
    <mergeCell ref="F2:H2"/>
    <mergeCell ref="I2:K2"/>
    <mergeCell ref="A2:A3"/>
    <mergeCell ref="B2:B3"/>
  </mergeCells>
  <phoneticPr fontId="5" type="noConversion"/>
  <dataValidations count="1">
    <dataValidation type="decimal" allowBlank="1" showInputMessage="1" showErrorMessage="1" sqref="C6:K9 C11:K13 C17:K21 C23:K25 C29:K30 C32:K34 C38:K38 C40:K44 C49:K52 C54:K58 C62:K67 C69:K77">
      <formula1>-9999999999999990000</formula1>
      <formula2>99999999999999900000</formula2>
    </dataValidation>
  </dataValidations>
  <printOptions horizontalCentered="1"/>
  <pageMargins left="0" right="0" top="0.17" bottom="0.19" header="0.17" footer="0.19"/>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AJ288"/>
  <sheetViews>
    <sheetView showGridLines="0" topLeftCell="A14" workbookViewId="0">
      <selection activeCell="O18" sqref="O18"/>
    </sheetView>
  </sheetViews>
  <sheetFormatPr baseColWidth="10" defaultColWidth="8.83203125" defaultRowHeight="12" x14ac:dyDescent="0"/>
  <cols>
    <col min="19" max="22" width="8.83203125" style="1520"/>
    <col min="23" max="23" width="19.6640625" style="1521" customWidth="1"/>
    <col min="24" max="25" width="8.83203125" style="1521"/>
    <col min="26" max="26" width="8.83203125" style="1520"/>
    <col min="27" max="27" width="13" style="1520" customWidth="1"/>
    <col min="28" max="28" width="24.83203125" style="1520" customWidth="1"/>
    <col min="29" max="36" width="8.83203125" style="1520"/>
  </cols>
  <sheetData>
    <row r="2" spans="4:29">
      <c r="D2">
        <v>2020</v>
      </c>
    </row>
    <row r="4" spans="4:29">
      <c r="X4" s="1522" t="s">
        <v>427</v>
      </c>
    </row>
    <row r="5" spans="4:29">
      <c r="X5" s="1522" t="s">
        <v>828</v>
      </c>
    </row>
    <row r="6" spans="4:29">
      <c r="AB6" s="1526"/>
      <c r="AC6" s="1447"/>
    </row>
    <row r="7" spans="4:29">
      <c r="W7" s="1522" t="s">
        <v>889</v>
      </c>
      <c r="X7" s="1522" t="s">
        <v>264</v>
      </c>
      <c r="AB7" s="1526"/>
      <c r="AC7" s="1449"/>
    </row>
    <row r="8" spans="4:29">
      <c r="X8" s="1522" t="s">
        <v>1808</v>
      </c>
      <c r="AB8" s="1526"/>
      <c r="AC8" s="1447"/>
    </row>
    <row r="9" spans="4:29">
      <c r="AB9" s="1526"/>
      <c r="AC9" s="1447"/>
    </row>
    <row r="10" spans="4:29">
      <c r="AB10" s="1526"/>
      <c r="AC10" s="1447"/>
    </row>
    <row r="11" spans="4:29">
      <c r="AB11" s="1526"/>
      <c r="AC11" s="1447"/>
    </row>
    <row r="12" spans="4:29">
      <c r="AB12" s="1526"/>
      <c r="AC12" s="1447"/>
    </row>
    <row r="13" spans="4:29">
      <c r="AB13" s="1526"/>
      <c r="AC13" s="1449"/>
    </row>
    <row r="14" spans="4:29">
      <c r="AB14" s="1526"/>
      <c r="AC14" s="1447"/>
    </row>
    <row r="15" spans="4:29">
      <c r="AB15" s="1526"/>
      <c r="AC15" s="1440"/>
    </row>
    <row r="16" spans="4:29">
      <c r="AB16" s="1526"/>
      <c r="AC16" s="1440"/>
    </row>
    <row r="17" spans="23:29">
      <c r="W17" s="1522" t="s">
        <v>888</v>
      </c>
      <c r="X17" s="1522">
        <v>2008</v>
      </c>
      <c r="AB17" s="1526"/>
      <c r="AC17" s="1440"/>
    </row>
    <row r="18" spans="23:29">
      <c r="X18" s="1522">
        <v>2009</v>
      </c>
      <c r="AB18" s="1526"/>
      <c r="AC18" s="1440"/>
    </row>
    <row r="19" spans="23:29">
      <c r="X19" s="1522">
        <v>2010</v>
      </c>
      <c r="AB19" s="1526"/>
      <c r="AC19" s="1440"/>
    </row>
    <row r="20" spans="23:29">
      <c r="X20" s="1522">
        <v>2011</v>
      </c>
      <c r="AB20" s="1526"/>
      <c r="AC20" s="1440"/>
    </row>
    <row r="21" spans="23:29">
      <c r="X21" s="1522">
        <v>2012</v>
      </c>
      <c r="AB21" s="1526"/>
      <c r="AC21" s="1440"/>
    </row>
    <row r="22" spans="23:29">
      <c r="X22" s="1522">
        <v>2013</v>
      </c>
      <c r="AB22" s="1526"/>
      <c r="AC22" s="1440"/>
    </row>
    <row r="23" spans="23:29">
      <c r="X23" s="1522">
        <v>2014</v>
      </c>
      <c r="AB23" s="1526"/>
      <c r="AC23" s="1440"/>
    </row>
    <row r="24" spans="23:29">
      <c r="X24" s="1522">
        <v>2015</v>
      </c>
      <c r="AB24" s="1526"/>
      <c r="AC24" s="1440"/>
    </row>
    <row r="25" spans="23:29">
      <c r="X25" s="1522">
        <v>2016</v>
      </c>
      <c r="AB25" s="1526"/>
      <c r="AC25" s="1440"/>
    </row>
    <row r="26" spans="23:29">
      <c r="X26" s="1522">
        <v>2017</v>
      </c>
      <c r="AB26" s="1526"/>
      <c r="AC26" s="1440"/>
    </row>
    <row r="27" spans="23:29">
      <c r="X27" s="1522">
        <v>2018</v>
      </c>
      <c r="AB27" s="1526"/>
      <c r="AC27" s="1440"/>
    </row>
    <row r="28" spans="23:29">
      <c r="X28" s="1522">
        <v>2019</v>
      </c>
      <c r="AB28" s="1526"/>
      <c r="AC28" s="1440"/>
    </row>
    <row r="29" spans="23:29">
      <c r="X29" s="1522">
        <v>2020</v>
      </c>
      <c r="AB29" s="1526"/>
      <c r="AC29" s="1440"/>
    </row>
    <row r="30" spans="23:29">
      <c r="X30" s="1522">
        <v>2021</v>
      </c>
      <c r="AB30" s="1526"/>
      <c r="AC30" s="1440"/>
    </row>
    <row r="31" spans="23:29">
      <c r="X31" s="1522">
        <v>2022</v>
      </c>
      <c r="AB31" s="1526"/>
      <c r="AC31" s="1440"/>
    </row>
    <row r="32" spans="23:29">
      <c r="AB32" s="1526"/>
      <c r="AC32" s="1440"/>
    </row>
    <row r="33" spans="15:29">
      <c r="W33" s="1522" t="s">
        <v>1809</v>
      </c>
      <c r="X33" s="1521">
        <v>6</v>
      </c>
      <c r="AB33" s="1526"/>
      <c r="AC33" s="1446"/>
    </row>
    <row r="34" spans="15:29">
      <c r="W34" s="1522" t="s">
        <v>1807</v>
      </c>
      <c r="X34" s="1523">
        <f>INDEX(X17:X31,X33,1)</f>
        <v>2013</v>
      </c>
      <c r="AB34" s="1526"/>
      <c r="AC34" s="1453"/>
    </row>
    <row r="35" spans="15:29">
      <c r="AB35" s="1526"/>
      <c r="AC35" s="1453"/>
    </row>
    <row r="36" spans="15:29">
      <c r="W36" s="1522" t="s">
        <v>1810</v>
      </c>
      <c r="X36" s="1524" t="str">
        <f>MTREF&amp;"/"&amp;RIGHT(MTREF,2)+1</f>
        <v>2013/14</v>
      </c>
      <c r="AB36" s="1526"/>
      <c r="AC36" s="1440"/>
    </row>
    <row r="37" spans="15:29">
      <c r="O37" s="2062"/>
      <c r="AB37" s="1526"/>
      <c r="AC37" s="1440"/>
    </row>
    <row r="38" spans="15:29">
      <c r="O38" s="2062"/>
      <c r="AB38" s="1526"/>
      <c r="AC38" s="1440"/>
    </row>
    <row r="39" spans="15:29">
      <c r="O39" s="2062"/>
      <c r="AB39" s="1526"/>
      <c r="AC39" s="1440"/>
    </row>
    <row r="40" spans="15:29">
      <c r="O40" s="2063"/>
      <c r="AB40" s="1526"/>
      <c r="AC40" s="1440"/>
    </row>
    <row r="41" spans="15:29">
      <c r="AB41" s="1526"/>
      <c r="AC41" s="1440"/>
    </row>
    <row r="42" spans="15:29">
      <c r="AB42" s="1526"/>
      <c r="AC42" s="1440"/>
    </row>
    <row r="43" spans="15:29">
      <c r="AB43" s="1526"/>
      <c r="AC43" s="1440"/>
    </row>
    <row r="44" spans="15:29">
      <c r="AB44" s="1526"/>
      <c r="AC44" s="1440"/>
    </row>
    <row r="45" spans="15:29">
      <c r="AB45" s="1526"/>
      <c r="AC45" s="1440"/>
    </row>
    <row r="46" spans="15:29">
      <c r="AB46" s="1526"/>
      <c r="AC46" s="1440"/>
    </row>
    <row r="47" spans="15:29">
      <c r="AB47" s="1526"/>
      <c r="AC47" s="1440"/>
    </row>
    <row r="48" spans="15:29">
      <c r="AB48" s="1526"/>
      <c r="AC48" s="1440"/>
    </row>
    <row r="49" spans="28:29">
      <c r="AB49" s="1526"/>
      <c r="AC49" s="1440"/>
    </row>
    <row r="50" spans="28:29">
      <c r="AB50" s="1526"/>
      <c r="AC50" s="1440"/>
    </row>
    <row r="51" spans="28:29">
      <c r="AB51" s="1526"/>
      <c r="AC51" s="1440"/>
    </row>
    <row r="52" spans="28:29">
      <c r="AB52" s="1526"/>
      <c r="AC52" s="1440"/>
    </row>
    <row r="53" spans="28:29">
      <c r="AB53" s="1526"/>
      <c r="AC53" s="1440"/>
    </row>
    <row r="54" spans="28:29">
      <c r="AB54" s="1526"/>
      <c r="AC54" s="1440"/>
    </row>
    <row r="55" spans="28:29">
      <c r="AB55" s="1526"/>
      <c r="AC55" s="1440"/>
    </row>
    <row r="56" spans="28:29">
      <c r="AB56" s="1526"/>
      <c r="AC56" s="1440"/>
    </row>
    <row r="57" spans="28:29">
      <c r="AB57" s="1526"/>
      <c r="AC57" s="1440"/>
    </row>
    <row r="58" spans="28:29">
      <c r="AB58" s="1526"/>
      <c r="AC58" s="1440"/>
    </row>
    <row r="59" spans="28:29">
      <c r="AB59" s="1526"/>
      <c r="AC59" s="1440"/>
    </row>
    <row r="60" spans="28:29">
      <c r="AB60" s="1526"/>
      <c r="AC60" s="1440"/>
    </row>
    <row r="61" spans="28:29">
      <c r="AB61" s="1526"/>
      <c r="AC61" s="1440"/>
    </row>
    <row r="62" spans="28:29">
      <c r="AB62" s="1526"/>
      <c r="AC62" s="1440"/>
    </row>
    <row r="63" spans="28:29">
      <c r="AB63" s="1526"/>
      <c r="AC63" s="1440"/>
    </row>
    <row r="64" spans="28:29">
      <c r="AB64" s="1526"/>
      <c r="AC64" s="1440"/>
    </row>
    <row r="65" spans="28:29">
      <c r="AB65" s="1526"/>
      <c r="AC65" s="1440"/>
    </row>
    <row r="66" spans="28:29">
      <c r="AB66" s="1526"/>
      <c r="AC66" s="1440"/>
    </row>
    <row r="67" spans="28:29">
      <c r="AB67" s="1526"/>
      <c r="AC67" s="1440"/>
    </row>
    <row r="68" spans="28:29">
      <c r="AB68" s="1526"/>
      <c r="AC68" s="1440"/>
    </row>
    <row r="69" spans="28:29">
      <c r="AB69" s="1526"/>
      <c r="AC69" s="1440"/>
    </row>
    <row r="70" spans="28:29">
      <c r="AB70" s="1526"/>
      <c r="AC70" s="1440"/>
    </row>
    <row r="71" spans="28:29">
      <c r="AB71" s="1526"/>
      <c r="AC71" s="1440"/>
    </row>
    <row r="72" spans="28:29">
      <c r="AB72" s="1526"/>
      <c r="AC72" s="1440"/>
    </row>
    <row r="73" spans="28:29">
      <c r="AB73" s="1526"/>
      <c r="AC73" s="1440"/>
    </row>
    <row r="74" spans="28:29">
      <c r="AB74" s="1526"/>
      <c r="AC74" s="1440"/>
    </row>
    <row r="75" spans="28:29">
      <c r="AB75" s="1526"/>
      <c r="AC75" s="1440"/>
    </row>
    <row r="76" spans="28:29">
      <c r="AB76" s="1526"/>
      <c r="AC76" s="1440"/>
    </row>
    <row r="77" spans="28:29">
      <c r="AB77" s="1526"/>
      <c r="AC77" s="1440"/>
    </row>
    <row r="78" spans="28:29">
      <c r="AB78" s="1526"/>
      <c r="AC78" s="1440"/>
    </row>
    <row r="79" spans="28:29">
      <c r="AB79" s="1526"/>
      <c r="AC79" s="1440"/>
    </row>
    <row r="80" spans="28:29">
      <c r="AB80" s="1526"/>
      <c r="AC80" s="1440"/>
    </row>
    <row r="81" spans="28:29">
      <c r="AB81" s="1526"/>
      <c r="AC81" s="1440"/>
    </row>
    <row r="82" spans="28:29">
      <c r="AB82" s="1526"/>
      <c r="AC82" s="1440"/>
    </row>
    <row r="83" spans="28:29">
      <c r="AB83" s="1526"/>
      <c r="AC83" s="1440"/>
    </row>
    <row r="84" spans="28:29">
      <c r="AB84" s="1526"/>
      <c r="AC84" s="1440"/>
    </row>
    <row r="85" spans="28:29">
      <c r="AB85" s="1526"/>
      <c r="AC85" s="1440"/>
    </row>
    <row r="86" spans="28:29">
      <c r="AB86" s="1526"/>
      <c r="AC86" s="1440"/>
    </row>
    <row r="87" spans="28:29">
      <c r="AB87" s="1526"/>
      <c r="AC87" s="1440"/>
    </row>
    <row r="88" spans="28:29">
      <c r="AB88" s="1526"/>
      <c r="AC88" s="1440"/>
    </row>
    <row r="89" spans="28:29">
      <c r="AB89" s="1526"/>
      <c r="AC89" s="1440"/>
    </row>
    <row r="90" spans="28:29">
      <c r="AB90" s="1526"/>
      <c r="AC90" s="1440"/>
    </row>
    <row r="91" spans="28:29">
      <c r="AB91" s="1526"/>
      <c r="AC91" s="1440"/>
    </row>
    <row r="92" spans="28:29">
      <c r="AB92" s="1526"/>
      <c r="AC92" s="1440"/>
    </row>
    <row r="93" spans="28:29">
      <c r="AB93" s="1526"/>
      <c r="AC93" s="1440"/>
    </row>
    <row r="94" spans="28:29">
      <c r="AB94" s="1526"/>
      <c r="AC94" s="1440"/>
    </row>
    <row r="95" spans="28:29">
      <c r="AB95" s="1526"/>
      <c r="AC95" s="1440"/>
    </row>
    <row r="96" spans="28:29">
      <c r="AB96" s="1526"/>
      <c r="AC96" s="1440"/>
    </row>
    <row r="97" spans="28:29">
      <c r="AB97" s="1526"/>
      <c r="AC97" s="1440"/>
    </row>
    <row r="98" spans="28:29">
      <c r="AB98" s="1526"/>
      <c r="AC98" s="1440"/>
    </row>
    <row r="99" spans="28:29">
      <c r="AB99" s="1526"/>
      <c r="AC99" s="1440"/>
    </row>
    <row r="100" spans="28:29">
      <c r="AB100" s="1526"/>
      <c r="AC100" s="1440"/>
    </row>
    <row r="101" spans="28:29">
      <c r="AB101" s="1526"/>
      <c r="AC101" s="1440"/>
    </row>
    <row r="102" spans="28:29">
      <c r="AB102" s="1526"/>
      <c r="AC102" s="1440"/>
    </row>
    <row r="103" spans="28:29">
      <c r="AB103" s="1526"/>
      <c r="AC103" s="1440"/>
    </row>
    <row r="104" spans="28:29">
      <c r="AB104" s="1526"/>
      <c r="AC104" s="1440"/>
    </row>
    <row r="105" spans="28:29">
      <c r="AB105" s="1526"/>
      <c r="AC105" s="1440"/>
    </row>
    <row r="106" spans="28:29">
      <c r="AB106" s="1526"/>
      <c r="AC106" s="1440"/>
    </row>
    <row r="107" spans="28:29">
      <c r="AB107" s="1526"/>
      <c r="AC107" s="1440"/>
    </row>
    <row r="108" spans="28:29">
      <c r="AB108" s="1526"/>
      <c r="AC108" s="1440"/>
    </row>
    <row r="109" spans="28:29">
      <c r="AB109" s="1526"/>
      <c r="AC109" s="1440"/>
    </row>
    <row r="110" spans="28:29">
      <c r="AB110" s="1526"/>
      <c r="AC110" s="1440"/>
    </row>
    <row r="111" spans="28:29">
      <c r="AB111" s="1526"/>
      <c r="AC111" s="1440"/>
    </row>
    <row r="112" spans="28:29">
      <c r="AB112" s="1526"/>
      <c r="AC112" s="1440"/>
    </row>
    <row r="113" spans="28:29">
      <c r="AB113" s="1526"/>
      <c r="AC113" s="1440"/>
    </row>
    <row r="114" spans="28:29">
      <c r="AB114" s="1526"/>
      <c r="AC114" s="1440"/>
    </row>
    <row r="115" spans="28:29">
      <c r="AB115" s="1526"/>
      <c r="AC115" s="1440"/>
    </row>
    <row r="116" spans="28:29">
      <c r="AB116" s="1526"/>
      <c r="AC116" s="1440"/>
    </row>
    <row r="117" spans="28:29">
      <c r="AB117" s="1526"/>
      <c r="AC117" s="1440"/>
    </row>
    <row r="118" spans="28:29">
      <c r="AB118" s="1526"/>
      <c r="AC118" s="1440"/>
    </row>
    <row r="119" spans="28:29">
      <c r="AB119" s="1526"/>
      <c r="AC119" s="1440"/>
    </row>
    <row r="120" spans="28:29">
      <c r="AB120" s="1526"/>
      <c r="AC120" s="1440"/>
    </row>
    <row r="121" spans="28:29">
      <c r="AB121" s="1526"/>
      <c r="AC121" s="1440"/>
    </row>
    <row r="122" spans="28:29">
      <c r="AB122" s="1526"/>
      <c r="AC122" s="1440"/>
    </row>
    <row r="123" spans="28:29">
      <c r="AB123" s="1526"/>
      <c r="AC123" s="1440"/>
    </row>
    <row r="124" spans="28:29">
      <c r="AB124" s="1526"/>
      <c r="AC124" s="1440"/>
    </row>
    <row r="125" spans="28:29">
      <c r="AB125" s="1526"/>
      <c r="AC125" s="1440"/>
    </row>
    <row r="126" spans="28:29">
      <c r="AB126" s="1526"/>
      <c r="AC126" s="1440"/>
    </row>
    <row r="127" spans="28:29">
      <c r="AB127" s="1526"/>
      <c r="AC127" s="1440"/>
    </row>
    <row r="128" spans="28:29">
      <c r="AB128" s="1526"/>
      <c r="AC128" s="1440"/>
    </row>
    <row r="129" spans="28:29">
      <c r="AB129" s="1526"/>
      <c r="AC129" s="1440"/>
    </row>
    <row r="130" spans="28:29">
      <c r="AB130" s="1526"/>
      <c r="AC130" s="1440"/>
    </row>
    <row r="131" spans="28:29">
      <c r="AB131" s="1526"/>
      <c r="AC131" s="1440"/>
    </row>
    <row r="132" spans="28:29">
      <c r="AB132" s="1526"/>
      <c r="AC132" s="1440"/>
    </row>
    <row r="133" spans="28:29">
      <c r="AB133" s="1526"/>
      <c r="AC133" s="1440"/>
    </row>
    <row r="134" spans="28:29">
      <c r="AB134" s="1526"/>
      <c r="AC134" s="1440"/>
    </row>
    <row r="135" spans="28:29">
      <c r="AB135" s="1526"/>
      <c r="AC135" s="1440"/>
    </row>
    <row r="136" spans="28:29">
      <c r="AB136" s="1526"/>
      <c r="AC136" s="1440"/>
    </row>
    <row r="137" spans="28:29">
      <c r="AB137" s="1526"/>
      <c r="AC137" s="1440"/>
    </row>
    <row r="138" spans="28:29">
      <c r="AB138" s="1526"/>
      <c r="AC138" s="1440"/>
    </row>
    <row r="139" spans="28:29">
      <c r="AB139" s="1526"/>
      <c r="AC139" s="1440"/>
    </row>
    <row r="140" spans="28:29">
      <c r="AB140" s="1526"/>
      <c r="AC140" s="1440"/>
    </row>
    <row r="141" spans="28:29">
      <c r="AB141" s="1526"/>
      <c r="AC141" s="1440"/>
    </row>
    <row r="142" spans="28:29">
      <c r="AB142" s="1526"/>
      <c r="AC142" s="1440"/>
    </row>
    <row r="143" spans="28:29">
      <c r="AB143" s="1526"/>
      <c r="AC143" s="1440"/>
    </row>
    <row r="144" spans="28:29">
      <c r="AB144" s="1526"/>
      <c r="AC144" s="1440"/>
    </row>
    <row r="145" spans="28:29">
      <c r="AB145" s="1526"/>
      <c r="AC145" s="1440"/>
    </row>
    <row r="146" spans="28:29">
      <c r="AB146" s="1526"/>
      <c r="AC146" s="1440"/>
    </row>
    <row r="147" spans="28:29">
      <c r="AB147" s="1526"/>
      <c r="AC147" s="1440"/>
    </row>
    <row r="148" spans="28:29">
      <c r="AB148" s="1526"/>
      <c r="AC148" s="1440"/>
    </row>
    <row r="149" spans="28:29">
      <c r="AB149" s="1526"/>
      <c r="AC149" s="1440"/>
    </row>
    <row r="150" spans="28:29">
      <c r="AB150" s="1526"/>
      <c r="AC150" s="1440"/>
    </row>
    <row r="151" spans="28:29">
      <c r="AB151" s="1526"/>
      <c r="AC151" s="1440"/>
    </row>
    <row r="152" spans="28:29">
      <c r="AB152" s="1526"/>
      <c r="AC152" s="1440"/>
    </row>
    <row r="153" spans="28:29">
      <c r="AB153" s="1526"/>
      <c r="AC153" s="1440"/>
    </row>
    <row r="154" spans="28:29">
      <c r="AB154" s="1526"/>
      <c r="AC154" s="1440"/>
    </row>
    <row r="155" spans="28:29">
      <c r="AB155" s="1526"/>
      <c r="AC155" s="1440"/>
    </row>
    <row r="156" spans="28:29">
      <c r="AB156" s="1526"/>
      <c r="AC156" s="1440"/>
    </row>
    <row r="157" spans="28:29">
      <c r="AB157" s="1526"/>
      <c r="AC157" s="1440"/>
    </row>
    <row r="158" spans="28:29">
      <c r="AB158" s="1526"/>
      <c r="AC158" s="1440"/>
    </row>
    <row r="159" spans="28:29">
      <c r="AB159" s="1526"/>
      <c r="AC159" s="1440"/>
    </row>
    <row r="160" spans="28:29">
      <c r="AB160" s="1526"/>
      <c r="AC160" s="1440"/>
    </row>
    <row r="161" spans="28:29">
      <c r="AB161" s="1526"/>
      <c r="AC161" s="1440"/>
    </row>
    <row r="162" spans="28:29">
      <c r="AB162" s="1526"/>
      <c r="AC162" s="1440"/>
    </row>
    <row r="163" spans="28:29">
      <c r="AB163" s="1526"/>
      <c r="AC163" s="1440"/>
    </row>
    <row r="164" spans="28:29">
      <c r="AB164" s="1526"/>
      <c r="AC164" s="1440"/>
    </row>
    <row r="165" spans="28:29">
      <c r="AB165" s="1526"/>
      <c r="AC165" s="1440"/>
    </row>
    <row r="166" spans="28:29">
      <c r="AB166" s="1526"/>
      <c r="AC166" s="1440"/>
    </row>
    <row r="167" spans="28:29">
      <c r="AB167" s="1526"/>
      <c r="AC167" s="1440"/>
    </row>
    <row r="168" spans="28:29">
      <c r="AB168" s="1526"/>
      <c r="AC168" s="1440"/>
    </row>
    <row r="169" spans="28:29">
      <c r="AB169" s="1526"/>
      <c r="AC169" s="1440"/>
    </row>
    <row r="170" spans="28:29">
      <c r="AB170" s="1526"/>
      <c r="AC170" s="1440"/>
    </row>
    <row r="171" spans="28:29">
      <c r="AB171" s="1526"/>
      <c r="AC171" s="1440"/>
    </row>
    <row r="172" spans="28:29">
      <c r="AB172" s="1526"/>
      <c r="AC172" s="1440"/>
    </row>
    <row r="173" spans="28:29">
      <c r="AB173" s="1526"/>
      <c r="AC173" s="1440"/>
    </row>
    <row r="174" spans="28:29">
      <c r="AB174" s="1526"/>
      <c r="AC174" s="1440"/>
    </row>
    <row r="175" spans="28:29">
      <c r="AB175" s="1526"/>
      <c r="AC175" s="1440"/>
    </row>
    <row r="176" spans="28:29">
      <c r="AB176" s="1526"/>
      <c r="AC176" s="1440"/>
    </row>
    <row r="177" spans="28:29">
      <c r="AB177" s="1526"/>
      <c r="AC177" s="1440"/>
    </row>
    <row r="178" spans="28:29">
      <c r="AB178" s="1526"/>
      <c r="AC178" s="1440"/>
    </row>
    <row r="179" spans="28:29">
      <c r="AB179" s="1526"/>
      <c r="AC179" s="1440"/>
    </row>
    <row r="180" spans="28:29">
      <c r="AB180" s="1526"/>
      <c r="AC180" s="1440"/>
    </row>
    <row r="181" spans="28:29">
      <c r="AB181" s="1526"/>
      <c r="AC181" s="1440"/>
    </row>
    <row r="182" spans="28:29">
      <c r="AB182" s="1526"/>
      <c r="AC182" s="1440"/>
    </row>
    <row r="183" spans="28:29">
      <c r="AB183" s="1526"/>
      <c r="AC183" s="1440"/>
    </row>
    <row r="184" spans="28:29">
      <c r="AB184" s="1526"/>
      <c r="AC184" s="1440"/>
    </row>
    <row r="185" spans="28:29">
      <c r="AB185" s="1526"/>
      <c r="AC185" s="1440"/>
    </row>
    <row r="186" spans="28:29">
      <c r="AB186" s="1526"/>
      <c r="AC186" s="1440"/>
    </row>
    <row r="187" spans="28:29">
      <c r="AB187" s="1526"/>
      <c r="AC187" s="1440"/>
    </row>
    <row r="188" spans="28:29">
      <c r="AB188" s="1526"/>
      <c r="AC188" s="1440"/>
    </row>
    <row r="189" spans="28:29">
      <c r="AB189" s="1526"/>
      <c r="AC189" s="1440"/>
    </row>
    <row r="190" spans="28:29">
      <c r="AB190" s="1526"/>
      <c r="AC190" s="1440"/>
    </row>
    <row r="191" spans="28:29">
      <c r="AB191" s="1526"/>
      <c r="AC191" s="1440"/>
    </row>
    <row r="192" spans="28:29">
      <c r="AB192" s="1526"/>
      <c r="AC192" s="1440"/>
    </row>
    <row r="193" spans="28:29">
      <c r="AB193" s="1526"/>
      <c r="AC193" s="1440"/>
    </row>
    <row r="194" spans="28:29">
      <c r="AB194" s="1526"/>
      <c r="AC194" s="1440"/>
    </row>
    <row r="195" spans="28:29">
      <c r="AB195" s="1526"/>
      <c r="AC195" s="1440"/>
    </row>
    <row r="196" spans="28:29">
      <c r="AB196" s="1526"/>
      <c r="AC196" s="1440"/>
    </row>
    <row r="197" spans="28:29">
      <c r="AB197" s="1526"/>
      <c r="AC197" s="1440"/>
    </row>
    <row r="198" spans="28:29">
      <c r="AB198" s="1526"/>
      <c r="AC198" s="1440"/>
    </row>
    <row r="199" spans="28:29">
      <c r="AB199" s="1526"/>
      <c r="AC199" s="1440"/>
    </row>
    <row r="200" spans="28:29">
      <c r="AB200" s="1526"/>
      <c r="AC200" s="1440"/>
    </row>
    <row r="201" spans="28:29">
      <c r="AB201" s="1526"/>
      <c r="AC201" s="1440"/>
    </row>
    <row r="202" spans="28:29">
      <c r="AB202" s="1526"/>
      <c r="AC202" s="1440"/>
    </row>
    <row r="203" spans="28:29">
      <c r="AB203" s="1526"/>
      <c r="AC203" s="1440"/>
    </row>
    <row r="204" spans="28:29">
      <c r="AB204" s="1526"/>
      <c r="AC204" s="1440"/>
    </row>
    <row r="205" spans="28:29">
      <c r="AB205" s="1526"/>
      <c r="AC205" s="1440"/>
    </row>
    <row r="206" spans="28:29">
      <c r="AB206" s="1526"/>
      <c r="AC206" s="1440"/>
    </row>
    <row r="207" spans="28:29">
      <c r="AB207" s="1526"/>
      <c r="AC207" s="1440"/>
    </row>
    <row r="208" spans="28:29">
      <c r="AB208" s="1526"/>
      <c r="AC208" s="1440"/>
    </row>
    <row r="209" spans="28:29">
      <c r="AB209" s="1526"/>
      <c r="AC209" s="1440"/>
    </row>
    <row r="210" spans="28:29">
      <c r="AB210" s="1526"/>
      <c r="AC210" s="1440"/>
    </row>
    <row r="211" spans="28:29">
      <c r="AB211" s="1526"/>
      <c r="AC211" s="1440"/>
    </row>
    <row r="212" spans="28:29">
      <c r="AB212" s="1526"/>
      <c r="AC212" s="1440"/>
    </row>
    <row r="213" spans="28:29">
      <c r="AB213" s="1526"/>
      <c r="AC213" s="1440"/>
    </row>
    <row r="214" spans="28:29">
      <c r="AB214" s="1526"/>
      <c r="AC214" s="1440"/>
    </row>
    <row r="215" spans="28:29">
      <c r="AB215" s="1526"/>
      <c r="AC215" s="1440"/>
    </row>
    <row r="216" spans="28:29">
      <c r="AB216" s="1526"/>
      <c r="AC216" s="1440"/>
    </row>
    <row r="217" spans="28:29">
      <c r="AB217" s="1526"/>
      <c r="AC217" s="1440"/>
    </row>
    <row r="218" spans="28:29">
      <c r="AB218" s="1526"/>
      <c r="AC218" s="1440"/>
    </row>
    <row r="219" spans="28:29">
      <c r="AB219" s="1526"/>
      <c r="AC219" s="1440"/>
    </row>
    <row r="220" spans="28:29">
      <c r="AB220" s="1526"/>
      <c r="AC220" s="1440"/>
    </row>
    <row r="221" spans="28:29">
      <c r="AB221" s="1526"/>
      <c r="AC221" s="1440"/>
    </row>
    <row r="222" spans="28:29">
      <c r="AB222" s="1526"/>
      <c r="AC222" s="1440"/>
    </row>
    <row r="223" spans="28:29">
      <c r="AB223" s="1526"/>
      <c r="AC223" s="1440"/>
    </row>
    <row r="224" spans="28:29">
      <c r="AB224" s="1526"/>
      <c r="AC224" s="1440"/>
    </row>
    <row r="225" spans="28:29">
      <c r="AB225" s="1526"/>
      <c r="AC225" s="1440"/>
    </row>
    <row r="226" spans="28:29">
      <c r="AB226" s="1526"/>
      <c r="AC226" s="1440"/>
    </row>
    <row r="227" spans="28:29">
      <c r="AB227" s="1526"/>
      <c r="AC227" s="1440"/>
    </row>
    <row r="228" spans="28:29">
      <c r="AB228" s="1526"/>
      <c r="AC228" s="1440"/>
    </row>
    <row r="229" spans="28:29">
      <c r="AB229" s="1526"/>
      <c r="AC229" s="1440"/>
    </row>
    <row r="230" spans="28:29">
      <c r="AB230" s="1526"/>
      <c r="AC230" s="1440"/>
    </row>
    <row r="231" spans="28:29">
      <c r="AB231" s="1526"/>
      <c r="AC231" s="1440"/>
    </row>
    <row r="232" spans="28:29">
      <c r="AB232" s="1526"/>
      <c r="AC232" s="1440"/>
    </row>
    <row r="233" spans="28:29">
      <c r="AB233" s="1526"/>
      <c r="AC233" s="1440"/>
    </row>
    <row r="234" spans="28:29">
      <c r="AB234" s="1526"/>
      <c r="AC234" s="1440"/>
    </row>
    <row r="235" spans="28:29">
      <c r="AB235" s="1526"/>
      <c r="AC235" s="1440"/>
    </row>
    <row r="236" spans="28:29">
      <c r="AB236" s="1526"/>
      <c r="AC236" s="1440"/>
    </row>
    <row r="237" spans="28:29">
      <c r="AB237" s="1526"/>
      <c r="AC237" s="1440"/>
    </row>
    <row r="238" spans="28:29">
      <c r="AB238" s="1526"/>
      <c r="AC238" s="1440"/>
    </row>
    <row r="239" spans="28:29">
      <c r="AB239" s="1526"/>
      <c r="AC239" s="1440"/>
    </row>
    <row r="240" spans="28:29">
      <c r="AB240" s="1526"/>
      <c r="AC240" s="1440"/>
    </row>
    <row r="241" spans="28:29">
      <c r="AB241" s="1526"/>
      <c r="AC241" s="1440"/>
    </row>
    <row r="242" spans="28:29">
      <c r="AB242" s="1526"/>
      <c r="AC242" s="1440"/>
    </row>
    <row r="243" spans="28:29">
      <c r="AB243" s="1526"/>
      <c r="AC243" s="1440"/>
    </row>
    <row r="244" spans="28:29">
      <c r="AB244" s="1526"/>
      <c r="AC244" s="1440"/>
    </row>
    <row r="245" spans="28:29">
      <c r="AB245" s="1526"/>
      <c r="AC245" s="1440"/>
    </row>
    <row r="246" spans="28:29">
      <c r="AB246" s="1526"/>
      <c r="AC246" s="1440"/>
    </row>
    <row r="247" spans="28:29">
      <c r="AB247" s="1526"/>
      <c r="AC247" s="1440"/>
    </row>
    <row r="248" spans="28:29">
      <c r="AB248" s="1526"/>
      <c r="AC248" s="1440"/>
    </row>
    <row r="249" spans="28:29">
      <c r="AB249" s="1526"/>
      <c r="AC249" s="1440"/>
    </row>
    <row r="250" spans="28:29">
      <c r="AB250" s="1526"/>
      <c r="AC250" s="1440"/>
    </row>
    <row r="251" spans="28:29">
      <c r="AB251" s="1526"/>
      <c r="AC251" s="1440"/>
    </row>
    <row r="252" spans="28:29">
      <c r="AB252" s="1526"/>
      <c r="AC252" s="1440"/>
    </row>
    <row r="253" spans="28:29">
      <c r="AB253" s="1526"/>
      <c r="AC253" s="1440"/>
    </row>
    <row r="254" spans="28:29">
      <c r="AB254" s="1526"/>
      <c r="AC254" s="1440"/>
    </row>
    <row r="255" spans="28:29">
      <c r="AB255" s="1526"/>
      <c r="AC255" s="1440"/>
    </row>
    <row r="256" spans="28:29">
      <c r="AB256" s="1526"/>
      <c r="AC256" s="1440"/>
    </row>
    <row r="257" spans="28:29">
      <c r="AB257" s="1526"/>
      <c r="AC257" s="1440"/>
    </row>
    <row r="258" spans="28:29">
      <c r="AB258" s="1526"/>
      <c r="AC258" s="1440"/>
    </row>
    <row r="259" spans="28:29">
      <c r="AB259" s="1526"/>
      <c r="AC259" s="1440"/>
    </row>
    <row r="260" spans="28:29">
      <c r="AB260" s="1526"/>
      <c r="AC260" s="1440"/>
    </row>
    <row r="261" spans="28:29">
      <c r="AB261" s="1526"/>
      <c r="AC261" s="1440"/>
    </row>
    <row r="262" spans="28:29">
      <c r="AB262" s="1526"/>
      <c r="AC262" s="1440"/>
    </row>
    <row r="263" spans="28:29">
      <c r="AB263" s="1526"/>
      <c r="AC263" s="1440"/>
    </row>
    <row r="264" spans="28:29">
      <c r="AB264" s="1526"/>
      <c r="AC264" s="1440"/>
    </row>
    <row r="265" spans="28:29">
      <c r="AB265" s="1526"/>
      <c r="AC265" s="1440"/>
    </row>
    <row r="266" spans="28:29">
      <c r="AB266" s="1526"/>
      <c r="AC266" s="1440"/>
    </row>
    <row r="267" spans="28:29">
      <c r="AB267" s="1526"/>
      <c r="AC267" s="1440"/>
    </row>
    <row r="268" spans="28:29">
      <c r="AB268" s="1526"/>
      <c r="AC268" s="1440"/>
    </row>
    <row r="269" spans="28:29">
      <c r="AB269" s="1526"/>
      <c r="AC269" s="1440"/>
    </row>
    <row r="270" spans="28:29">
      <c r="AB270" s="1526"/>
      <c r="AC270" s="1440"/>
    </row>
    <row r="271" spans="28:29">
      <c r="AB271" s="1526"/>
      <c r="AC271" s="1440"/>
    </row>
    <row r="272" spans="28:29">
      <c r="AB272" s="1526"/>
      <c r="AC272" s="1440"/>
    </row>
    <row r="273" spans="28:29">
      <c r="AB273" s="1526"/>
      <c r="AC273" s="1440"/>
    </row>
    <row r="274" spans="28:29">
      <c r="AB274" s="1526"/>
      <c r="AC274" s="1440"/>
    </row>
    <row r="275" spans="28:29">
      <c r="AB275" s="1526"/>
      <c r="AC275" s="1440"/>
    </row>
    <row r="276" spans="28:29">
      <c r="AB276" s="1526"/>
      <c r="AC276" s="1440"/>
    </row>
    <row r="277" spans="28:29">
      <c r="AB277" s="1526"/>
      <c r="AC277" s="1440"/>
    </row>
    <row r="278" spans="28:29">
      <c r="AB278" s="1526"/>
      <c r="AC278" s="1440"/>
    </row>
    <row r="279" spans="28:29">
      <c r="AB279" s="1526"/>
      <c r="AC279" s="1440"/>
    </row>
    <row r="280" spans="28:29">
      <c r="AB280" s="1526"/>
      <c r="AC280" s="1440"/>
    </row>
    <row r="281" spans="28:29">
      <c r="AB281" s="1526"/>
      <c r="AC281" s="1440"/>
    </row>
    <row r="282" spans="28:29">
      <c r="AB282" s="1526"/>
      <c r="AC282" s="1440"/>
    </row>
    <row r="283" spans="28:29">
      <c r="AB283" s="1526"/>
      <c r="AC283" s="1440"/>
    </row>
    <row r="284" spans="28:29">
      <c r="AB284" s="1526"/>
      <c r="AC284" s="1440"/>
    </row>
    <row r="285" spans="28:29">
      <c r="AB285" s="1526"/>
      <c r="AC285" s="1440"/>
    </row>
    <row r="286" spans="28:29">
      <c r="AB286" s="1526"/>
      <c r="AC286" s="1440"/>
    </row>
    <row r="287" spans="28:29">
      <c r="AB287" s="1526"/>
      <c r="AC287" s="1440"/>
    </row>
    <row r="288" spans="28:29">
      <c r="AB288" s="1526"/>
      <c r="AC288" s="1440"/>
    </row>
  </sheetData>
  <sheetProtection sheet="1" objects="1" scenarios="1"/>
  <phoneticPr fontId="5" type="noConversion"/>
  <pageMargins left="0.75" right="0.75" top="1" bottom="1" header="0.5" footer="0.5"/>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123931" r:id="rId3" name="Drop Down 27">
              <controlPr defaultSize="0" autoLine="0" autoPict="0">
                <anchor moveWithCells="1">
                  <from>
                    <xdr:col>5</xdr:col>
                    <xdr:colOff>279400</xdr:colOff>
                    <xdr:row>18</xdr:row>
                    <xdr:rowOff>38100</xdr:rowOff>
                  </from>
                  <to>
                    <xdr:col>6</xdr:col>
                    <xdr:colOff>647700</xdr:colOff>
                    <xdr:row>19</xdr:row>
                    <xdr:rowOff>165100</xdr:rowOff>
                  </to>
                </anchor>
              </controlPr>
            </control>
          </mc:Choice>
          <mc:Fallback/>
        </mc:AlternateContent>
        <mc:AlternateContent xmlns:mc="http://schemas.openxmlformats.org/markup-compatibility/2006">
          <mc:Choice Requires="x14">
            <control shapeId="123932" r:id="rId4" name="Drop Down 28">
              <controlPr defaultSize="0" autoLine="0" autoPict="0">
                <anchor moveWithCells="1">
                  <from>
                    <xdr:col>5</xdr:col>
                    <xdr:colOff>266700</xdr:colOff>
                    <xdr:row>20</xdr:row>
                    <xdr:rowOff>152400</xdr:rowOff>
                  </from>
                  <to>
                    <xdr:col>7</xdr:col>
                    <xdr:colOff>800100</xdr:colOff>
                    <xdr:row>22</xdr:row>
                    <xdr:rowOff>63500</xdr:rowOff>
                  </to>
                </anchor>
              </controlPr>
            </control>
          </mc:Choice>
          <mc:Fallback/>
        </mc:AlternateContent>
        <mc:AlternateContent xmlns:mc="http://schemas.openxmlformats.org/markup-compatibility/2006">
          <mc:Choice Requires="x14">
            <control shapeId="123936" r:id="rId5" name="Drop Down 32">
              <controlPr defaultSize="0" autoLine="0" autoPict="0">
                <anchor moveWithCells="1">
                  <from>
                    <xdr:col>5</xdr:col>
                    <xdr:colOff>266700</xdr:colOff>
                    <xdr:row>15</xdr:row>
                    <xdr:rowOff>76200</xdr:rowOff>
                  </from>
                  <to>
                    <xdr:col>7</xdr:col>
                    <xdr:colOff>330200</xdr:colOff>
                    <xdr:row>16</xdr:row>
                    <xdr:rowOff>203200</xdr:rowOff>
                  </to>
                </anchor>
              </controlPr>
            </control>
          </mc:Choice>
          <mc:Fallback/>
        </mc:AlternateContent>
        <mc:AlternateContent xmlns:mc="http://schemas.openxmlformats.org/markup-compatibility/2006">
          <mc:Choice Requires="x14">
            <control shapeId="124151" r:id="rId6" name="Drop Down 247">
              <controlPr defaultSize="0" autoLine="0" autoPict="0">
                <anchor moveWithCells="1">
                  <from>
                    <xdr:col>5</xdr:col>
                    <xdr:colOff>266700</xdr:colOff>
                    <xdr:row>4</xdr:row>
                    <xdr:rowOff>101600</xdr:rowOff>
                  </from>
                  <to>
                    <xdr:col>11</xdr:col>
                    <xdr:colOff>330200</xdr:colOff>
                    <xdr:row>6</xdr:row>
                    <xdr:rowOff>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indexed="42"/>
  </sheetPr>
  <dimension ref="A1:P275"/>
  <sheetViews>
    <sheetView showGridLines="0" workbookViewId="0">
      <pane xSplit="1" ySplit="4" topLeftCell="B146" activePane="bottomRight" state="frozen"/>
      <selection pane="topRight"/>
      <selection pane="bottomLeft"/>
      <selection pane="bottomRight" activeCell="C157" sqref="C157:E157"/>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6" s="179" customFormat="1" ht="12">
      <c r="A1" s="147" t="str">
        <f>muni&amp;" - "&amp;TableA1</f>
        <v>NW373 Rustenburg - Supporting Table SA1 Supportinging detail to 'Budgeted Financial Performance'</v>
      </c>
      <c r="B1" s="147"/>
      <c r="C1" s="147"/>
      <c r="D1" s="147"/>
      <c r="E1" s="147"/>
      <c r="F1" s="147"/>
      <c r="G1" s="147"/>
      <c r="H1" s="147"/>
      <c r="I1" s="147"/>
      <c r="J1" s="147"/>
      <c r="K1" s="147"/>
      <c r="L1" s="147"/>
    </row>
    <row r="2" spans="1:16" ht="28.5" customHeight="1">
      <c r="A2" s="2789" t="str">
        <f>desc</f>
        <v>Description</v>
      </c>
      <c r="B2" s="2791"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6" ht="20">
      <c r="A3" s="2790"/>
      <c r="B3" s="279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6">
      <c r="A4" s="180" t="s">
        <v>667</v>
      </c>
      <c r="B4" s="290"/>
      <c r="C4" s="138"/>
      <c r="D4" s="138"/>
      <c r="E4" s="156"/>
      <c r="F4" s="155"/>
      <c r="G4" s="138"/>
      <c r="H4" s="156"/>
      <c r="I4" s="157"/>
      <c r="J4" s="155"/>
      <c r="K4" s="138"/>
      <c r="L4" s="156"/>
    </row>
    <row r="5" spans="1:16">
      <c r="A5" s="333" t="s">
        <v>541</v>
      </c>
      <c r="B5" s="291"/>
      <c r="C5" s="399"/>
      <c r="D5" s="399"/>
      <c r="E5" s="195"/>
      <c r="F5" s="400"/>
      <c r="G5" s="399"/>
      <c r="H5" s="195"/>
      <c r="I5" s="309"/>
      <c r="J5" s="401"/>
      <c r="K5" s="399"/>
      <c r="L5" s="195"/>
    </row>
    <row r="6" spans="1:16">
      <c r="A6" s="402" t="str">
        <f>'A4-FinPerf RE'!A5</f>
        <v>Property rates</v>
      </c>
      <c r="B6" s="293">
        <v>6</v>
      </c>
      <c r="C6" s="403"/>
      <c r="D6" s="403"/>
      <c r="E6" s="195"/>
      <c r="F6" s="400"/>
      <c r="G6" s="403"/>
      <c r="H6" s="195"/>
      <c r="I6" s="309"/>
      <c r="J6" s="404"/>
      <c r="K6" s="403"/>
      <c r="L6" s="195"/>
      <c r="M6" s="370"/>
      <c r="N6" s="370"/>
      <c r="O6" s="370"/>
      <c r="P6" s="370"/>
    </row>
    <row r="7" spans="1:16">
      <c r="A7" s="1281" t="s">
        <v>442</v>
      </c>
      <c r="B7" s="293"/>
      <c r="C7" s="1673">
        <v>149101465</v>
      </c>
      <c r="D7" s="1673">
        <v>165347437</v>
      </c>
      <c r="E7" s="1672">
        <v>177800391</v>
      </c>
      <c r="F7" s="1675">
        <v>196957518</v>
      </c>
      <c r="G7" s="1675">
        <v>183757518</v>
      </c>
      <c r="H7" s="1675">
        <v>183757518</v>
      </c>
      <c r="I7" s="1675">
        <v>183757518</v>
      </c>
      <c r="J7" s="1675">
        <f>184634029+8311365</f>
        <v>192945394</v>
      </c>
      <c r="K7" s="1672">
        <f>196918324+5674340</f>
        <v>202592664</v>
      </c>
      <c r="L7" s="1673">
        <f>210028221+2694076</f>
        <v>212722297</v>
      </c>
      <c r="M7" s="370"/>
      <c r="N7" s="370"/>
      <c r="O7" s="370"/>
      <c r="P7" s="370"/>
    </row>
    <row r="8" spans="1:16">
      <c r="A8" s="1538" t="s">
        <v>443</v>
      </c>
      <c r="B8" s="293"/>
      <c r="C8" s="1677">
        <v>8736727.7199999988</v>
      </c>
      <c r="D8" s="1677">
        <v>9771031</v>
      </c>
      <c r="E8" s="1676">
        <v>10340204</v>
      </c>
      <c r="F8" s="1675">
        <v>17498286</v>
      </c>
      <c r="G8" s="1675">
        <v>17498286</v>
      </c>
      <c r="H8" s="1675">
        <v>17498286</v>
      </c>
      <c r="I8" s="1675">
        <v>17498286</v>
      </c>
      <c r="J8" s="1675">
        <v>17102020</v>
      </c>
      <c r="K8" s="1676">
        <v>17888608</v>
      </c>
      <c r="L8" s="1677">
        <v>18872484</v>
      </c>
      <c r="M8" s="370"/>
      <c r="N8" s="370"/>
      <c r="O8" s="370"/>
      <c r="P8" s="370"/>
    </row>
    <row r="9" spans="1:16">
      <c r="A9" s="417" t="s">
        <v>444</v>
      </c>
      <c r="B9" s="293"/>
      <c r="C9" s="213">
        <f>C7-C8</f>
        <v>140364737.28</v>
      </c>
      <c r="D9" s="213">
        <f t="shared" ref="D9:L9" si="0">D7-D8</f>
        <v>155576406</v>
      </c>
      <c r="E9" s="214">
        <f t="shared" si="0"/>
        <v>167460187</v>
      </c>
      <c r="F9" s="215">
        <f t="shared" si="0"/>
        <v>179459232</v>
      </c>
      <c r="G9" s="213">
        <f t="shared" si="0"/>
        <v>166259232</v>
      </c>
      <c r="H9" s="214">
        <f t="shared" si="0"/>
        <v>166259232</v>
      </c>
      <c r="I9" s="212">
        <f t="shared" si="0"/>
        <v>166259232</v>
      </c>
      <c r="J9" s="216">
        <f t="shared" si="0"/>
        <v>175843374</v>
      </c>
      <c r="K9" s="213">
        <f t="shared" si="0"/>
        <v>184704056</v>
      </c>
      <c r="L9" s="214">
        <f t="shared" si="0"/>
        <v>193849813</v>
      </c>
      <c r="M9" s="370"/>
      <c r="N9" s="370"/>
      <c r="O9" s="370"/>
      <c r="P9" s="370"/>
    </row>
    <row r="10" spans="1:16" ht="5" customHeight="1">
      <c r="A10" s="325"/>
      <c r="B10" s="293"/>
      <c r="C10" s="403"/>
      <c r="D10" s="403"/>
      <c r="E10" s="195"/>
      <c r="F10" s="400"/>
      <c r="G10" s="403"/>
      <c r="H10" s="195"/>
      <c r="I10" s="309"/>
      <c r="J10" s="404"/>
      <c r="K10" s="403"/>
      <c r="L10" s="195"/>
      <c r="M10" s="370"/>
      <c r="N10" s="370"/>
      <c r="O10" s="370"/>
      <c r="P10" s="370"/>
    </row>
    <row r="11" spans="1:16">
      <c r="A11" s="402" t="str">
        <f>'A4-FinPerf RE'!A7</f>
        <v>Service charges - electricity revenue</v>
      </c>
      <c r="B11" s="293">
        <v>6</v>
      </c>
      <c r="C11" s="403"/>
      <c r="D11" s="403"/>
      <c r="E11" s="195"/>
      <c r="F11" s="400"/>
      <c r="G11" s="403"/>
      <c r="H11" s="195"/>
      <c r="I11" s="309"/>
      <c r="J11" s="404"/>
      <c r="K11" s="403"/>
      <c r="L11" s="195"/>
      <c r="M11" s="370"/>
      <c r="N11" s="370"/>
      <c r="O11" s="370"/>
      <c r="P11" s="370"/>
    </row>
    <row r="12" spans="1:16">
      <c r="A12" s="1281" t="str">
        <f>"Total "&amp;A11</f>
        <v>Total Service charges - electricity revenue</v>
      </c>
      <c r="B12" s="293"/>
      <c r="C12" s="1673">
        <v>845466949</v>
      </c>
      <c r="D12" s="1673">
        <v>1006687553</v>
      </c>
      <c r="E12" s="1672">
        <v>842207066</v>
      </c>
      <c r="F12" s="1675">
        <v>1439791033</v>
      </c>
      <c r="G12" s="1675">
        <v>1412498933</v>
      </c>
      <c r="H12" s="1675">
        <v>1412498933</v>
      </c>
      <c r="I12" s="1675">
        <v>1412498933</v>
      </c>
      <c r="J12" s="1675">
        <v>1198824246</v>
      </c>
      <c r="K12" s="1672">
        <v>1294730186</v>
      </c>
      <c r="L12" s="1673">
        <v>1416862476</v>
      </c>
      <c r="M12" s="370"/>
      <c r="N12" s="370"/>
      <c r="O12" s="370"/>
      <c r="P12" s="370"/>
    </row>
    <row r="13" spans="1:16">
      <c r="A13" s="1538" t="str">
        <f>$A$8</f>
        <v>less Revenue Foregone</v>
      </c>
      <c r="B13" s="293"/>
      <c r="C13" s="1677">
        <v>1834999.17</v>
      </c>
      <c r="D13" s="1677">
        <v>2049036</v>
      </c>
      <c r="E13" s="1676">
        <v>2245779</v>
      </c>
      <c r="F13" s="1675">
        <v>1900000</v>
      </c>
      <c r="G13" s="1675">
        <v>1900000</v>
      </c>
      <c r="H13" s="1675">
        <v>1900000</v>
      </c>
      <c r="I13" s="1675">
        <v>1900000</v>
      </c>
      <c r="J13" s="1675">
        <v>2000000</v>
      </c>
      <c r="K13" s="1676">
        <v>2320000</v>
      </c>
      <c r="L13" s="1677">
        <v>2640000</v>
      </c>
      <c r="M13" s="370"/>
      <c r="N13" s="370"/>
      <c r="O13" s="370"/>
      <c r="P13" s="370"/>
    </row>
    <row r="14" spans="1:16" ht="12.75" customHeight="1">
      <c r="A14" s="417" t="str">
        <f>"Net "&amp; A11</f>
        <v>Net Service charges - electricity revenue</v>
      </c>
      <c r="B14" s="293"/>
      <c r="C14" s="213">
        <f t="shared" ref="C14:L14" si="1">C12-C13</f>
        <v>843631949.83000004</v>
      </c>
      <c r="D14" s="213">
        <f t="shared" si="1"/>
        <v>1004638517</v>
      </c>
      <c r="E14" s="214">
        <f t="shared" si="1"/>
        <v>839961287</v>
      </c>
      <c r="F14" s="215">
        <f t="shared" si="1"/>
        <v>1437891033</v>
      </c>
      <c r="G14" s="213">
        <f t="shared" si="1"/>
        <v>1410598933</v>
      </c>
      <c r="H14" s="214">
        <f t="shared" si="1"/>
        <v>1410598933</v>
      </c>
      <c r="I14" s="212">
        <f t="shared" si="1"/>
        <v>1410598933</v>
      </c>
      <c r="J14" s="216">
        <f t="shared" si="1"/>
        <v>1196824246</v>
      </c>
      <c r="K14" s="213">
        <f t="shared" si="1"/>
        <v>1292410186</v>
      </c>
      <c r="L14" s="214">
        <f t="shared" si="1"/>
        <v>1414222476</v>
      </c>
      <c r="M14" s="370"/>
      <c r="N14" s="370"/>
      <c r="O14" s="370"/>
      <c r="P14" s="370"/>
    </row>
    <row r="15" spans="1:16" ht="5" customHeight="1">
      <c r="B15" s="293"/>
      <c r="C15" s="1181"/>
      <c r="D15" s="1181"/>
      <c r="E15" s="222"/>
      <c r="F15" s="595"/>
      <c r="G15" s="1181"/>
      <c r="H15" s="222"/>
      <c r="I15" s="241"/>
      <c r="J15" s="1182"/>
      <c r="K15" s="1181"/>
      <c r="L15" s="222"/>
      <c r="M15" s="370"/>
      <c r="N15" s="370"/>
      <c r="O15" s="370"/>
      <c r="P15" s="370"/>
    </row>
    <row r="16" spans="1:16">
      <c r="A16" s="1183" t="str">
        <f>'A4-FinPerf RE'!A8</f>
        <v>Service charges - water revenue</v>
      </c>
      <c r="B16" s="293">
        <v>6</v>
      </c>
      <c r="C16" s="1181"/>
      <c r="D16" s="1181"/>
      <c r="E16" s="222"/>
      <c r="F16" s="595"/>
      <c r="G16" s="1181"/>
      <c r="H16" s="222"/>
      <c r="I16" s="241"/>
      <c r="J16" s="1182"/>
      <c r="K16" s="1181"/>
      <c r="L16" s="222"/>
      <c r="M16" s="370"/>
      <c r="N16" s="370"/>
      <c r="O16" s="370"/>
      <c r="P16" s="370"/>
    </row>
    <row r="17" spans="1:16">
      <c r="A17" s="1281" t="str">
        <f>"Total "&amp;A16</f>
        <v>Total Service charges - water revenue</v>
      </c>
      <c r="B17" s="293"/>
      <c r="C17" s="1680">
        <v>197331948</v>
      </c>
      <c r="D17" s="1680">
        <v>279359241</v>
      </c>
      <c r="E17" s="1679">
        <v>319052637</v>
      </c>
      <c r="F17" s="1681">
        <v>323620742</v>
      </c>
      <c r="G17" s="1681">
        <v>345946906</v>
      </c>
      <c r="H17" s="1681">
        <v>345946906</v>
      </c>
      <c r="I17" s="1681">
        <v>345946906</v>
      </c>
      <c r="J17" s="1681">
        <v>344621019</v>
      </c>
      <c r="K17" s="1679">
        <v>362277204</v>
      </c>
      <c r="L17" s="1680">
        <v>400557526</v>
      </c>
      <c r="M17" s="370"/>
      <c r="N17" s="370"/>
      <c r="O17" s="370"/>
      <c r="P17" s="370"/>
    </row>
    <row r="18" spans="1:16">
      <c r="A18" s="1538" t="str">
        <f>$A$8</f>
        <v>less Revenue Foregone</v>
      </c>
      <c r="B18" s="293"/>
      <c r="C18" s="1677">
        <v>2833175.54</v>
      </c>
      <c r="D18" s="1677">
        <v>3074853</v>
      </c>
      <c r="E18" s="1676">
        <v>5003214</v>
      </c>
      <c r="F18" s="1678">
        <v>2853031</v>
      </c>
      <c r="G18" s="1678">
        <v>2853031</v>
      </c>
      <c r="H18" s="1678">
        <v>2853031</v>
      </c>
      <c r="I18" s="1678">
        <v>2853031</v>
      </c>
      <c r="J18" s="1678">
        <v>4888888</v>
      </c>
      <c r="K18" s="1676">
        <v>5133332</v>
      </c>
      <c r="L18" s="1677">
        <v>5389999</v>
      </c>
      <c r="M18" s="370"/>
      <c r="N18" s="370"/>
      <c r="O18" s="370"/>
      <c r="P18" s="370"/>
    </row>
    <row r="19" spans="1:16">
      <c r="A19" s="417" t="str">
        <f>"Net "&amp; A16</f>
        <v>Net Service charges - water revenue</v>
      </c>
      <c r="B19" s="293"/>
      <c r="C19" s="213">
        <f t="shared" ref="C19:L19" si="2">C17-C18</f>
        <v>194498772.46000001</v>
      </c>
      <c r="D19" s="213">
        <f t="shared" si="2"/>
        <v>276284388</v>
      </c>
      <c r="E19" s="214">
        <f t="shared" si="2"/>
        <v>314049423</v>
      </c>
      <c r="F19" s="215">
        <f t="shared" si="2"/>
        <v>320767711</v>
      </c>
      <c r="G19" s="213">
        <f t="shared" si="2"/>
        <v>343093875</v>
      </c>
      <c r="H19" s="214">
        <f t="shared" si="2"/>
        <v>343093875</v>
      </c>
      <c r="I19" s="212">
        <f t="shared" si="2"/>
        <v>343093875</v>
      </c>
      <c r="J19" s="216">
        <f t="shared" si="2"/>
        <v>339732131</v>
      </c>
      <c r="K19" s="213">
        <f t="shared" si="2"/>
        <v>357143872</v>
      </c>
      <c r="L19" s="214">
        <f t="shared" si="2"/>
        <v>395167527</v>
      </c>
      <c r="M19" s="370"/>
      <c r="N19" s="370"/>
      <c r="O19" s="370"/>
      <c r="P19" s="370"/>
    </row>
    <row r="20" spans="1:16" ht="4.5" customHeight="1">
      <c r="A20" s="417"/>
      <c r="B20" s="293"/>
      <c r="C20" s="1181"/>
      <c r="D20" s="1181"/>
      <c r="E20" s="222"/>
      <c r="F20" s="595"/>
      <c r="G20" s="1181"/>
      <c r="H20" s="222"/>
      <c r="I20" s="241"/>
      <c r="J20" s="1182"/>
      <c r="K20" s="1181"/>
      <c r="L20" s="222"/>
      <c r="M20" s="370"/>
      <c r="N20" s="370"/>
      <c r="O20" s="370"/>
      <c r="P20" s="370"/>
    </row>
    <row r="21" spans="1:16">
      <c r="A21" s="1183" t="str">
        <f>'A4-FinPerf RE'!A9</f>
        <v>Service charges - sanitation revenue</v>
      </c>
      <c r="B21" s="293"/>
      <c r="C21" s="1181"/>
      <c r="D21" s="1181"/>
      <c r="E21" s="222"/>
      <c r="F21" s="595"/>
      <c r="G21" s="1181"/>
      <c r="H21" s="222"/>
      <c r="I21" s="241"/>
      <c r="J21" s="1182"/>
      <c r="K21" s="1181"/>
      <c r="L21" s="222"/>
      <c r="M21" s="370"/>
      <c r="N21" s="370"/>
      <c r="O21" s="370"/>
      <c r="P21" s="370"/>
    </row>
    <row r="22" spans="1:16">
      <c r="A22" s="1281" t="str">
        <f>"Total "&amp;A21</f>
        <v>Total Service charges - sanitation revenue</v>
      </c>
      <c r="B22" s="293"/>
      <c r="C22" s="1680">
        <f>44751158+36116757</f>
        <v>80867915</v>
      </c>
      <c r="D22" s="1680">
        <v>58173450</v>
      </c>
      <c r="E22" s="1679">
        <v>68086600</v>
      </c>
      <c r="F22" s="1681">
        <v>165383494</v>
      </c>
      <c r="G22" s="1681">
        <v>157708251</v>
      </c>
      <c r="H22" s="1681">
        <v>157708251</v>
      </c>
      <c r="I22" s="1681">
        <v>157708251</v>
      </c>
      <c r="J22" s="1681">
        <v>195525012</v>
      </c>
      <c r="K22" s="1679">
        <v>210635953</v>
      </c>
      <c r="L22" s="1680">
        <v>259625655</v>
      </c>
      <c r="M22" s="370"/>
      <c r="N22" s="370"/>
      <c r="O22" s="370"/>
      <c r="P22" s="370"/>
    </row>
    <row r="23" spans="1:16">
      <c r="A23" s="1538" t="str">
        <f>$A$8</f>
        <v>less Revenue Foregone</v>
      </c>
      <c r="B23" s="293"/>
      <c r="C23" s="1677">
        <v>1655087.42</v>
      </c>
      <c r="D23" s="1677">
        <v>1759130</v>
      </c>
      <c r="E23" s="1676">
        <v>2544559</v>
      </c>
      <c r="F23" s="1678">
        <v>1300000</v>
      </c>
      <c r="G23" s="1678">
        <v>1300000</v>
      </c>
      <c r="H23" s="1678">
        <v>1300000</v>
      </c>
      <c r="I23" s="1678">
        <v>1300000</v>
      </c>
      <c r="J23" s="1678">
        <v>1300000</v>
      </c>
      <c r="K23" s="1676">
        <v>1800000</v>
      </c>
      <c r="L23" s="1677">
        <v>2300000</v>
      </c>
      <c r="M23" s="370"/>
      <c r="N23" s="370"/>
      <c r="O23" s="370"/>
      <c r="P23" s="370"/>
    </row>
    <row r="24" spans="1:16">
      <c r="A24" s="417" t="str">
        <f>"Net "&amp; A21</f>
        <v>Net Service charges - sanitation revenue</v>
      </c>
      <c r="B24" s="293"/>
      <c r="C24" s="213">
        <f t="shared" ref="C24:L24" si="3">C22-C23</f>
        <v>79212827.579999998</v>
      </c>
      <c r="D24" s="213">
        <f t="shared" si="3"/>
        <v>56414320</v>
      </c>
      <c r="E24" s="214">
        <f t="shared" si="3"/>
        <v>65542041</v>
      </c>
      <c r="F24" s="215">
        <f t="shared" si="3"/>
        <v>164083494</v>
      </c>
      <c r="G24" s="213">
        <f t="shared" si="3"/>
        <v>156408251</v>
      </c>
      <c r="H24" s="214">
        <f t="shared" si="3"/>
        <v>156408251</v>
      </c>
      <c r="I24" s="212">
        <f t="shared" si="3"/>
        <v>156408251</v>
      </c>
      <c r="J24" s="216">
        <f t="shared" si="3"/>
        <v>194225012</v>
      </c>
      <c r="K24" s="213">
        <f t="shared" si="3"/>
        <v>208835953</v>
      </c>
      <c r="L24" s="214">
        <f t="shared" si="3"/>
        <v>257325655</v>
      </c>
      <c r="M24" s="370"/>
      <c r="N24" s="370"/>
      <c r="O24" s="370"/>
      <c r="P24" s="370"/>
    </row>
    <row r="25" spans="1:16" ht="4.5" customHeight="1">
      <c r="A25" s="417"/>
      <c r="B25" s="293"/>
      <c r="C25" s="1181"/>
      <c r="D25" s="1181"/>
      <c r="E25" s="222"/>
      <c r="F25" s="595"/>
      <c r="G25" s="1181"/>
      <c r="H25" s="222"/>
      <c r="I25" s="241"/>
      <c r="J25" s="1182"/>
      <c r="K25" s="1181"/>
      <c r="L25" s="222"/>
      <c r="M25" s="370"/>
      <c r="N25" s="370"/>
      <c r="O25" s="370"/>
      <c r="P25" s="370"/>
    </row>
    <row r="26" spans="1:16">
      <c r="A26" s="402" t="str">
        <f>'A4-FinPerf RE'!A10</f>
        <v>Service charges - refuse revenue</v>
      </c>
      <c r="B26" s="293">
        <v>6</v>
      </c>
      <c r="C26" s="403"/>
      <c r="D26" s="403"/>
      <c r="E26" s="195"/>
      <c r="F26" s="400"/>
      <c r="G26" s="403"/>
      <c r="H26" s="195"/>
      <c r="I26" s="309"/>
      <c r="J26" s="404"/>
      <c r="K26" s="403"/>
      <c r="L26" s="195"/>
      <c r="M26" s="370"/>
      <c r="N26" s="370"/>
      <c r="O26" s="370"/>
      <c r="P26" s="370"/>
    </row>
    <row r="27" spans="1:16" ht="11.25" customHeight="1">
      <c r="A27" s="1281" t="s">
        <v>1568</v>
      </c>
      <c r="B27" s="293"/>
      <c r="C27" s="1635">
        <v>49913686</v>
      </c>
      <c r="D27" s="1635">
        <v>66419616</v>
      </c>
      <c r="E27" s="1615">
        <v>74725599</v>
      </c>
      <c r="F27" s="2534">
        <v>76055147</v>
      </c>
      <c r="G27" s="2534">
        <v>72691138</v>
      </c>
      <c r="H27" s="2534">
        <v>72691138</v>
      </c>
      <c r="I27" s="2534">
        <v>72691138</v>
      </c>
      <c r="J27" s="2534">
        <v>74335173</v>
      </c>
      <c r="K27" s="1615">
        <v>82479771</v>
      </c>
      <c r="L27" s="1635">
        <v>91517691</v>
      </c>
      <c r="M27" s="370"/>
      <c r="N27" s="370"/>
      <c r="O27" s="370"/>
      <c r="P27" s="370"/>
    </row>
    <row r="28" spans="1:16" ht="11.25" customHeight="1">
      <c r="A28" s="1281" t="s">
        <v>1569</v>
      </c>
      <c r="B28" s="293"/>
      <c r="C28" s="1635">
        <v>0</v>
      </c>
      <c r="D28" s="1635">
        <v>0</v>
      </c>
      <c r="E28" s="1615">
        <v>0</v>
      </c>
      <c r="F28" s="2534">
        <v>0</v>
      </c>
      <c r="G28" s="2534">
        <v>0</v>
      </c>
      <c r="H28" s="2534">
        <v>0</v>
      </c>
      <c r="I28" s="2534">
        <v>0</v>
      </c>
      <c r="J28" s="2534">
        <v>0</v>
      </c>
      <c r="K28" s="1615">
        <v>0</v>
      </c>
      <c r="L28" s="1635">
        <v>0</v>
      </c>
      <c r="M28" s="370"/>
      <c r="N28" s="370"/>
      <c r="O28" s="370"/>
      <c r="P28" s="370"/>
    </row>
    <row r="29" spans="1:16" ht="11.25" customHeight="1">
      <c r="A29" s="1538" t="str">
        <f>$A$8</f>
        <v>less Revenue Foregone</v>
      </c>
      <c r="B29" s="293"/>
      <c r="C29" s="1635">
        <v>1775511.37</v>
      </c>
      <c r="D29" s="1635">
        <v>2071149</v>
      </c>
      <c r="E29" s="1615">
        <v>3273139</v>
      </c>
      <c r="F29" s="2534">
        <v>2273594</v>
      </c>
      <c r="G29" s="2534">
        <v>2273594</v>
      </c>
      <c r="H29" s="2534">
        <v>2273594</v>
      </c>
      <c r="I29" s="2534">
        <v>2273594</v>
      </c>
      <c r="J29" s="2534">
        <v>2391820</v>
      </c>
      <c r="K29" s="1615">
        <v>2891820</v>
      </c>
      <c r="L29" s="1635">
        <v>3391820</v>
      </c>
      <c r="M29" s="370"/>
      <c r="N29" s="370"/>
      <c r="O29" s="370"/>
      <c r="P29" s="370"/>
    </row>
    <row r="30" spans="1:16">
      <c r="A30" s="417" t="str">
        <f>"Net "&amp; A26</f>
        <v>Net Service charges - refuse revenue</v>
      </c>
      <c r="B30" s="293"/>
      <c r="C30" s="213">
        <f>SUM(C27:C28)-C29</f>
        <v>48138174.630000003</v>
      </c>
      <c r="D30" s="213">
        <f t="shared" ref="D30:L30" si="4">SUM(D27:D28)-D29</f>
        <v>64348467</v>
      </c>
      <c r="E30" s="214">
        <f t="shared" si="4"/>
        <v>71452460</v>
      </c>
      <c r="F30" s="215">
        <f t="shared" si="4"/>
        <v>73781553</v>
      </c>
      <c r="G30" s="213">
        <f t="shared" si="4"/>
        <v>70417544</v>
      </c>
      <c r="H30" s="214">
        <f t="shared" si="4"/>
        <v>70417544</v>
      </c>
      <c r="I30" s="212">
        <f t="shared" si="4"/>
        <v>70417544</v>
      </c>
      <c r="J30" s="216">
        <f t="shared" si="4"/>
        <v>71943353</v>
      </c>
      <c r="K30" s="213">
        <f t="shared" si="4"/>
        <v>79587951</v>
      </c>
      <c r="L30" s="214">
        <f t="shared" si="4"/>
        <v>88125871</v>
      </c>
      <c r="M30" s="370"/>
      <c r="N30" s="370"/>
      <c r="O30" s="370"/>
      <c r="P30" s="370"/>
    </row>
    <row r="31" spans="1:16" ht="5" customHeight="1">
      <c r="A31" s="405"/>
      <c r="B31" s="293"/>
      <c r="C31" s="203"/>
      <c r="D31" s="203"/>
      <c r="E31" s="204"/>
      <c r="F31" s="205"/>
      <c r="G31" s="203"/>
      <c r="H31" s="204"/>
      <c r="I31" s="202"/>
      <c r="J31" s="206"/>
      <c r="K31" s="203"/>
      <c r="L31" s="204"/>
      <c r="M31" s="370"/>
      <c r="N31" s="370"/>
      <c r="O31" s="370"/>
      <c r="P31" s="370"/>
    </row>
    <row r="32" spans="1:16" ht="11.25" customHeight="1">
      <c r="A32" s="402" t="s">
        <v>376</v>
      </c>
      <c r="B32" s="293"/>
      <c r="C32" s="315"/>
      <c r="D32" s="315"/>
      <c r="E32" s="318"/>
      <c r="F32" s="317"/>
      <c r="G32" s="315"/>
      <c r="H32" s="318"/>
      <c r="I32" s="316"/>
      <c r="J32" s="406"/>
      <c r="K32" s="315"/>
      <c r="L32" s="318"/>
      <c r="M32" s="370"/>
      <c r="N32" s="370"/>
      <c r="O32" s="370"/>
      <c r="P32" s="370"/>
    </row>
    <row r="33" spans="1:16" ht="11.25" customHeight="1">
      <c r="A33" s="2525" t="s">
        <v>2391</v>
      </c>
      <c r="B33" s="293"/>
      <c r="C33" s="1635">
        <v>0</v>
      </c>
      <c r="D33" s="1635">
        <v>0</v>
      </c>
      <c r="E33" s="1615">
        <v>0</v>
      </c>
      <c r="F33" s="2534">
        <v>0</v>
      </c>
      <c r="G33" s="1615">
        <v>0</v>
      </c>
      <c r="H33" s="1615">
        <v>0</v>
      </c>
      <c r="I33" s="1615">
        <v>0</v>
      </c>
      <c r="J33" s="2534"/>
      <c r="K33" s="1615"/>
      <c r="L33" s="1635"/>
      <c r="M33" s="370"/>
      <c r="N33" s="370"/>
      <c r="O33" s="370"/>
      <c r="P33" s="370"/>
    </row>
    <row r="34" spans="1:16" ht="11.25" customHeight="1">
      <c r="A34" s="2525" t="s">
        <v>1562</v>
      </c>
      <c r="B34" s="293"/>
      <c r="C34" s="1635">
        <v>29198314</v>
      </c>
      <c r="D34" s="1635">
        <v>19763061</v>
      </c>
      <c r="E34" s="1615">
        <v>21439760</v>
      </c>
      <c r="F34" s="2534">
        <v>24768340</v>
      </c>
      <c r="G34" s="2534">
        <v>33226951</v>
      </c>
      <c r="H34" s="2534">
        <v>33226951</v>
      </c>
      <c r="I34" s="2534">
        <v>33226951</v>
      </c>
      <c r="J34" s="2534">
        <v>41075268</v>
      </c>
      <c r="K34" s="1615">
        <v>43160491</v>
      </c>
      <c r="L34" s="1635">
        <v>45254621</v>
      </c>
      <c r="M34" s="370"/>
      <c r="N34" s="370"/>
      <c r="O34" s="370"/>
      <c r="P34" s="370"/>
    </row>
    <row r="35" spans="1:16" ht="11.25" customHeight="1">
      <c r="A35" s="1682"/>
      <c r="B35" s="293"/>
      <c r="C35" s="1615"/>
      <c r="D35" s="1615"/>
      <c r="E35" s="1635"/>
      <c r="F35" s="1636"/>
      <c r="G35" s="1615"/>
      <c r="H35" s="1635"/>
      <c r="I35" s="1637"/>
      <c r="J35" s="2534"/>
      <c r="K35" s="1615"/>
      <c r="L35" s="1635"/>
      <c r="M35" s="370"/>
      <c r="N35" s="370"/>
      <c r="O35" s="370"/>
      <c r="P35" s="370"/>
    </row>
    <row r="36" spans="1:16" ht="11.25" customHeight="1">
      <c r="A36" s="1634"/>
      <c r="B36" s="293"/>
      <c r="C36" s="1615"/>
      <c r="D36" s="1615"/>
      <c r="E36" s="1635"/>
      <c r="F36" s="1636"/>
      <c r="G36" s="1615"/>
      <c r="H36" s="1635"/>
      <c r="I36" s="1637"/>
      <c r="J36" s="2534"/>
      <c r="K36" s="1615"/>
      <c r="L36" s="1635"/>
      <c r="M36" s="370"/>
      <c r="N36" s="370"/>
      <c r="O36" s="370"/>
      <c r="P36" s="370"/>
    </row>
    <row r="37" spans="1:16" ht="11.25" customHeight="1">
      <c r="A37" s="1634"/>
      <c r="B37" s="293"/>
      <c r="C37" s="1615"/>
      <c r="D37" s="1615"/>
      <c r="E37" s="1635"/>
      <c r="F37" s="1636"/>
      <c r="G37" s="1615"/>
      <c r="H37" s="1635"/>
      <c r="I37" s="1637"/>
      <c r="J37" s="2534"/>
      <c r="K37" s="1615"/>
      <c r="L37" s="1635"/>
      <c r="M37" s="370"/>
      <c r="N37" s="370"/>
      <c r="O37" s="370"/>
      <c r="P37" s="370"/>
    </row>
    <row r="38" spans="1:16" ht="11.25" customHeight="1">
      <c r="A38" s="1634"/>
      <c r="B38" s="293"/>
      <c r="C38" s="1615"/>
      <c r="D38" s="1615"/>
      <c r="E38" s="1635"/>
      <c r="F38" s="1636"/>
      <c r="G38" s="1615"/>
      <c r="H38" s="1635"/>
      <c r="I38" s="1637"/>
      <c r="J38" s="1617"/>
      <c r="K38" s="1615"/>
      <c r="L38" s="1635"/>
      <c r="M38" s="370"/>
      <c r="N38" s="370"/>
      <c r="O38" s="370"/>
      <c r="P38" s="370"/>
    </row>
    <row r="39" spans="1:16" ht="11.25" customHeight="1">
      <c r="A39" s="1634"/>
      <c r="B39" s="293"/>
      <c r="C39" s="1615"/>
      <c r="D39" s="1615"/>
      <c r="E39" s="1635"/>
      <c r="F39" s="1636"/>
      <c r="G39" s="1615"/>
      <c r="H39" s="1635"/>
      <c r="I39" s="1637"/>
      <c r="J39" s="1617"/>
      <c r="K39" s="1615"/>
      <c r="L39" s="1635"/>
      <c r="M39" s="370"/>
      <c r="N39" s="370"/>
      <c r="O39" s="370"/>
      <c r="P39" s="370"/>
    </row>
    <row r="40" spans="1:16" ht="11.25" customHeight="1">
      <c r="A40" s="1634"/>
      <c r="B40" s="293"/>
      <c r="C40" s="1615"/>
      <c r="D40" s="1615"/>
      <c r="E40" s="1635"/>
      <c r="F40" s="1636"/>
      <c r="G40" s="1615"/>
      <c r="H40" s="1635"/>
      <c r="I40" s="1637"/>
      <c r="J40" s="1617"/>
      <c r="K40" s="1615"/>
      <c r="L40" s="1635"/>
      <c r="M40" s="370"/>
      <c r="N40" s="370"/>
      <c r="O40" s="370"/>
      <c r="P40" s="370"/>
    </row>
    <row r="41" spans="1:16" ht="11.25" customHeight="1">
      <c r="A41" s="1634"/>
      <c r="B41" s="293"/>
      <c r="C41" s="1615"/>
      <c r="D41" s="1615"/>
      <c r="E41" s="1635"/>
      <c r="F41" s="1636"/>
      <c r="G41" s="1615"/>
      <c r="H41" s="1635"/>
      <c r="I41" s="1637"/>
      <c r="J41" s="1617"/>
      <c r="K41" s="1615"/>
      <c r="L41" s="1635"/>
      <c r="M41" s="370"/>
      <c r="N41" s="370"/>
      <c r="O41" s="370"/>
      <c r="P41" s="370"/>
    </row>
    <row r="42" spans="1:16" ht="11.25" customHeight="1">
      <c r="A42" s="1634"/>
      <c r="B42" s="293"/>
      <c r="C42" s="1615"/>
      <c r="D42" s="1615"/>
      <c r="E42" s="1635"/>
      <c r="F42" s="1636"/>
      <c r="G42" s="1615"/>
      <c r="H42" s="1635"/>
      <c r="I42" s="1637"/>
      <c r="J42" s="1617"/>
      <c r="K42" s="1615"/>
      <c r="L42" s="1635"/>
      <c r="M42" s="370"/>
      <c r="N42" s="370"/>
      <c r="O42" s="370"/>
      <c r="P42" s="370"/>
    </row>
    <row r="43" spans="1:16" ht="11.25" customHeight="1">
      <c r="A43" s="1634"/>
      <c r="B43" s="293"/>
      <c r="C43" s="1615"/>
      <c r="D43" s="1615"/>
      <c r="E43" s="1635"/>
      <c r="F43" s="1636"/>
      <c r="G43" s="1615"/>
      <c r="H43" s="1635"/>
      <c r="I43" s="1637"/>
      <c r="J43" s="1617"/>
      <c r="K43" s="1615"/>
      <c r="L43" s="1635"/>
      <c r="M43" s="370"/>
      <c r="N43" s="370"/>
      <c r="O43" s="370"/>
      <c r="P43" s="370"/>
    </row>
    <row r="44" spans="1:16" ht="11.25" customHeight="1">
      <c r="A44" s="1634"/>
      <c r="B44" s="293">
        <v>3</v>
      </c>
      <c r="C44" s="1615"/>
      <c r="D44" s="1615"/>
      <c r="E44" s="1635"/>
      <c r="F44" s="1636"/>
      <c r="G44" s="1615"/>
      <c r="H44" s="1635"/>
      <c r="I44" s="1637"/>
      <c r="J44" s="1617"/>
      <c r="K44" s="1615"/>
      <c r="L44" s="1635"/>
      <c r="M44" s="370"/>
      <c r="N44" s="370"/>
      <c r="O44" s="370"/>
      <c r="P44" s="370"/>
    </row>
    <row r="45" spans="1:16" ht="11.25" customHeight="1">
      <c r="A45" s="417" t="s">
        <v>1211</v>
      </c>
      <c r="B45" s="293">
        <v>1</v>
      </c>
      <c r="C45" s="213">
        <f>SUM(C33:C44)</f>
        <v>29198314</v>
      </c>
      <c r="D45" s="213">
        <f t="shared" ref="D45:L45" si="5">SUM(D33:D44)</f>
        <v>19763061</v>
      </c>
      <c r="E45" s="214">
        <f t="shared" si="5"/>
        <v>21439760</v>
      </c>
      <c r="F45" s="215">
        <f t="shared" si="5"/>
        <v>24768340</v>
      </c>
      <c r="G45" s="213">
        <f t="shared" si="5"/>
        <v>33226951</v>
      </c>
      <c r="H45" s="214">
        <f t="shared" si="5"/>
        <v>33226951</v>
      </c>
      <c r="I45" s="212">
        <f t="shared" si="5"/>
        <v>33226951</v>
      </c>
      <c r="J45" s="216">
        <f t="shared" si="5"/>
        <v>41075268</v>
      </c>
      <c r="K45" s="213">
        <f t="shared" si="5"/>
        <v>43160491</v>
      </c>
      <c r="L45" s="214">
        <f t="shared" si="5"/>
        <v>45254621</v>
      </c>
      <c r="M45" s="370"/>
      <c r="N45" s="370"/>
      <c r="O45" s="370"/>
      <c r="P45" s="370"/>
    </row>
    <row r="46" spans="1:16" ht="5" customHeight="1">
      <c r="A46" s="201"/>
      <c r="B46" s="293"/>
      <c r="C46" s="203"/>
      <c r="D46" s="203"/>
      <c r="E46" s="204"/>
      <c r="F46" s="205"/>
      <c r="G46" s="203"/>
      <c r="H46" s="204"/>
      <c r="I46" s="202"/>
      <c r="J46" s="206"/>
      <c r="K46" s="203"/>
      <c r="L46" s="204"/>
      <c r="M46" s="370"/>
      <c r="N46" s="370"/>
      <c r="O46" s="370"/>
      <c r="P46" s="370"/>
    </row>
    <row r="47" spans="1:16" ht="15.75" customHeight="1">
      <c r="A47" s="407" t="s">
        <v>540</v>
      </c>
      <c r="B47" s="408"/>
      <c r="C47" s="409"/>
      <c r="D47" s="409"/>
      <c r="E47" s="410"/>
      <c r="F47" s="411"/>
      <c r="G47" s="409"/>
      <c r="H47" s="410"/>
      <c r="I47" s="412"/>
      <c r="J47" s="413"/>
      <c r="K47" s="409"/>
      <c r="L47" s="410"/>
      <c r="M47" s="370"/>
      <c r="N47" s="370"/>
      <c r="O47" s="370"/>
      <c r="P47" s="370"/>
    </row>
    <row r="48" spans="1:16" ht="11.25" customHeight="1">
      <c r="A48" s="181" t="str">
        <f>'A4-FinPerf RE'!A25</f>
        <v>Employee related costs</v>
      </c>
      <c r="B48" s="293"/>
      <c r="C48" s="203"/>
      <c r="D48" s="203"/>
      <c r="E48" s="204"/>
      <c r="F48" s="205"/>
      <c r="G48" s="203"/>
      <c r="H48" s="204"/>
      <c r="I48" s="202"/>
      <c r="J48" s="206"/>
      <c r="K48" s="203"/>
      <c r="L48" s="204"/>
      <c r="M48" s="370"/>
      <c r="N48" s="370"/>
      <c r="O48" s="370"/>
      <c r="P48" s="370"/>
    </row>
    <row r="49" spans="1:16" ht="11.25" customHeight="1">
      <c r="A49" s="190" t="s">
        <v>1305</v>
      </c>
      <c r="B49" s="294">
        <v>2</v>
      </c>
      <c r="C49" s="1635">
        <f>158107858.29+2699100</f>
        <v>160806958.28999999</v>
      </c>
      <c r="D49" s="1635">
        <f>175067171+22330000+26344258</f>
        <v>223741429</v>
      </c>
      <c r="E49" s="1615">
        <f>205726939+2837000</f>
        <v>208563939</v>
      </c>
      <c r="F49" s="2534">
        <f>251066768+50000000</f>
        <v>301066768</v>
      </c>
      <c r="G49" s="2534">
        <v>314810856</v>
      </c>
      <c r="H49" s="2534">
        <v>314810856</v>
      </c>
      <c r="I49" s="2534">
        <v>314810856</v>
      </c>
      <c r="J49" s="2534">
        <v>322241596</v>
      </c>
      <c r="K49" s="1615">
        <v>348831739</v>
      </c>
      <c r="L49" s="1635">
        <v>372760748</v>
      </c>
      <c r="M49" s="370"/>
      <c r="N49" s="370"/>
      <c r="O49" s="370"/>
      <c r="P49" s="370"/>
    </row>
    <row r="50" spans="1:16" ht="11.25" customHeight="1">
      <c r="A50" s="190" t="s">
        <v>2057</v>
      </c>
      <c r="B50" s="293"/>
      <c r="C50" s="1635">
        <v>41889639.75</v>
      </c>
      <c r="D50" s="1635">
        <v>35160417</v>
      </c>
      <c r="E50" s="1615">
        <v>54612662</v>
      </c>
      <c r="F50" s="2534">
        <v>40457678.403999999</v>
      </c>
      <c r="G50" s="2534">
        <v>66862521</v>
      </c>
      <c r="H50" s="2534">
        <v>66862521</v>
      </c>
      <c r="I50" s="2534">
        <v>66862521</v>
      </c>
      <c r="J50" s="2534">
        <v>60036434</v>
      </c>
      <c r="K50" s="1615">
        <v>63938808</v>
      </c>
      <c r="L50" s="1635">
        <v>68094835</v>
      </c>
      <c r="M50" s="370"/>
      <c r="N50" s="370"/>
      <c r="O50" s="370"/>
      <c r="P50" s="370"/>
    </row>
    <row r="51" spans="1:16" ht="11.25" customHeight="1">
      <c r="A51" s="190" t="s">
        <v>765</v>
      </c>
      <c r="B51" s="293"/>
      <c r="C51" s="1615"/>
      <c r="D51" s="1635">
        <v>15883188</v>
      </c>
      <c r="E51" s="1615">
        <v>63197976</v>
      </c>
      <c r="F51" s="2534">
        <v>17167899.086000003</v>
      </c>
      <c r="G51" s="2534">
        <v>12996470</v>
      </c>
      <c r="H51" s="2534">
        <v>12996470</v>
      </c>
      <c r="I51" s="2534">
        <v>12996470</v>
      </c>
      <c r="J51" s="2534">
        <v>22642891</v>
      </c>
      <c r="K51" s="1615">
        <v>24114679</v>
      </c>
      <c r="L51" s="1635">
        <v>25682129</v>
      </c>
      <c r="M51" s="370"/>
      <c r="N51" s="370"/>
      <c r="O51" s="370"/>
      <c r="P51" s="370"/>
    </row>
    <row r="52" spans="1:16" ht="11.25" customHeight="1">
      <c r="A52" s="190" t="s">
        <v>1093</v>
      </c>
      <c r="B52" s="293"/>
      <c r="C52" s="1615"/>
      <c r="D52" s="1635">
        <v>25854565</v>
      </c>
      <c r="E52" s="1615">
        <v>1960752</v>
      </c>
      <c r="F52" s="2534">
        <v>20343024.858000003</v>
      </c>
      <c r="G52" s="2534">
        <v>2211655</v>
      </c>
      <c r="H52" s="2534">
        <v>2211655</v>
      </c>
      <c r="I52" s="2534">
        <v>2211655</v>
      </c>
      <c r="J52" s="2534">
        <v>29879881</v>
      </c>
      <c r="K52" s="1615">
        <v>31822072</v>
      </c>
      <c r="L52" s="1635">
        <v>33890508</v>
      </c>
      <c r="M52" s="370"/>
      <c r="N52" s="370"/>
      <c r="O52" s="370"/>
      <c r="P52" s="370"/>
    </row>
    <row r="53" spans="1:16" ht="11.25" customHeight="1">
      <c r="A53" s="190" t="s">
        <v>767</v>
      </c>
      <c r="B53" s="293"/>
      <c r="C53" s="1615"/>
      <c r="D53" s="1635">
        <v>13039911</v>
      </c>
      <c r="E53" s="1615">
        <v>19483513</v>
      </c>
      <c r="F53" s="2534">
        <v>4307097.3139999993</v>
      </c>
      <c r="G53" s="2534">
        <v>23684725</v>
      </c>
      <c r="H53" s="2534">
        <v>23684725</v>
      </c>
      <c r="I53" s="2534">
        <v>23684725</v>
      </c>
      <c r="J53" s="2534">
        <v>5280741</v>
      </c>
      <c r="K53" s="1615">
        <v>5623986</v>
      </c>
      <c r="L53" s="1635">
        <v>5989555</v>
      </c>
      <c r="M53" s="370"/>
      <c r="N53" s="370"/>
      <c r="O53" s="370"/>
      <c r="P53" s="370"/>
    </row>
    <row r="54" spans="1:16" ht="11.25" customHeight="1">
      <c r="A54" s="190" t="s">
        <v>2213</v>
      </c>
      <c r="B54" s="293"/>
      <c r="C54" s="1635">
        <v>-24333811.560000017</v>
      </c>
      <c r="D54" s="1635">
        <v>8399174</v>
      </c>
      <c r="E54" s="1615">
        <v>3942286</v>
      </c>
      <c r="F54" s="2534">
        <v>10050057.186000001</v>
      </c>
      <c r="G54" s="2534">
        <v>161765</v>
      </c>
      <c r="H54" s="2534">
        <v>161765</v>
      </c>
      <c r="I54" s="2534">
        <v>161765</v>
      </c>
      <c r="J54" s="2534">
        <v>12716949</v>
      </c>
      <c r="K54" s="1615">
        <v>13543546</v>
      </c>
      <c r="L54" s="1635">
        <v>14423785</v>
      </c>
      <c r="M54" s="370"/>
      <c r="N54" s="370"/>
      <c r="O54" s="370"/>
      <c r="P54" s="370"/>
    </row>
    <row r="55" spans="1:16" ht="11.25" customHeight="1">
      <c r="A55" s="190" t="s">
        <v>2058</v>
      </c>
      <c r="B55" s="293"/>
      <c r="C55" s="1615"/>
      <c r="D55" s="1635">
        <v>65679</v>
      </c>
      <c r="E55" s="1615">
        <v>0</v>
      </c>
      <c r="F55" s="2534">
        <v>86065.641999999993</v>
      </c>
      <c r="G55" s="2534">
        <v>0</v>
      </c>
      <c r="H55" s="2534">
        <v>0</v>
      </c>
      <c r="I55" s="2534">
        <v>0</v>
      </c>
      <c r="J55" s="2534">
        <v>135451</v>
      </c>
      <c r="K55" s="1615">
        <v>144256</v>
      </c>
      <c r="L55" s="1635">
        <v>153635</v>
      </c>
      <c r="M55" s="370"/>
      <c r="N55" s="370"/>
      <c r="O55" s="370"/>
      <c r="P55" s="370"/>
    </row>
    <row r="56" spans="1:16" ht="11.25" customHeight="1">
      <c r="A56" s="190" t="s">
        <v>2214</v>
      </c>
      <c r="B56" s="293"/>
      <c r="C56" s="1635">
        <v>2015013.4100000001</v>
      </c>
      <c r="D56" s="1635">
        <v>1619092</v>
      </c>
      <c r="E56" s="1615">
        <v>0</v>
      </c>
      <c r="F56" s="2534">
        <v>2009549.6460000006</v>
      </c>
      <c r="G56" s="2534">
        <v>0</v>
      </c>
      <c r="H56" s="2534">
        <v>0</v>
      </c>
      <c r="I56" s="2534">
        <v>0</v>
      </c>
      <c r="J56" s="2534">
        <v>1695903</v>
      </c>
      <c r="K56" s="1615">
        <v>1806134</v>
      </c>
      <c r="L56" s="1635">
        <v>1923533</v>
      </c>
      <c r="M56" s="370"/>
      <c r="N56" s="370"/>
      <c r="O56" s="370"/>
      <c r="P56" s="370"/>
    </row>
    <row r="57" spans="1:16" ht="11.25" customHeight="1">
      <c r="A57" s="190" t="s">
        <v>1539</v>
      </c>
      <c r="B57" s="293"/>
      <c r="C57" s="1615"/>
      <c r="D57" s="1615"/>
      <c r="E57" s="1615">
        <v>0</v>
      </c>
      <c r="F57" s="2534">
        <v>16130859.107999992</v>
      </c>
      <c r="G57" s="2534">
        <v>0</v>
      </c>
      <c r="H57" s="2534">
        <v>0</v>
      </c>
      <c r="I57" s="2534">
        <v>0</v>
      </c>
      <c r="J57" s="2534">
        <v>16680852</v>
      </c>
      <c r="K57" s="1615">
        <v>17765652</v>
      </c>
      <c r="L57" s="1635">
        <v>18920424</v>
      </c>
      <c r="M57" s="370"/>
      <c r="N57" s="370"/>
      <c r="O57" s="370"/>
      <c r="P57" s="370"/>
    </row>
    <row r="58" spans="1:16" ht="11.25" customHeight="1">
      <c r="A58" s="190" t="s">
        <v>1668</v>
      </c>
      <c r="B58" s="293"/>
      <c r="C58" s="1615"/>
      <c r="D58" s="1615"/>
      <c r="E58" s="1635"/>
      <c r="F58" s="1636"/>
      <c r="G58" s="1615"/>
      <c r="H58" s="1635"/>
      <c r="I58" s="1637"/>
      <c r="J58" s="2534"/>
      <c r="K58" s="1615"/>
      <c r="L58" s="1635"/>
      <c r="M58" s="370"/>
      <c r="N58" s="370"/>
      <c r="O58" s="370"/>
      <c r="P58" s="370"/>
    </row>
    <row r="59" spans="1:16" ht="11.25" customHeight="1">
      <c r="A59" s="190" t="s">
        <v>1094</v>
      </c>
      <c r="B59" s="293"/>
      <c r="C59" s="1615"/>
      <c r="D59" s="1615"/>
      <c r="E59" s="1635"/>
      <c r="F59" s="1636"/>
      <c r="G59" s="1615"/>
      <c r="H59" s="1635"/>
      <c r="I59" s="1637"/>
      <c r="J59" s="1617"/>
      <c r="K59" s="1615"/>
      <c r="L59" s="1635"/>
      <c r="M59" s="370"/>
      <c r="N59" s="370"/>
      <c r="O59" s="370"/>
      <c r="P59" s="370"/>
    </row>
    <row r="60" spans="1:16" ht="11.25" customHeight="1">
      <c r="A60" s="190" t="s">
        <v>1669</v>
      </c>
      <c r="B60" s="293">
        <v>4</v>
      </c>
      <c r="C60" s="1615"/>
      <c r="D60" s="1615"/>
      <c r="E60" s="1635"/>
      <c r="F60" s="1636"/>
      <c r="G60" s="1615"/>
      <c r="H60" s="1635"/>
      <c r="I60" s="1637"/>
      <c r="J60" s="1617"/>
      <c r="K60" s="1615"/>
      <c r="L60" s="1635"/>
      <c r="M60" s="370"/>
      <c r="N60" s="370"/>
      <c r="O60" s="370"/>
      <c r="P60" s="370"/>
    </row>
    <row r="61" spans="1:16" ht="11.25" customHeight="1">
      <c r="A61" s="414" t="s">
        <v>139</v>
      </c>
      <c r="B61" s="293">
        <v>5</v>
      </c>
      <c r="C61" s="267">
        <f>SUM(C49:C60)</f>
        <v>180377799.88999996</v>
      </c>
      <c r="D61" s="267">
        <f t="shared" ref="D61:L61" si="6">SUM(D49:D60)</f>
        <v>323763455</v>
      </c>
      <c r="E61" s="268">
        <f t="shared" si="6"/>
        <v>351761128</v>
      </c>
      <c r="F61" s="269">
        <f t="shared" si="6"/>
        <v>411618999.24400002</v>
      </c>
      <c r="G61" s="267">
        <f t="shared" si="6"/>
        <v>420727992</v>
      </c>
      <c r="H61" s="268">
        <f t="shared" si="6"/>
        <v>420727992</v>
      </c>
      <c r="I61" s="266">
        <f t="shared" si="6"/>
        <v>420727992</v>
      </c>
      <c r="J61" s="270">
        <f t="shared" si="6"/>
        <v>471310698</v>
      </c>
      <c r="K61" s="267">
        <f t="shared" si="6"/>
        <v>507590872</v>
      </c>
      <c r="L61" s="268">
        <f t="shared" si="6"/>
        <v>541839152</v>
      </c>
      <c r="M61" s="370"/>
      <c r="N61" s="370"/>
      <c r="O61" s="370"/>
      <c r="P61" s="370"/>
    </row>
    <row r="62" spans="1:16" ht="11.25" customHeight="1">
      <c r="A62" s="415" t="s">
        <v>499</v>
      </c>
      <c r="B62" s="293"/>
      <c r="C62" s="1635">
        <v>3698400</v>
      </c>
      <c r="D62" s="1635">
        <v>1115988</v>
      </c>
      <c r="E62" s="1615">
        <v>1828600</v>
      </c>
      <c r="F62" s="2534">
        <v>8564493</v>
      </c>
      <c r="G62" s="2534">
        <v>8564493</v>
      </c>
      <c r="H62" s="2534">
        <v>8564493</v>
      </c>
      <c r="I62" s="2534">
        <v>8564493</v>
      </c>
      <c r="J62" s="2534">
        <v>8564493</v>
      </c>
      <c r="K62" s="1615">
        <v>9078362</v>
      </c>
      <c r="L62" s="1635">
        <v>9623064</v>
      </c>
      <c r="M62" s="370"/>
      <c r="N62" s="370"/>
      <c r="O62" s="370"/>
      <c r="P62" s="370"/>
    </row>
    <row r="63" spans="1:16" ht="11.25" customHeight="1">
      <c r="A63" s="326" t="str">
        <f>"Total "&amp;A48</f>
        <v>Total Employee related costs</v>
      </c>
      <c r="B63" s="293">
        <v>1</v>
      </c>
      <c r="C63" s="267">
        <f>C61-C62</f>
        <v>176679399.88999996</v>
      </c>
      <c r="D63" s="267">
        <f t="shared" ref="D63:L63" si="7">D61-D62</f>
        <v>322647467</v>
      </c>
      <c r="E63" s="268">
        <f t="shared" si="7"/>
        <v>349932528</v>
      </c>
      <c r="F63" s="269">
        <f t="shared" si="7"/>
        <v>403054506.24400002</v>
      </c>
      <c r="G63" s="267">
        <f t="shared" si="7"/>
        <v>412163499</v>
      </c>
      <c r="H63" s="268">
        <f t="shared" si="7"/>
        <v>412163499</v>
      </c>
      <c r="I63" s="266">
        <f t="shared" si="7"/>
        <v>412163499</v>
      </c>
      <c r="J63" s="270">
        <f t="shared" si="7"/>
        <v>462746205</v>
      </c>
      <c r="K63" s="267">
        <f t="shared" si="7"/>
        <v>498512510</v>
      </c>
      <c r="L63" s="268">
        <f t="shared" si="7"/>
        <v>532216088</v>
      </c>
      <c r="M63" s="370"/>
      <c r="N63" s="370"/>
      <c r="O63" s="370"/>
      <c r="P63" s="370"/>
    </row>
    <row r="64" spans="1:16" ht="5" customHeight="1">
      <c r="A64" s="201"/>
      <c r="B64" s="293"/>
      <c r="C64" s="203"/>
      <c r="D64" s="203"/>
      <c r="E64" s="204"/>
      <c r="F64" s="205"/>
      <c r="G64" s="203"/>
      <c r="H64" s="204"/>
      <c r="I64" s="202"/>
      <c r="J64" s="206"/>
      <c r="K64" s="203"/>
      <c r="L64" s="204"/>
      <c r="M64" s="370"/>
      <c r="N64" s="370"/>
      <c r="O64" s="370"/>
      <c r="P64" s="370"/>
    </row>
    <row r="65" spans="1:16" ht="11.25" customHeight="1">
      <c r="A65" s="181" t="s">
        <v>819</v>
      </c>
      <c r="B65" s="293"/>
      <c r="C65" s="1291"/>
      <c r="D65" s="1291"/>
      <c r="E65" s="1331"/>
      <c r="F65" s="1332"/>
      <c r="G65" s="1291"/>
      <c r="H65" s="1331"/>
      <c r="I65" s="1333"/>
      <c r="J65" s="1292"/>
      <c r="K65" s="1291"/>
      <c r="L65" s="1331"/>
      <c r="M65" s="370"/>
      <c r="N65" s="370"/>
      <c r="O65" s="370"/>
      <c r="P65" s="370"/>
    </row>
    <row r="66" spans="1:16" ht="11.25" customHeight="1">
      <c r="A66" s="1682" t="s">
        <v>3993</v>
      </c>
      <c r="B66" s="293"/>
      <c r="C66" s="1635">
        <v>-183504768.03999999</v>
      </c>
      <c r="D66" s="1635">
        <v>12575328</v>
      </c>
      <c r="E66" s="1615">
        <v>23959423</v>
      </c>
      <c r="F66" s="2534">
        <v>-101275786.756</v>
      </c>
      <c r="G66" s="2534">
        <v>-38188326</v>
      </c>
      <c r="H66" s="2534">
        <v>-38188326</v>
      </c>
      <c r="I66" s="2534">
        <v>-38188326</v>
      </c>
      <c r="J66" s="2534">
        <v>-18481336</v>
      </c>
      <c r="K66" s="1615">
        <v>-35673305</v>
      </c>
      <c r="L66" s="1635">
        <v>-91466659</v>
      </c>
      <c r="M66" s="370"/>
      <c r="N66" s="370"/>
      <c r="O66" s="370"/>
      <c r="P66" s="370"/>
    </row>
    <row r="67" spans="1:16" ht="11.25" customHeight="1">
      <c r="A67" s="1682"/>
      <c r="B67" s="293"/>
      <c r="C67" s="1615"/>
      <c r="D67" s="1615"/>
      <c r="E67" s="1635"/>
      <c r="F67" s="1636"/>
      <c r="G67" s="1615"/>
      <c r="H67" s="1635"/>
      <c r="I67" s="1637"/>
      <c r="J67" s="2534"/>
      <c r="K67" s="1615"/>
      <c r="L67" s="1635"/>
      <c r="M67" s="370"/>
      <c r="N67" s="370"/>
      <c r="O67" s="370"/>
      <c r="P67" s="370"/>
    </row>
    <row r="68" spans="1:16" ht="11.25" customHeight="1">
      <c r="A68" s="1682"/>
      <c r="B68" s="293"/>
      <c r="C68" s="1615"/>
      <c r="D68" s="1615"/>
      <c r="E68" s="1635"/>
      <c r="F68" s="1636"/>
      <c r="G68" s="1615"/>
      <c r="H68" s="1635"/>
      <c r="I68" s="1637"/>
      <c r="J68" s="2534"/>
      <c r="K68" s="1615"/>
      <c r="L68" s="1635"/>
      <c r="M68" s="370"/>
      <c r="N68" s="370"/>
      <c r="O68" s="370"/>
      <c r="P68" s="370"/>
    </row>
    <row r="69" spans="1:16" ht="11.25" customHeight="1">
      <c r="A69" s="1682"/>
      <c r="B69" s="293"/>
      <c r="C69" s="1615"/>
      <c r="D69" s="1615"/>
      <c r="E69" s="1635"/>
      <c r="F69" s="1636"/>
      <c r="G69" s="1615"/>
      <c r="H69" s="1635"/>
      <c r="I69" s="1637"/>
      <c r="J69" s="2534"/>
      <c r="K69" s="1615"/>
      <c r="L69" s="1635"/>
      <c r="M69" s="370"/>
      <c r="N69" s="370"/>
      <c r="O69" s="370"/>
      <c r="P69" s="370"/>
    </row>
    <row r="70" spans="1:16" ht="11.25" customHeight="1">
      <c r="A70" s="1682"/>
      <c r="B70" s="293"/>
      <c r="C70" s="1615"/>
      <c r="D70" s="1615"/>
      <c r="E70" s="1635"/>
      <c r="F70" s="1636"/>
      <c r="G70" s="1615"/>
      <c r="H70" s="1635"/>
      <c r="I70" s="1637"/>
      <c r="J70" s="1617"/>
      <c r="K70" s="1615"/>
      <c r="L70" s="1635"/>
      <c r="M70" s="370"/>
      <c r="N70" s="370"/>
      <c r="O70" s="370"/>
      <c r="P70" s="370"/>
    </row>
    <row r="71" spans="1:16" ht="11.25" customHeight="1">
      <c r="A71" s="1682"/>
      <c r="B71" s="293"/>
      <c r="C71" s="1615"/>
      <c r="D71" s="1615"/>
      <c r="E71" s="1635"/>
      <c r="F71" s="1636"/>
      <c r="G71" s="1615"/>
      <c r="H71" s="1635"/>
      <c r="I71" s="1637"/>
      <c r="J71" s="1617"/>
      <c r="K71" s="1615"/>
      <c r="L71" s="1635"/>
      <c r="M71" s="370"/>
      <c r="N71" s="370"/>
      <c r="O71" s="370"/>
      <c r="P71" s="370"/>
    </row>
    <row r="72" spans="1:16" ht="11.25" customHeight="1">
      <c r="A72" s="326" t="str">
        <f>"Total "&amp;A65</f>
        <v>Total Contributions recognised - capital</v>
      </c>
      <c r="B72" s="293"/>
      <c r="C72" s="213">
        <f t="shared" ref="C72:L72" si="8">SUM(C66:C71)</f>
        <v>-183504768.03999999</v>
      </c>
      <c r="D72" s="213">
        <f t="shared" si="8"/>
        <v>12575328</v>
      </c>
      <c r="E72" s="214">
        <f t="shared" si="8"/>
        <v>23959423</v>
      </c>
      <c r="F72" s="215">
        <f t="shared" si="8"/>
        <v>-101275786.756</v>
      </c>
      <c r="G72" s="213">
        <f t="shared" si="8"/>
        <v>-38188326</v>
      </c>
      <c r="H72" s="214">
        <f t="shared" si="8"/>
        <v>-38188326</v>
      </c>
      <c r="I72" s="212">
        <f t="shared" si="8"/>
        <v>-38188326</v>
      </c>
      <c r="J72" s="216">
        <f t="shared" si="8"/>
        <v>-18481336</v>
      </c>
      <c r="K72" s="213">
        <f t="shared" si="8"/>
        <v>-35673305</v>
      </c>
      <c r="L72" s="214">
        <f t="shared" si="8"/>
        <v>-91466659</v>
      </c>
      <c r="M72" s="370"/>
      <c r="N72" s="370"/>
      <c r="O72" s="370"/>
      <c r="P72" s="370"/>
    </row>
    <row r="73" spans="1:16" ht="5" customHeight="1">
      <c r="A73" s="201"/>
      <c r="B73" s="293"/>
      <c r="C73" s="203"/>
      <c r="D73" s="203"/>
      <c r="E73" s="204"/>
      <c r="F73" s="205"/>
      <c r="G73" s="203"/>
      <c r="H73" s="204"/>
      <c r="I73" s="202"/>
      <c r="J73" s="206"/>
      <c r="K73" s="203"/>
      <c r="L73" s="204"/>
      <c r="M73" s="370"/>
      <c r="N73" s="370"/>
      <c r="O73" s="370"/>
      <c r="P73" s="370"/>
    </row>
    <row r="74" spans="1:16" ht="11.25" customHeight="1">
      <c r="A74" s="181" t="str">
        <f>'A4-FinPerf RE'!A28</f>
        <v>Depreciation &amp; asset impairment</v>
      </c>
      <c r="B74" s="293"/>
      <c r="C74" s="203"/>
      <c r="D74" s="203"/>
      <c r="E74" s="204"/>
      <c r="F74" s="205"/>
      <c r="G74" s="203"/>
      <c r="H74" s="204"/>
      <c r="I74" s="202"/>
      <c r="J74" s="206"/>
      <c r="K74" s="203"/>
      <c r="L74" s="204"/>
      <c r="M74" s="370"/>
      <c r="N74" s="370"/>
      <c r="O74" s="370"/>
      <c r="P74" s="370"/>
    </row>
    <row r="75" spans="1:16" ht="11.25" customHeight="1">
      <c r="A75" s="325" t="s">
        <v>1590</v>
      </c>
      <c r="B75" s="293"/>
      <c r="C75" s="1635">
        <v>109873900</v>
      </c>
      <c r="D75" s="1635">
        <v>403378129</v>
      </c>
      <c r="E75" s="1615">
        <v>403760550</v>
      </c>
      <c r="F75" s="2534">
        <v>124317839</v>
      </c>
      <c r="G75" s="2534">
        <v>124620031</v>
      </c>
      <c r="H75" s="2534">
        <v>124620031</v>
      </c>
      <c r="I75" s="2534">
        <v>124620031</v>
      </c>
      <c r="J75" s="1617">
        <f>420604803+15579912-150000000</f>
        <v>286184715</v>
      </c>
      <c r="K75" s="1615">
        <f>437878435+15579912-150000000</f>
        <v>303458347</v>
      </c>
      <c r="L75" s="1635">
        <f>455406499+15579912-150000000</f>
        <v>320986411</v>
      </c>
      <c r="M75" s="370"/>
      <c r="N75" s="370"/>
      <c r="O75" s="370"/>
      <c r="P75" s="370"/>
    </row>
    <row r="76" spans="1:16" ht="11.25" customHeight="1">
      <c r="A76" s="325" t="s">
        <v>959</v>
      </c>
      <c r="B76" s="293"/>
      <c r="C76" s="1615">
        <v>0</v>
      </c>
      <c r="D76" s="1635">
        <v>0</v>
      </c>
      <c r="E76" s="1635">
        <v>0</v>
      </c>
      <c r="F76" s="2534">
        <v>0</v>
      </c>
      <c r="G76" s="1615">
        <v>0</v>
      </c>
      <c r="H76" s="1615">
        <v>0</v>
      </c>
      <c r="I76" s="1615">
        <v>0</v>
      </c>
      <c r="J76" s="2534">
        <v>0</v>
      </c>
      <c r="K76" s="1615">
        <v>0</v>
      </c>
      <c r="L76" s="1635">
        <v>0</v>
      </c>
      <c r="M76" s="370"/>
      <c r="N76" s="370"/>
      <c r="O76" s="370"/>
      <c r="P76" s="370"/>
    </row>
    <row r="77" spans="1:16" ht="11.25" customHeight="1">
      <c r="A77" s="325" t="s">
        <v>1468</v>
      </c>
      <c r="B77" s="293"/>
      <c r="C77" s="1615">
        <v>0</v>
      </c>
      <c r="D77" s="1635">
        <v>0</v>
      </c>
      <c r="E77" s="1635">
        <v>0</v>
      </c>
      <c r="F77" s="2534">
        <v>0</v>
      </c>
      <c r="G77" s="1615">
        <v>0</v>
      </c>
      <c r="H77" s="1615">
        <v>0</v>
      </c>
      <c r="I77" s="1615">
        <v>0</v>
      </c>
      <c r="J77" s="1617">
        <v>0</v>
      </c>
      <c r="K77" s="1615">
        <v>0</v>
      </c>
      <c r="L77" s="1635">
        <v>0</v>
      </c>
      <c r="M77" s="370"/>
      <c r="N77" s="370"/>
      <c r="O77" s="370"/>
      <c r="P77" s="370"/>
    </row>
    <row r="78" spans="1:16" ht="11.25" customHeight="1">
      <c r="A78" s="325" t="s">
        <v>2215</v>
      </c>
      <c r="B78" s="293">
        <v>10</v>
      </c>
      <c r="C78" s="1615">
        <v>0</v>
      </c>
      <c r="D78" s="1615">
        <v>0</v>
      </c>
      <c r="E78" s="1635">
        <v>0</v>
      </c>
      <c r="F78" s="1636">
        <v>0</v>
      </c>
      <c r="G78" s="1615">
        <v>0</v>
      </c>
      <c r="H78" s="1635">
        <v>0</v>
      </c>
      <c r="I78" s="1637">
        <v>0</v>
      </c>
      <c r="J78" s="2534"/>
      <c r="K78" s="1615"/>
      <c r="L78" s="1635"/>
      <c r="M78" s="370"/>
      <c r="N78" s="370"/>
      <c r="O78" s="370"/>
      <c r="P78" s="370"/>
    </row>
    <row r="79" spans="1:16" ht="11.25" customHeight="1">
      <c r="A79" s="326" t="str">
        <f>"Total "&amp;LEFT(A74,35)</f>
        <v>Total Depreciation &amp; asset impairment</v>
      </c>
      <c r="B79" s="293">
        <v>1</v>
      </c>
      <c r="C79" s="213">
        <f>SUM(C75:C77)-C78</f>
        <v>109873900</v>
      </c>
      <c r="D79" s="213">
        <f t="shared" ref="D79:L79" si="9">SUM(D75:D77)-D78</f>
        <v>403378129</v>
      </c>
      <c r="E79" s="214">
        <f t="shared" si="9"/>
        <v>403760550</v>
      </c>
      <c r="F79" s="215">
        <f t="shared" si="9"/>
        <v>124317839</v>
      </c>
      <c r="G79" s="213">
        <f t="shared" si="9"/>
        <v>124620031</v>
      </c>
      <c r="H79" s="214">
        <f t="shared" si="9"/>
        <v>124620031</v>
      </c>
      <c r="I79" s="212">
        <f t="shared" si="9"/>
        <v>124620031</v>
      </c>
      <c r="J79" s="216">
        <f>SUM(J75:J77)-J78</f>
        <v>286184715</v>
      </c>
      <c r="K79" s="213">
        <f t="shared" si="9"/>
        <v>303458347</v>
      </c>
      <c r="L79" s="214">
        <f t="shared" si="9"/>
        <v>320986411</v>
      </c>
      <c r="M79" s="370"/>
      <c r="N79" s="370"/>
      <c r="O79" s="370"/>
      <c r="P79" s="370"/>
    </row>
    <row r="80" spans="1:16" ht="5" customHeight="1">
      <c r="A80" s="326"/>
      <c r="B80" s="293"/>
      <c r="C80" s="218"/>
      <c r="D80" s="218"/>
      <c r="E80" s="219"/>
      <c r="F80" s="220"/>
      <c r="G80" s="218"/>
      <c r="H80" s="219"/>
      <c r="I80" s="217"/>
      <c r="J80" s="221"/>
      <c r="K80" s="218"/>
      <c r="L80" s="219"/>
      <c r="M80" s="370"/>
      <c r="N80" s="370"/>
      <c r="O80" s="370"/>
      <c r="P80" s="370"/>
    </row>
    <row r="81" spans="1:16" ht="11.25" customHeight="1">
      <c r="A81" s="181" t="str">
        <f>'A4-FinPerf RE'!A30</f>
        <v>Bulk purchases</v>
      </c>
      <c r="B81" s="293"/>
      <c r="C81" s="218"/>
      <c r="D81" s="218"/>
      <c r="E81" s="219"/>
      <c r="F81" s="220"/>
      <c r="G81" s="218"/>
      <c r="H81" s="219"/>
      <c r="I81" s="217"/>
      <c r="J81" s="221"/>
      <c r="K81" s="218"/>
      <c r="L81" s="219"/>
      <c r="M81" s="370"/>
      <c r="N81" s="370"/>
      <c r="O81" s="370"/>
      <c r="P81" s="370"/>
    </row>
    <row r="82" spans="1:16" ht="11.25" customHeight="1">
      <c r="A82" s="190" t="s">
        <v>1212</v>
      </c>
      <c r="B82" s="293"/>
      <c r="C82" s="1635">
        <v>646641328</v>
      </c>
      <c r="D82" s="1635">
        <v>791417110</v>
      </c>
      <c r="E82" s="1615">
        <v>600307160</v>
      </c>
      <c r="F82" s="2534">
        <v>1200597875</v>
      </c>
      <c r="G82" s="2534">
        <v>1048548156</v>
      </c>
      <c r="H82" s="2534">
        <v>1048548156</v>
      </c>
      <c r="I82" s="2534">
        <v>1048548156</v>
      </c>
      <c r="J82" s="2534">
        <f>896608744-112076093</f>
        <v>784532651</v>
      </c>
      <c r="K82" s="1615">
        <f>968337444-121042181</f>
        <v>847295263</v>
      </c>
      <c r="L82" s="1635">
        <f>1045804440-130725555</f>
        <v>915078885</v>
      </c>
      <c r="M82" s="370"/>
      <c r="N82" s="370"/>
      <c r="O82" s="370"/>
      <c r="P82" s="370"/>
    </row>
    <row r="83" spans="1:16" ht="11.25" customHeight="1">
      <c r="A83" s="190" t="s">
        <v>1213</v>
      </c>
      <c r="B83" s="293"/>
      <c r="C83" s="1635">
        <v>126391075</v>
      </c>
      <c r="D83" s="1635">
        <v>91525874</v>
      </c>
      <c r="E83" s="1615">
        <v>125490185</v>
      </c>
      <c r="F83" s="2534">
        <v>258649950</v>
      </c>
      <c r="G83" s="2534">
        <v>258649950</v>
      </c>
      <c r="H83" s="2534">
        <v>258649950</v>
      </c>
      <c r="I83" s="2534">
        <v>258649950</v>
      </c>
      <c r="J83" s="2534">
        <f>242291151-30087368</f>
        <v>212203783</v>
      </c>
      <c r="K83" s="1615">
        <f>266131433-33047858</f>
        <v>233083575</v>
      </c>
      <c r="L83" s="1635">
        <f>292317560-36299661</f>
        <v>256017899</v>
      </c>
      <c r="M83" s="370"/>
      <c r="N83" s="370"/>
      <c r="O83" s="370"/>
      <c r="P83" s="370"/>
    </row>
    <row r="84" spans="1:16" ht="10.5" customHeight="1">
      <c r="A84" s="326" t="s">
        <v>1214</v>
      </c>
      <c r="B84" s="293">
        <v>1</v>
      </c>
      <c r="C84" s="213">
        <f>SUM(C82:C83)</f>
        <v>773032403</v>
      </c>
      <c r="D84" s="213">
        <f t="shared" ref="D84:L84" si="10">SUM(D82:D83)</f>
        <v>882942984</v>
      </c>
      <c r="E84" s="214">
        <f t="shared" si="10"/>
        <v>725797345</v>
      </c>
      <c r="F84" s="215">
        <f t="shared" si="10"/>
        <v>1459247825</v>
      </c>
      <c r="G84" s="213">
        <f t="shared" si="10"/>
        <v>1307198106</v>
      </c>
      <c r="H84" s="214">
        <f t="shared" si="10"/>
        <v>1307198106</v>
      </c>
      <c r="I84" s="212">
        <f t="shared" si="10"/>
        <v>1307198106</v>
      </c>
      <c r="J84" s="216">
        <f t="shared" si="10"/>
        <v>996736434</v>
      </c>
      <c r="K84" s="213">
        <f t="shared" si="10"/>
        <v>1080378838</v>
      </c>
      <c r="L84" s="214">
        <f t="shared" si="10"/>
        <v>1171096784</v>
      </c>
      <c r="M84" s="370"/>
      <c r="N84" s="370"/>
      <c r="O84" s="370"/>
      <c r="P84" s="370"/>
    </row>
    <row r="85" spans="1:16" ht="4.5" customHeight="1">
      <c r="A85" s="326"/>
      <c r="B85" s="293"/>
      <c r="C85" s="218"/>
      <c r="D85" s="218"/>
      <c r="E85" s="219"/>
      <c r="F85" s="220"/>
      <c r="G85" s="218"/>
      <c r="H85" s="219"/>
      <c r="I85" s="217"/>
      <c r="J85" s="221"/>
      <c r="K85" s="218"/>
      <c r="L85" s="219"/>
      <c r="M85" s="370"/>
      <c r="N85" s="370"/>
      <c r="O85" s="370"/>
      <c r="P85" s="370"/>
    </row>
    <row r="86" spans="1:16" ht="12.75" customHeight="1">
      <c r="A86" s="181" t="s">
        <v>789</v>
      </c>
      <c r="B86" s="293"/>
      <c r="C86" s="218"/>
      <c r="D86" s="218"/>
      <c r="E86" s="219"/>
      <c r="F86" s="220"/>
      <c r="G86" s="218"/>
      <c r="H86" s="219"/>
      <c r="I86" s="217"/>
      <c r="J86" s="221"/>
      <c r="K86" s="218"/>
      <c r="L86" s="219"/>
      <c r="M86" s="370"/>
      <c r="N86" s="370"/>
      <c r="O86" s="370"/>
      <c r="P86" s="370"/>
    </row>
    <row r="87" spans="1:16" ht="12.75" customHeight="1">
      <c r="A87" s="190" t="s">
        <v>2206</v>
      </c>
      <c r="B87" s="293"/>
      <c r="C87" s="1064">
        <f>'SA21'!C34</f>
        <v>0</v>
      </c>
      <c r="D87" s="1064">
        <f>'SA21'!D34</f>
        <v>0</v>
      </c>
      <c r="E87" s="1065">
        <f>'SA21'!E34</f>
        <v>0</v>
      </c>
      <c r="F87" s="1066">
        <f>'SA21'!F34</f>
        <v>289388</v>
      </c>
      <c r="G87" s="1064">
        <f>'SA21'!G34</f>
        <v>289388</v>
      </c>
      <c r="H87" s="1065">
        <f>'SA21'!H34</f>
        <v>289388</v>
      </c>
      <c r="I87" s="1067">
        <f>'SA21'!I34</f>
        <v>289388</v>
      </c>
      <c r="J87" s="1068">
        <f>'SA21'!J34</f>
        <v>476400</v>
      </c>
      <c r="K87" s="1064">
        <f>'SA21'!K34</f>
        <v>485000</v>
      </c>
      <c r="L87" s="1065">
        <f>'SA21'!L34</f>
        <v>487800</v>
      </c>
      <c r="M87" s="370"/>
      <c r="N87" s="370"/>
      <c r="O87" s="370"/>
      <c r="P87" s="370"/>
    </row>
    <row r="88" spans="1:16" ht="12.75" customHeight="1">
      <c r="A88" s="190" t="s">
        <v>2207</v>
      </c>
      <c r="B88" s="293"/>
      <c r="C88" s="1064">
        <f>'SA21'!C65</f>
        <v>0</v>
      </c>
      <c r="D88" s="1064">
        <f>'SA21'!D65</f>
        <v>0</v>
      </c>
      <c r="E88" s="1065">
        <f>'SA21'!E65</f>
        <v>0</v>
      </c>
      <c r="F88" s="1066">
        <f>'SA21'!F65</f>
        <v>0</v>
      </c>
      <c r="G88" s="1064">
        <f>'SA21'!G65</f>
        <v>0</v>
      </c>
      <c r="H88" s="1065">
        <f>'SA21'!H65</f>
        <v>0</v>
      </c>
      <c r="I88" s="1067">
        <f>'SA21'!I65</f>
        <v>0</v>
      </c>
      <c r="J88" s="1068">
        <f>'SA21'!J65</f>
        <v>0</v>
      </c>
      <c r="K88" s="1064">
        <f>'SA21'!K65</f>
        <v>0</v>
      </c>
      <c r="L88" s="1065">
        <f>'SA21'!L65</f>
        <v>0</v>
      </c>
      <c r="M88" s="370"/>
      <c r="N88" s="370"/>
      <c r="O88" s="370"/>
      <c r="P88" s="370"/>
    </row>
    <row r="89" spans="1:16" ht="12.75" customHeight="1">
      <c r="A89" s="326" t="s">
        <v>2208</v>
      </c>
      <c r="B89" s="293">
        <v>1</v>
      </c>
      <c r="C89" s="213">
        <f>SUM(C87:C88)</f>
        <v>0</v>
      </c>
      <c r="D89" s="213">
        <f t="shared" ref="D89:L89" si="11">SUM(D87:D88)</f>
        <v>0</v>
      </c>
      <c r="E89" s="214">
        <f t="shared" si="11"/>
        <v>0</v>
      </c>
      <c r="F89" s="215">
        <f t="shared" si="11"/>
        <v>289388</v>
      </c>
      <c r="G89" s="213">
        <f t="shared" si="11"/>
        <v>289388</v>
      </c>
      <c r="H89" s="214">
        <f t="shared" si="11"/>
        <v>289388</v>
      </c>
      <c r="I89" s="212">
        <f t="shared" si="11"/>
        <v>289388</v>
      </c>
      <c r="J89" s="216">
        <f t="shared" si="11"/>
        <v>476400</v>
      </c>
      <c r="K89" s="213">
        <f t="shared" si="11"/>
        <v>485000</v>
      </c>
      <c r="L89" s="214">
        <f t="shared" si="11"/>
        <v>487800</v>
      </c>
      <c r="M89" s="370"/>
      <c r="N89" s="370"/>
      <c r="O89" s="370"/>
      <c r="P89" s="370"/>
    </row>
    <row r="90" spans="1:16" ht="4.5" customHeight="1">
      <c r="A90" s="326"/>
      <c r="B90" s="293"/>
      <c r="C90" s="218"/>
      <c r="D90" s="218"/>
      <c r="E90" s="219"/>
      <c r="F90" s="220"/>
      <c r="G90" s="218"/>
      <c r="H90" s="219"/>
      <c r="I90" s="217"/>
      <c r="J90" s="221"/>
      <c r="K90" s="218"/>
      <c r="L90" s="219"/>
      <c r="M90" s="370"/>
      <c r="N90" s="370"/>
      <c r="O90" s="370"/>
      <c r="P90" s="370"/>
    </row>
    <row r="91" spans="1:16" ht="11.25" customHeight="1">
      <c r="A91" s="181" t="str">
        <f>'A4-FinPerf RE'!A32</f>
        <v>Contracted services</v>
      </c>
      <c r="B91" s="293"/>
      <c r="C91" s="203"/>
      <c r="D91" s="203"/>
      <c r="E91" s="204"/>
      <c r="F91" s="205"/>
      <c r="G91" s="203"/>
      <c r="H91" s="204"/>
      <c r="I91" s="202"/>
      <c r="J91" s="206"/>
      <c r="K91" s="203"/>
      <c r="L91" s="204"/>
      <c r="M91" s="370"/>
      <c r="N91" s="370"/>
      <c r="O91" s="370"/>
      <c r="P91" s="370"/>
    </row>
    <row r="92" spans="1:16" ht="11.25" customHeight="1">
      <c r="A92" s="1682" t="s">
        <v>2392</v>
      </c>
      <c r="B92" s="293"/>
      <c r="C92" s="1635">
        <v>8878529.4900000002</v>
      </c>
      <c r="D92" s="1635">
        <v>10372050</v>
      </c>
      <c r="E92" s="1615">
        <v>9000000</v>
      </c>
      <c r="F92" s="2534">
        <v>0</v>
      </c>
      <c r="G92" s="2707">
        <v>10000000</v>
      </c>
      <c r="H92" s="2708">
        <v>10000000</v>
      </c>
      <c r="I92" s="2708">
        <v>10000000</v>
      </c>
      <c r="J92" s="2534"/>
      <c r="K92" s="1615"/>
      <c r="L92" s="1635"/>
      <c r="M92" s="370"/>
      <c r="N92" s="370"/>
      <c r="O92" s="370"/>
      <c r="P92" s="370"/>
    </row>
    <row r="93" spans="1:16" ht="11.25" customHeight="1">
      <c r="A93" s="1682" t="s">
        <v>2393</v>
      </c>
      <c r="B93" s="293"/>
      <c r="C93" s="1635">
        <v>1966711.64</v>
      </c>
      <c r="D93" s="1635">
        <v>2564349</v>
      </c>
      <c r="E93" s="1615">
        <v>2450000</v>
      </c>
      <c r="F93" s="2534">
        <v>2592290</v>
      </c>
      <c r="G93" s="2707">
        <v>2592290</v>
      </c>
      <c r="H93" s="2708">
        <v>2592290</v>
      </c>
      <c r="I93" s="2708">
        <v>2592290</v>
      </c>
      <c r="J93" s="2534"/>
      <c r="K93" s="1615"/>
      <c r="L93" s="1635"/>
      <c r="M93" s="370"/>
      <c r="N93" s="370"/>
      <c r="O93" s="370"/>
      <c r="P93" s="370"/>
    </row>
    <row r="94" spans="1:16" ht="11.25" customHeight="1">
      <c r="A94" s="1682" t="s">
        <v>2394</v>
      </c>
      <c r="B94" s="293"/>
      <c r="C94" s="1635">
        <v>231242.39</v>
      </c>
      <c r="D94" s="1635">
        <v>0</v>
      </c>
      <c r="E94" s="1615">
        <v>0</v>
      </c>
      <c r="F94" s="2534">
        <v>255000</v>
      </c>
      <c r="G94" s="2707">
        <v>1255000</v>
      </c>
      <c r="H94" s="2708">
        <v>1255000</v>
      </c>
      <c r="I94" s="2708">
        <v>1255000</v>
      </c>
      <c r="J94" s="2534"/>
      <c r="K94" s="1615"/>
      <c r="L94" s="1635"/>
      <c r="M94" s="370"/>
      <c r="N94" s="370"/>
      <c r="O94" s="370"/>
      <c r="P94" s="370"/>
    </row>
    <row r="95" spans="1:16" ht="11.25" customHeight="1">
      <c r="A95" s="1682" t="s">
        <v>2395</v>
      </c>
      <c r="B95" s="293"/>
      <c r="C95" s="1635">
        <v>0</v>
      </c>
      <c r="D95" s="1635">
        <v>328600</v>
      </c>
      <c r="E95" s="1615">
        <v>11759826</v>
      </c>
      <c r="F95" s="2534">
        <v>3300000</v>
      </c>
      <c r="G95" s="2707">
        <v>2500000</v>
      </c>
      <c r="H95" s="2708">
        <v>2500000</v>
      </c>
      <c r="I95" s="2708">
        <v>2500000</v>
      </c>
      <c r="J95" s="2534"/>
      <c r="K95" s="1615"/>
      <c r="L95" s="1635"/>
      <c r="M95" s="370"/>
      <c r="N95" s="370"/>
      <c r="O95" s="370"/>
      <c r="P95" s="370"/>
    </row>
    <row r="96" spans="1:16" ht="11.25" customHeight="1">
      <c r="A96" s="1682" t="s">
        <v>2396</v>
      </c>
      <c r="B96" s="293"/>
      <c r="C96" s="1635">
        <v>2096618.33</v>
      </c>
      <c r="D96" s="1635">
        <v>1745074</v>
      </c>
      <c r="E96" s="1615">
        <v>1936000</v>
      </c>
      <c r="F96" s="2534">
        <v>2129600</v>
      </c>
      <c r="G96" s="2707">
        <v>2632495</v>
      </c>
      <c r="H96" s="2708">
        <v>2632495</v>
      </c>
      <c r="I96" s="2708">
        <v>2632495</v>
      </c>
      <c r="J96" s="2534"/>
      <c r="K96" s="1615"/>
      <c r="L96" s="1635"/>
      <c r="M96" s="370"/>
      <c r="N96" s="370"/>
      <c r="O96" s="370"/>
      <c r="P96" s="370"/>
    </row>
    <row r="97" spans="1:16" ht="11.25" customHeight="1">
      <c r="A97" s="1682" t="s">
        <v>2397</v>
      </c>
      <c r="B97" s="293"/>
      <c r="C97" s="1635">
        <v>2385455.2000000002</v>
      </c>
      <c r="D97" s="1635">
        <v>2539837</v>
      </c>
      <c r="E97" s="1615">
        <v>2916078</v>
      </c>
      <c r="F97" s="2534">
        <v>2871959</v>
      </c>
      <c r="G97" s="2707">
        <v>3271959</v>
      </c>
      <c r="H97" s="2708">
        <v>3271959</v>
      </c>
      <c r="I97" s="2708">
        <v>3271959</v>
      </c>
      <c r="J97" s="2534"/>
      <c r="K97" s="1615"/>
      <c r="L97" s="1635"/>
      <c r="M97" s="370"/>
      <c r="N97" s="370"/>
      <c r="O97" s="370"/>
      <c r="P97" s="370"/>
    </row>
    <row r="98" spans="1:16" ht="11.25" customHeight="1">
      <c r="A98" s="1682" t="s">
        <v>668</v>
      </c>
      <c r="B98" s="293"/>
      <c r="C98" s="1635">
        <v>3395408.01</v>
      </c>
      <c r="D98" s="1635">
        <v>2738323</v>
      </c>
      <c r="E98" s="1615">
        <v>6197260</v>
      </c>
      <c r="F98" s="2534">
        <v>19670000</v>
      </c>
      <c r="G98" s="2707">
        <v>7195000</v>
      </c>
      <c r="H98" s="2708">
        <v>7195000</v>
      </c>
      <c r="I98" s="2708">
        <v>7195000</v>
      </c>
      <c r="J98" s="2534"/>
      <c r="K98" s="1615"/>
      <c r="L98" s="1635"/>
      <c r="M98" s="370"/>
      <c r="N98" s="370"/>
      <c r="O98" s="370"/>
      <c r="P98" s="370"/>
    </row>
    <row r="99" spans="1:16" ht="11.25" customHeight="1">
      <c r="A99" s="1682" t="s">
        <v>2398</v>
      </c>
      <c r="B99" s="293"/>
      <c r="C99" s="1635">
        <v>701826.56000000006</v>
      </c>
      <c r="D99" s="1635">
        <v>206000</v>
      </c>
      <c r="E99" s="1615">
        <v>500000</v>
      </c>
      <c r="F99" s="2534">
        <v>100000</v>
      </c>
      <c r="G99" s="2707">
        <v>100000</v>
      </c>
      <c r="H99" s="2708">
        <v>100000</v>
      </c>
      <c r="I99" s="2708">
        <v>100000</v>
      </c>
      <c r="J99" s="2534"/>
      <c r="K99" s="1615"/>
      <c r="L99" s="1635"/>
      <c r="M99" s="370"/>
      <c r="N99" s="370"/>
      <c r="O99" s="370"/>
      <c r="P99" s="370"/>
    </row>
    <row r="100" spans="1:16" ht="11.25" customHeight="1">
      <c r="A100" s="1682" t="s">
        <v>2399</v>
      </c>
      <c r="B100" s="293"/>
      <c r="C100" s="1635">
        <v>5312152.71</v>
      </c>
      <c r="D100" s="1635">
        <v>6235444</v>
      </c>
      <c r="E100" s="1615">
        <v>7121746</v>
      </c>
      <c r="F100" s="2534">
        <v>6906528</v>
      </c>
      <c r="G100" s="2707">
        <v>13813128</v>
      </c>
      <c r="H100" s="2708">
        <v>13813128</v>
      </c>
      <c r="I100" s="2708">
        <v>13813128</v>
      </c>
      <c r="J100" s="2534"/>
      <c r="K100" s="1615"/>
      <c r="L100" s="1635"/>
      <c r="M100" s="370"/>
      <c r="N100" s="370"/>
      <c r="O100" s="370"/>
      <c r="P100" s="370"/>
    </row>
    <row r="101" spans="1:16" ht="11.25" customHeight="1">
      <c r="A101" s="1682" t="s">
        <v>2400</v>
      </c>
      <c r="B101" s="293"/>
      <c r="C101" s="1635">
        <v>0</v>
      </c>
      <c r="D101" s="1635">
        <v>462312</v>
      </c>
      <c r="E101" s="1615">
        <v>0</v>
      </c>
      <c r="F101" s="2534">
        <v>32000</v>
      </c>
      <c r="G101" s="2707">
        <v>32000</v>
      </c>
      <c r="H101" s="2708">
        <v>32000</v>
      </c>
      <c r="I101" s="2708">
        <v>32000</v>
      </c>
      <c r="J101" s="2534"/>
      <c r="K101" s="1615"/>
      <c r="L101" s="1635"/>
      <c r="M101" s="370"/>
      <c r="N101" s="370"/>
      <c r="O101" s="370"/>
      <c r="P101" s="370"/>
    </row>
    <row r="102" spans="1:16" ht="11.25" customHeight="1">
      <c r="A102" s="1682" t="s">
        <v>2401</v>
      </c>
      <c r="B102" s="293"/>
      <c r="C102" s="1635">
        <v>1012190.2899999999</v>
      </c>
      <c r="D102" s="1635">
        <v>1270389</v>
      </c>
      <c r="E102" s="1615">
        <v>7400000</v>
      </c>
      <c r="F102" s="2534">
        <v>12005000</v>
      </c>
      <c r="G102" s="2707">
        <v>3212926</v>
      </c>
      <c r="H102" s="2708">
        <v>3212926</v>
      </c>
      <c r="I102" s="2708">
        <v>3212926</v>
      </c>
      <c r="J102" s="2534"/>
      <c r="K102" s="1615"/>
      <c r="L102" s="1635"/>
      <c r="M102" s="370"/>
      <c r="N102" s="370"/>
      <c r="O102" s="370"/>
      <c r="P102" s="370"/>
    </row>
    <row r="103" spans="1:16" ht="11.25" customHeight="1">
      <c r="A103" s="1682" t="s">
        <v>2402</v>
      </c>
      <c r="B103" s="293"/>
      <c r="C103" s="1635">
        <v>699032.2</v>
      </c>
      <c r="D103" s="1635">
        <v>930968</v>
      </c>
      <c r="E103" s="1615">
        <v>732200</v>
      </c>
      <c r="F103" s="2534">
        <v>0</v>
      </c>
      <c r="G103" s="2707">
        <v>780000</v>
      </c>
      <c r="H103" s="2708">
        <v>780000</v>
      </c>
      <c r="I103" s="2708">
        <v>780000</v>
      </c>
      <c r="J103" s="2534"/>
      <c r="K103" s="1615"/>
      <c r="L103" s="1635"/>
      <c r="M103" s="370"/>
      <c r="N103" s="370"/>
      <c r="O103" s="370"/>
      <c r="P103" s="370"/>
    </row>
    <row r="104" spans="1:16" ht="11.25" customHeight="1">
      <c r="A104" s="1682" t="s">
        <v>2403</v>
      </c>
      <c r="B104" s="293"/>
      <c r="C104" s="1635">
        <v>843914.9</v>
      </c>
      <c r="D104" s="1635">
        <v>329827</v>
      </c>
      <c r="E104" s="1615">
        <v>350000</v>
      </c>
      <c r="F104" s="2534">
        <v>10000000</v>
      </c>
      <c r="G104" s="2707">
        <v>1100000</v>
      </c>
      <c r="H104" s="2708">
        <v>1100000</v>
      </c>
      <c r="I104" s="2708">
        <v>1100000</v>
      </c>
      <c r="J104" s="2534"/>
      <c r="K104" s="1615"/>
      <c r="L104" s="1635"/>
      <c r="M104" s="370"/>
      <c r="N104" s="370"/>
      <c r="O104" s="370"/>
      <c r="P104" s="370"/>
    </row>
    <row r="105" spans="1:16" ht="11.25" customHeight="1">
      <c r="A105" s="1682" t="s">
        <v>2404</v>
      </c>
      <c r="B105" s="293"/>
      <c r="C105" s="1635">
        <v>0</v>
      </c>
      <c r="D105" s="1635">
        <v>0</v>
      </c>
      <c r="E105" s="1615">
        <v>0</v>
      </c>
      <c r="F105" s="2534">
        <v>4000000</v>
      </c>
      <c r="G105" s="2707">
        <v>2200000</v>
      </c>
      <c r="H105" s="2708">
        <v>2200000</v>
      </c>
      <c r="I105" s="2708">
        <v>2200000</v>
      </c>
      <c r="J105" s="2534"/>
      <c r="K105" s="1615"/>
      <c r="L105" s="1635"/>
      <c r="M105" s="370"/>
      <c r="N105" s="370"/>
      <c r="O105" s="370"/>
      <c r="P105" s="370"/>
    </row>
    <row r="106" spans="1:16" ht="11.25" customHeight="1">
      <c r="A106" s="1682" t="s">
        <v>2405</v>
      </c>
      <c r="B106" s="293"/>
      <c r="C106" s="1635">
        <f>37435406.68-5814000</f>
        <v>31621406.68</v>
      </c>
      <c r="D106" s="1635">
        <v>49719682</v>
      </c>
      <c r="E106" s="1615">
        <v>43777357</v>
      </c>
      <c r="F106" s="2534">
        <v>5400000</v>
      </c>
      <c r="G106" s="2707">
        <v>5400000</v>
      </c>
      <c r="H106" s="2708">
        <v>5400000</v>
      </c>
      <c r="I106" s="2708">
        <v>5400000</v>
      </c>
      <c r="J106" s="2534"/>
      <c r="K106" s="1615"/>
      <c r="L106" s="1635"/>
      <c r="M106" s="370"/>
      <c r="N106" s="370"/>
      <c r="O106" s="370"/>
      <c r="P106" s="370"/>
    </row>
    <row r="107" spans="1:16" ht="11.25" customHeight="1">
      <c r="A107" s="1682" t="s">
        <v>2406</v>
      </c>
      <c r="B107" s="293"/>
      <c r="C107" s="1635">
        <v>0</v>
      </c>
      <c r="D107" s="1635">
        <v>0</v>
      </c>
      <c r="E107" s="1615">
        <v>0</v>
      </c>
      <c r="F107" s="2534">
        <v>0</v>
      </c>
      <c r="G107" s="2707">
        <v>0</v>
      </c>
      <c r="H107" s="2708">
        <v>0</v>
      </c>
      <c r="I107" s="2708">
        <v>0</v>
      </c>
      <c r="J107" s="2534"/>
      <c r="K107" s="1615"/>
      <c r="L107" s="1635"/>
      <c r="M107" s="370"/>
      <c r="N107" s="370"/>
      <c r="O107" s="370"/>
      <c r="P107" s="370"/>
    </row>
    <row r="108" spans="1:16" ht="11.25" customHeight="1">
      <c r="A108" s="1682" t="s">
        <v>2407</v>
      </c>
      <c r="B108" s="293"/>
      <c r="C108" s="1635">
        <v>3885983.53</v>
      </c>
      <c r="D108" s="1635">
        <v>3399234</v>
      </c>
      <c r="E108" s="1615">
        <v>8000000</v>
      </c>
      <c r="F108" s="2534">
        <v>10000000</v>
      </c>
      <c r="G108" s="2707">
        <v>14975000</v>
      </c>
      <c r="H108" s="2708">
        <v>14975000</v>
      </c>
      <c r="I108" s="2708">
        <v>14975000</v>
      </c>
      <c r="J108" s="2534"/>
      <c r="K108" s="1615"/>
      <c r="L108" s="1635"/>
      <c r="M108" s="370"/>
      <c r="N108" s="370"/>
      <c r="O108" s="370"/>
      <c r="P108" s="370"/>
    </row>
    <row r="109" spans="1:16" ht="11.25" customHeight="1">
      <c r="A109" s="1682" t="s">
        <v>2408</v>
      </c>
      <c r="B109" s="293"/>
      <c r="C109" s="1635">
        <v>271353</v>
      </c>
      <c r="D109" s="1635">
        <v>299106</v>
      </c>
      <c r="E109" s="1615">
        <v>300000</v>
      </c>
      <c r="F109" s="2534">
        <v>0</v>
      </c>
      <c r="G109" s="2707">
        <v>400000</v>
      </c>
      <c r="H109" s="2708">
        <v>400000</v>
      </c>
      <c r="I109" s="2708">
        <v>400000</v>
      </c>
      <c r="J109" s="2534"/>
      <c r="K109" s="1615"/>
      <c r="L109" s="1635"/>
      <c r="M109" s="370"/>
      <c r="N109" s="370"/>
      <c r="O109" s="370"/>
      <c r="P109" s="370"/>
    </row>
    <row r="110" spans="1:16" ht="11.25" customHeight="1">
      <c r="A110" s="1682" t="s">
        <v>2409</v>
      </c>
      <c r="B110" s="293"/>
      <c r="C110" s="1635">
        <v>0</v>
      </c>
      <c r="D110" s="1635">
        <v>1800000</v>
      </c>
      <c r="E110" s="1615">
        <v>0</v>
      </c>
      <c r="F110" s="2534">
        <v>0</v>
      </c>
      <c r="G110" s="2707">
        <v>0</v>
      </c>
      <c r="H110" s="2708">
        <v>0</v>
      </c>
      <c r="I110" s="2708">
        <v>0</v>
      </c>
      <c r="J110" s="2534"/>
      <c r="K110" s="1615"/>
      <c r="L110" s="1635"/>
      <c r="M110" s="370"/>
      <c r="N110" s="370"/>
      <c r="O110" s="370"/>
      <c r="P110" s="370"/>
    </row>
    <row r="111" spans="1:16" ht="11.25" customHeight="1">
      <c r="A111" s="1682" t="s">
        <v>2410</v>
      </c>
      <c r="B111" s="293"/>
      <c r="C111" s="1635">
        <v>238181.4</v>
      </c>
      <c r="D111" s="1635">
        <v>409260</v>
      </c>
      <c r="E111" s="1615">
        <v>4892000</v>
      </c>
      <c r="F111" s="2534">
        <v>2092000</v>
      </c>
      <c r="G111" s="2707">
        <v>4909889</v>
      </c>
      <c r="H111" s="2708">
        <v>4909889</v>
      </c>
      <c r="I111" s="2708">
        <v>4909889</v>
      </c>
      <c r="J111" s="2534"/>
      <c r="K111" s="1615"/>
      <c r="L111" s="1635"/>
      <c r="M111" s="370"/>
      <c r="N111" s="370"/>
      <c r="O111" s="370"/>
      <c r="P111" s="370"/>
    </row>
    <row r="112" spans="1:16" ht="11.25" customHeight="1">
      <c r="A112" s="1682" t="s">
        <v>2411</v>
      </c>
      <c r="B112" s="293"/>
      <c r="C112" s="1635">
        <v>710.52</v>
      </c>
      <c r="D112" s="1635">
        <v>1980</v>
      </c>
      <c r="E112" s="1615">
        <v>2200</v>
      </c>
      <c r="F112" s="2534">
        <v>2300</v>
      </c>
      <c r="G112" s="2707">
        <v>2300</v>
      </c>
      <c r="H112" s="2708">
        <v>2300</v>
      </c>
      <c r="I112" s="2708">
        <v>2300</v>
      </c>
      <c r="J112" s="2534"/>
      <c r="K112" s="1615"/>
      <c r="L112" s="1635"/>
      <c r="M112" s="370"/>
      <c r="N112" s="370"/>
      <c r="O112" s="370"/>
      <c r="P112" s="370"/>
    </row>
    <row r="113" spans="1:16" ht="11.25" customHeight="1">
      <c r="A113" s="1682" t="s">
        <v>2412</v>
      </c>
      <c r="B113" s="293"/>
      <c r="C113" s="1635">
        <v>0</v>
      </c>
      <c r="D113" s="1635">
        <v>0</v>
      </c>
      <c r="E113" s="1615">
        <v>0</v>
      </c>
      <c r="F113" s="2534">
        <v>0</v>
      </c>
      <c r="G113" s="2534">
        <v>0</v>
      </c>
      <c r="H113" s="2534">
        <v>0</v>
      </c>
      <c r="I113" s="2534">
        <v>0</v>
      </c>
      <c r="J113" s="2534"/>
      <c r="K113" s="1615"/>
      <c r="L113" s="1635"/>
      <c r="M113" s="370"/>
      <c r="N113" s="370"/>
      <c r="O113" s="370"/>
      <c r="P113" s="370"/>
    </row>
    <row r="114" spans="1:16" ht="11.25" customHeight="1">
      <c r="A114" s="1682" t="s">
        <v>480</v>
      </c>
      <c r="B114" s="293"/>
      <c r="C114" s="1635">
        <v>0</v>
      </c>
      <c r="D114" s="1635">
        <v>0</v>
      </c>
      <c r="E114" s="1615">
        <v>0</v>
      </c>
      <c r="F114" s="2534">
        <v>0</v>
      </c>
      <c r="G114" s="2534">
        <v>0</v>
      </c>
      <c r="H114" s="2534">
        <v>0</v>
      </c>
      <c r="I114" s="2534">
        <v>0</v>
      </c>
      <c r="J114" s="2534">
        <v>149409584</v>
      </c>
      <c r="K114" s="1615">
        <v>149552351</v>
      </c>
      <c r="L114" s="1635">
        <v>156819097</v>
      </c>
      <c r="M114" s="370"/>
      <c r="N114" s="370"/>
      <c r="O114" s="370"/>
      <c r="P114" s="370"/>
    </row>
    <row r="115" spans="1:16" ht="11.25" customHeight="1">
      <c r="A115" s="1682" t="s">
        <v>293</v>
      </c>
      <c r="B115" s="293"/>
      <c r="C115" s="1635">
        <v>0</v>
      </c>
      <c r="D115" s="1635">
        <v>0</v>
      </c>
      <c r="E115" s="1615">
        <v>6297171</v>
      </c>
      <c r="F115" s="2534">
        <v>45050671</v>
      </c>
      <c r="G115" s="2534">
        <v>45050671</v>
      </c>
      <c r="H115" s="2534">
        <v>45050671</v>
      </c>
      <c r="I115" s="2534">
        <v>45050671</v>
      </c>
      <c r="J115" s="2534">
        <v>74815395</v>
      </c>
      <c r="K115" s="1615">
        <v>79678395</v>
      </c>
      <c r="L115" s="1635">
        <v>84857491</v>
      </c>
      <c r="M115" s="370"/>
      <c r="N115" s="370"/>
      <c r="O115" s="370"/>
      <c r="P115" s="370"/>
    </row>
    <row r="116" spans="1:16" ht="11.25" customHeight="1">
      <c r="A116" s="1682" t="s">
        <v>2466</v>
      </c>
      <c r="B116" s="293"/>
      <c r="C116" s="1635">
        <v>0</v>
      </c>
      <c r="D116" s="1635">
        <v>243362</v>
      </c>
      <c r="E116" s="1615">
        <v>510000</v>
      </c>
      <c r="F116" s="2534">
        <v>60020607</v>
      </c>
      <c r="G116" s="2534">
        <f>88320607-100000</f>
        <v>88220607</v>
      </c>
      <c r="H116" s="2534">
        <f>88320607-100000</f>
        <v>88220607</v>
      </c>
      <c r="I116" s="2534">
        <f>88320607-100000</f>
        <v>88220607</v>
      </c>
      <c r="J116" s="2534"/>
      <c r="K116" s="1615"/>
      <c r="L116" s="1635"/>
      <c r="M116" s="370"/>
      <c r="N116" s="370"/>
      <c r="O116" s="370"/>
      <c r="P116" s="370"/>
    </row>
    <row r="117" spans="1:16" ht="11.25" customHeight="1">
      <c r="A117" s="1539" t="s">
        <v>139</v>
      </c>
      <c r="B117" s="293">
        <v>1</v>
      </c>
      <c r="C117" s="213">
        <f t="shared" ref="C117:L117" si="12">SUM(C92:C116)</f>
        <v>63540716.850000001</v>
      </c>
      <c r="D117" s="213">
        <f t="shared" si="12"/>
        <v>85595797</v>
      </c>
      <c r="E117" s="214">
        <f t="shared" si="12"/>
        <v>114141838</v>
      </c>
      <c r="F117" s="215">
        <f t="shared" si="12"/>
        <v>186427955</v>
      </c>
      <c r="G117" s="213">
        <f t="shared" si="12"/>
        <v>209643265</v>
      </c>
      <c r="H117" s="214">
        <f t="shared" si="12"/>
        <v>209643265</v>
      </c>
      <c r="I117" s="212">
        <f t="shared" si="12"/>
        <v>209643265</v>
      </c>
      <c r="J117" s="216">
        <f t="shared" si="12"/>
        <v>224224979</v>
      </c>
      <c r="K117" s="213">
        <f t="shared" si="12"/>
        <v>229230746</v>
      </c>
      <c r="L117" s="214">
        <f t="shared" si="12"/>
        <v>241676588</v>
      </c>
      <c r="M117" s="370"/>
      <c r="N117" s="370"/>
      <c r="O117" s="370"/>
      <c r="P117" s="370"/>
    </row>
    <row r="118" spans="1:16" ht="11.25" customHeight="1">
      <c r="A118" s="417" t="s">
        <v>1471</v>
      </c>
      <c r="B118" s="293"/>
      <c r="C118" s="218"/>
      <c r="D118" s="218"/>
      <c r="E118" s="219"/>
      <c r="F118" s="220"/>
      <c r="G118" s="218"/>
      <c r="H118" s="219"/>
      <c r="I118" s="217"/>
      <c r="J118" s="221"/>
      <c r="K118" s="218"/>
      <c r="L118" s="219"/>
      <c r="M118" s="370"/>
      <c r="N118" s="370"/>
      <c r="O118" s="370"/>
      <c r="P118" s="370"/>
    </row>
    <row r="119" spans="1:16" ht="11.25" customHeight="1">
      <c r="A119" s="418" t="s">
        <v>654</v>
      </c>
      <c r="B119" s="293"/>
      <c r="C119" s="1648"/>
      <c r="D119" s="1648"/>
      <c r="E119" s="1649"/>
      <c r="F119" s="1650"/>
      <c r="G119" s="1648"/>
      <c r="H119" s="1649"/>
      <c r="I119" s="1651"/>
      <c r="J119" s="1653"/>
      <c r="K119" s="1648"/>
      <c r="L119" s="1649"/>
      <c r="M119" s="370"/>
      <c r="N119" s="370"/>
      <c r="O119" s="370"/>
      <c r="P119" s="370"/>
    </row>
    <row r="120" spans="1:16" ht="11.25" customHeight="1">
      <c r="A120" s="418" t="s">
        <v>956</v>
      </c>
      <c r="B120" s="293"/>
      <c r="C120" s="1648"/>
      <c r="D120" s="1648"/>
      <c r="E120" s="1649"/>
      <c r="F120" s="1650"/>
      <c r="G120" s="1648"/>
      <c r="H120" s="1649"/>
      <c r="I120" s="1651"/>
      <c r="J120" s="1653"/>
      <c r="K120" s="1648"/>
      <c r="L120" s="1649"/>
      <c r="M120" s="370"/>
      <c r="N120" s="370"/>
      <c r="O120" s="370"/>
      <c r="P120" s="370"/>
    </row>
    <row r="121" spans="1:16" ht="11.25" customHeight="1">
      <c r="A121" s="418" t="s">
        <v>957</v>
      </c>
      <c r="B121" s="293"/>
      <c r="C121" s="1648"/>
      <c r="D121" s="1648"/>
      <c r="E121" s="1649"/>
      <c r="F121" s="1650"/>
      <c r="G121" s="1648"/>
      <c r="H121" s="1649"/>
      <c r="I121" s="1651"/>
      <c r="J121" s="1653"/>
      <c r="K121" s="1648"/>
      <c r="L121" s="1649"/>
      <c r="M121" s="370"/>
      <c r="N121" s="370"/>
      <c r="O121" s="370"/>
      <c r="P121" s="370"/>
    </row>
    <row r="122" spans="1:16" ht="11.25" customHeight="1">
      <c r="A122" s="418" t="s">
        <v>293</v>
      </c>
      <c r="B122" s="293"/>
      <c r="C122" s="1648"/>
      <c r="D122" s="1648"/>
      <c r="E122" s="1649"/>
      <c r="F122" s="1650"/>
      <c r="G122" s="1648"/>
      <c r="H122" s="1649"/>
      <c r="I122" s="1651"/>
      <c r="J122" s="1653"/>
      <c r="K122" s="1648"/>
      <c r="L122" s="1649"/>
      <c r="M122" s="370"/>
      <c r="N122" s="370"/>
      <c r="O122" s="370"/>
      <c r="P122" s="370"/>
    </row>
    <row r="123" spans="1:16" ht="11.25" customHeight="1">
      <c r="A123" s="1186" t="s">
        <v>1472</v>
      </c>
      <c r="B123" s="293"/>
      <c r="C123" s="213">
        <f>SUM(C117:C122)</f>
        <v>63540716.850000001</v>
      </c>
      <c r="D123" s="213">
        <f t="shared" ref="D123:L123" si="13">SUM(D117:D122)</f>
        <v>85595797</v>
      </c>
      <c r="E123" s="214">
        <f t="shared" si="13"/>
        <v>114141838</v>
      </c>
      <c r="F123" s="215">
        <f t="shared" si="13"/>
        <v>186427955</v>
      </c>
      <c r="G123" s="213">
        <f t="shared" si="13"/>
        <v>209643265</v>
      </c>
      <c r="H123" s="214">
        <f t="shared" si="13"/>
        <v>209643265</v>
      </c>
      <c r="I123" s="212">
        <f t="shared" si="13"/>
        <v>209643265</v>
      </c>
      <c r="J123" s="216">
        <f t="shared" si="13"/>
        <v>224224979</v>
      </c>
      <c r="K123" s="213">
        <f t="shared" si="13"/>
        <v>229230746</v>
      </c>
      <c r="L123" s="214">
        <f t="shared" si="13"/>
        <v>241676588</v>
      </c>
      <c r="M123" s="370"/>
      <c r="N123" s="370"/>
      <c r="O123" s="370"/>
      <c r="P123" s="370"/>
    </row>
    <row r="124" spans="1:16" ht="5" customHeight="1">
      <c r="A124" s="201"/>
      <c r="B124" s="293"/>
      <c r="C124" s="203"/>
      <c r="D124" s="203"/>
      <c r="E124" s="204"/>
      <c r="F124" s="205"/>
      <c r="G124" s="203"/>
      <c r="H124" s="204"/>
      <c r="I124" s="202"/>
      <c r="J124" s="206"/>
      <c r="K124" s="203"/>
      <c r="L124" s="204"/>
      <c r="M124" s="370"/>
      <c r="N124" s="370"/>
      <c r="O124" s="370"/>
      <c r="P124" s="370"/>
    </row>
    <row r="125" spans="1:16" ht="11.25" customHeight="1">
      <c r="A125" s="181" t="s">
        <v>40</v>
      </c>
      <c r="B125" s="295"/>
      <c r="C125" s="203"/>
      <c r="D125" s="203"/>
      <c r="E125" s="204"/>
      <c r="F125" s="205"/>
      <c r="G125" s="203"/>
      <c r="H125" s="204"/>
      <c r="I125" s="202"/>
      <c r="J125" s="206"/>
      <c r="K125" s="203"/>
      <c r="L125" s="204"/>
      <c r="M125" s="370"/>
      <c r="N125" s="370"/>
      <c r="O125" s="370"/>
      <c r="P125" s="370"/>
    </row>
    <row r="126" spans="1:16" ht="11.25" customHeight="1">
      <c r="A126" s="325" t="s">
        <v>478</v>
      </c>
      <c r="B126" s="293"/>
      <c r="C126" s="1635">
        <v>4808057</v>
      </c>
      <c r="D126" s="1635">
        <v>5982291</v>
      </c>
      <c r="E126" s="1615">
        <v>9710191</v>
      </c>
      <c r="F126" s="2534">
        <v>10486510</v>
      </c>
      <c r="G126" s="2534">
        <v>18986510</v>
      </c>
      <c r="H126" s="2534">
        <v>18986510</v>
      </c>
      <c r="I126" s="2534">
        <v>18986510</v>
      </c>
      <c r="J126" s="2534">
        <v>20100000</v>
      </c>
      <c r="K126" s="1615">
        <v>21105300</v>
      </c>
      <c r="L126" s="1635">
        <v>22160881</v>
      </c>
      <c r="M126" s="370"/>
      <c r="N126" s="370"/>
      <c r="O126" s="370"/>
      <c r="P126" s="370"/>
    </row>
    <row r="127" spans="1:16" ht="11.25" customHeight="1">
      <c r="A127" s="325" t="s">
        <v>1511</v>
      </c>
      <c r="B127" s="293"/>
      <c r="C127" s="1635">
        <v>0</v>
      </c>
      <c r="D127" s="1635">
        <v>0</v>
      </c>
      <c r="E127" s="1615">
        <v>0</v>
      </c>
      <c r="F127" s="2534">
        <v>3567400</v>
      </c>
      <c r="G127" s="2534">
        <v>10237800</v>
      </c>
      <c r="H127" s="2534">
        <v>10237800</v>
      </c>
      <c r="I127" s="2534">
        <v>10237800</v>
      </c>
      <c r="J127" s="2534">
        <v>3723191</v>
      </c>
      <c r="K127" s="1615">
        <v>3882461</v>
      </c>
      <c r="L127" s="1635">
        <v>4088228</v>
      </c>
      <c r="M127" s="370"/>
      <c r="N127" s="370"/>
      <c r="O127" s="370"/>
      <c r="P127" s="370"/>
    </row>
    <row r="128" spans="1:16" ht="11.25" customHeight="1">
      <c r="A128" s="325" t="s">
        <v>700</v>
      </c>
      <c r="B128" s="293"/>
      <c r="C128" s="1635">
        <v>0</v>
      </c>
      <c r="D128" s="1635">
        <v>0</v>
      </c>
      <c r="E128" s="1615">
        <v>0</v>
      </c>
      <c r="F128" s="2534">
        <v>0</v>
      </c>
      <c r="G128" s="2534">
        <v>0</v>
      </c>
      <c r="H128" s="2534">
        <v>0</v>
      </c>
      <c r="I128" s="2534">
        <v>0</v>
      </c>
      <c r="J128" s="2534">
        <v>0</v>
      </c>
      <c r="K128" s="1615">
        <v>0</v>
      </c>
      <c r="L128" s="1635">
        <v>0</v>
      </c>
      <c r="M128" s="370"/>
      <c r="N128" s="370"/>
      <c r="O128" s="370"/>
      <c r="P128" s="370"/>
    </row>
    <row r="129" spans="1:16" ht="11.25" customHeight="1">
      <c r="A129" s="325" t="s">
        <v>701</v>
      </c>
      <c r="B129" s="293"/>
      <c r="C129" s="1635">
        <v>0</v>
      </c>
      <c r="D129" s="1635">
        <v>305235</v>
      </c>
      <c r="E129" s="1615">
        <v>0</v>
      </c>
      <c r="F129" s="2534">
        <v>4481604</v>
      </c>
      <c r="G129" s="2534">
        <v>4481604</v>
      </c>
      <c r="H129" s="2534">
        <v>4481604</v>
      </c>
      <c r="I129" s="2534">
        <v>4481604</v>
      </c>
      <c r="J129" s="2534">
        <v>4444378</v>
      </c>
      <c r="K129" s="1615">
        <v>4500000</v>
      </c>
      <c r="L129" s="1635">
        <v>4752000</v>
      </c>
      <c r="M129" s="370"/>
      <c r="N129" s="370"/>
      <c r="O129" s="370"/>
      <c r="P129" s="370"/>
    </row>
    <row r="130" spans="1:16" ht="11.25" customHeight="1">
      <c r="A130" s="190" t="s">
        <v>481</v>
      </c>
      <c r="B130" s="293">
        <v>3</v>
      </c>
      <c r="C130" s="1635">
        <v>333268981</v>
      </c>
      <c r="D130" s="1635">
        <v>192828225</v>
      </c>
      <c r="E130" s="1615">
        <v>184486091</v>
      </c>
      <c r="F130" s="2534">
        <v>263535383</v>
      </c>
      <c r="G130" s="2534">
        <v>323754962</v>
      </c>
      <c r="H130" s="2534">
        <v>323754962</v>
      </c>
      <c r="I130" s="2534">
        <v>323754962</v>
      </c>
      <c r="J130" s="2534">
        <f>242817422+27520412</f>
        <v>270337834</v>
      </c>
      <c r="K130" s="1615">
        <f>202415651+29309239</f>
        <v>231724890</v>
      </c>
      <c r="L130" s="1635">
        <f>215456240+31214340</f>
        <v>246670580</v>
      </c>
      <c r="M130" s="370"/>
      <c r="N130" s="370"/>
      <c r="O130" s="370"/>
      <c r="P130" s="370"/>
    </row>
    <row r="131" spans="1:16" ht="11.25" customHeight="1">
      <c r="A131" s="1682" t="s">
        <v>1900</v>
      </c>
      <c r="B131" s="293"/>
      <c r="C131" s="1615"/>
      <c r="D131" s="1615"/>
      <c r="E131" s="1635"/>
      <c r="F131" s="1636"/>
      <c r="G131" s="1615"/>
      <c r="H131" s="1635"/>
      <c r="I131" s="1637"/>
      <c r="J131" s="2534"/>
      <c r="K131" s="1615"/>
      <c r="L131" s="1635"/>
      <c r="M131" s="370"/>
      <c r="N131" s="370"/>
      <c r="O131" s="370"/>
      <c r="P131" s="370"/>
    </row>
    <row r="132" spans="1:16" ht="11.25" customHeight="1">
      <c r="A132" s="1682"/>
      <c r="B132" s="293"/>
      <c r="C132" s="1615"/>
      <c r="D132" s="1615"/>
      <c r="E132" s="1635"/>
      <c r="F132" s="1636"/>
      <c r="G132" s="1615"/>
      <c r="H132" s="1635"/>
      <c r="I132" s="1637"/>
      <c r="J132" s="2534"/>
      <c r="K132" s="1615"/>
      <c r="L132" s="1635"/>
      <c r="M132" s="370"/>
      <c r="N132" s="370"/>
      <c r="O132" s="370"/>
      <c r="P132" s="370"/>
    </row>
    <row r="133" spans="1:16" ht="11.25" customHeight="1">
      <c r="A133" s="1682"/>
      <c r="B133" s="293"/>
      <c r="C133" s="1615"/>
      <c r="D133" s="1615"/>
      <c r="E133" s="1635"/>
      <c r="F133" s="1636"/>
      <c r="G133" s="1615"/>
      <c r="H133" s="1635"/>
      <c r="I133" s="1637"/>
      <c r="J133" s="1617"/>
      <c r="K133" s="1615"/>
      <c r="L133" s="1635"/>
      <c r="M133" s="370"/>
      <c r="N133" s="370"/>
      <c r="O133" s="370"/>
      <c r="P133" s="370"/>
    </row>
    <row r="134" spans="1:16" ht="11.25" customHeight="1">
      <c r="A134" s="1682"/>
      <c r="B134" s="293"/>
      <c r="C134" s="1615"/>
      <c r="D134" s="1615"/>
      <c r="E134" s="1635"/>
      <c r="F134" s="1636"/>
      <c r="G134" s="1615"/>
      <c r="H134" s="1635"/>
      <c r="I134" s="1637"/>
      <c r="J134" s="1617"/>
      <c r="K134" s="1615"/>
      <c r="L134" s="1635"/>
      <c r="M134" s="370"/>
      <c r="N134" s="370"/>
      <c r="O134" s="370"/>
      <c r="P134" s="370"/>
    </row>
    <row r="135" spans="1:16" ht="11.25" customHeight="1">
      <c r="A135" s="1682"/>
      <c r="B135" s="293"/>
      <c r="C135" s="1615"/>
      <c r="D135" s="1615"/>
      <c r="E135" s="1635"/>
      <c r="F135" s="1636"/>
      <c r="G135" s="1615"/>
      <c r="H135" s="1635"/>
      <c r="I135" s="1637"/>
      <c r="J135" s="1617"/>
      <c r="K135" s="1615"/>
      <c r="L135" s="1635"/>
      <c r="M135" s="370"/>
      <c r="N135" s="370"/>
      <c r="O135" s="370"/>
      <c r="P135" s="370"/>
    </row>
    <row r="136" spans="1:16" ht="11.25" customHeight="1">
      <c r="A136" s="1682"/>
      <c r="B136" s="293"/>
      <c r="C136" s="1615"/>
      <c r="D136" s="1615"/>
      <c r="E136" s="1635"/>
      <c r="F136" s="1636"/>
      <c r="G136" s="1615"/>
      <c r="H136" s="1635"/>
      <c r="I136" s="1637"/>
      <c r="J136" s="1617"/>
      <c r="K136" s="1615"/>
      <c r="L136" s="1635"/>
      <c r="M136" s="370"/>
      <c r="N136" s="370"/>
      <c r="O136" s="370"/>
      <c r="P136" s="370"/>
    </row>
    <row r="137" spans="1:16" ht="11.25" customHeight="1">
      <c r="A137" s="1682"/>
      <c r="B137" s="293"/>
      <c r="C137" s="1615"/>
      <c r="D137" s="1615"/>
      <c r="E137" s="1635"/>
      <c r="F137" s="1636"/>
      <c r="G137" s="1615"/>
      <c r="H137" s="1635"/>
      <c r="I137" s="1637"/>
      <c r="J137" s="1617"/>
      <c r="K137" s="1615"/>
      <c r="L137" s="1635"/>
      <c r="M137" s="370"/>
      <c r="N137" s="370"/>
      <c r="O137" s="370"/>
      <c r="P137" s="370"/>
    </row>
    <row r="138" spans="1:16" ht="11.25" customHeight="1">
      <c r="A138" s="1682"/>
      <c r="B138" s="293"/>
      <c r="C138" s="1615"/>
      <c r="D138" s="1615"/>
      <c r="E138" s="1635"/>
      <c r="F138" s="1636"/>
      <c r="G138" s="1615"/>
      <c r="H138" s="1635"/>
      <c r="I138" s="1637"/>
      <c r="J138" s="1617"/>
      <c r="K138" s="1615"/>
      <c r="L138" s="1635"/>
      <c r="M138" s="370"/>
      <c r="N138" s="370"/>
      <c r="O138" s="370"/>
      <c r="P138" s="370"/>
    </row>
    <row r="139" spans="1:16" ht="11.25" customHeight="1">
      <c r="A139" s="1682"/>
      <c r="B139" s="293"/>
      <c r="C139" s="1615"/>
      <c r="D139" s="1615"/>
      <c r="E139" s="1635"/>
      <c r="F139" s="1636"/>
      <c r="G139" s="1615"/>
      <c r="H139" s="1635"/>
      <c r="I139" s="1637"/>
      <c r="J139" s="1617"/>
      <c r="K139" s="1615"/>
      <c r="L139" s="1635"/>
      <c r="M139" s="370"/>
      <c r="N139" s="370"/>
      <c r="O139" s="370"/>
      <c r="P139" s="370"/>
    </row>
    <row r="140" spans="1:16" ht="11.25" customHeight="1">
      <c r="A140" s="1682"/>
      <c r="B140" s="293"/>
      <c r="C140" s="1615"/>
      <c r="D140" s="1615"/>
      <c r="E140" s="1635"/>
      <c r="F140" s="1636"/>
      <c r="G140" s="1615"/>
      <c r="H140" s="1635"/>
      <c r="I140" s="1637"/>
      <c r="J140" s="1617"/>
      <c r="K140" s="1615"/>
      <c r="L140" s="1635"/>
      <c r="M140" s="370"/>
      <c r="N140" s="370"/>
      <c r="O140" s="370"/>
      <c r="P140" s="370"/>
    </row>
    <row r="141" spans="1:16" ht="11.25" customHeight="1">
      <c r="A141" s="1682"/>
      <c r="B141" s="293"/>
      <c r="C141" s="1615"/>
      <c r="D141" s="1615"/>
      <c r="E141" s="1635"/>
      <c r="F141" s="1636"/>
      <c r="G141" s="1615"/>
      <c r="H141" s="1635"/>
      <c r="I141" s="1637"/>
      <c r="J141" s="1617"/>
      <c r="K141" s="1615"/>
      <c r="L141" s="1635"/>
      <c r="M141" s="370"/>
      <c r="N141" s="370"/>
      <c r="O141" s="370"/>
      <c r="P141" s="370"/>
    </row>
    <row r="142" spans="1:16" ht="11.25" customHeight="1">
      <c r="A142" s="1682"/>
      <c r="B142" s="293"/>
      <c r="C142" s="1615"/>
      <c r="D142" s="1615"/>
      <c r="E142" s="1635"/>
      <c r="F142" s="1636"/>
      <c r="G142" s="1615"/>
      <c r="H142" s="1635"/>
      <c r="I142" s="1637"/>
      <c r="J142" s="1617"/>
      <c r="K142" s="1615"/>
      <c r="L142" s="1635"/>
      <c r="M142" s="370"/>
      <c r="N142" s="370"/>
      <c r="O142" s="370"/>
      <c r="P142" s="370"/>
    </row>
    <row r="143" spans="1:16" ht="11.25" customHeight="1">
      <c r="A143" s="1682"/>
      <c r="B143" s="293"/>
      <c r="C143" s="1615"/>
      <c r="D143" s="1615"/>
      <c r="E143" s="1635"/>
      <c r="F143" s="1636"/>
      <c r="G143" s="1615"/>
      <c r="H143" s="1635"/>
      <c r="I143" s="1637"/>
      <c r="J143" s="1617"/>
      <c r="K143" s="1615"/>
      <c r="L143" s="1635"/>
      <c r="M143" s="370"/>
      <c r="N143" s="370"/>
      <c r="O143" s="370"/>
      <c r="P143" s="370"/>
    </row>
    <row r="144" spans="1:16" ht="11.25" customHeight="1">
      <c r="A144" s="1682"/>
      <c r="B144" s="293"/>
      <c r="C144" s="1615"/>
      <c r="D144" s="1615"/>
      <c r="E144" s="1635"/>
      <c r="F144" s="1636"/>
      <c r="G144" s="1615"/>
      <c r="H144" s="1635"/>
      <c r="I144" s="1637"/>
      <c r="J144" s="1617"/>
      <c r="K144" s="1615"/>
      <c r="L144" s="1635"/>
      <c r="M144" s="370"/>
      <c r="N144" s="370"/>
      <c r="O144" s="370"/>
      <c r="P144" s="370"/>
    </row>
    <row r="145" spans="1:16" ht="11.25" customHeight="1">
      <c r="A145" s="1682"/>
      <c r="B145" s="293"/>
      <c r="C145" s="1615"/>
      <c r="D145" s="1615"/>
      <c r="E145" s="1635"/>
      <c r="F145" s="1636"/>
      <c r="G145" s="1615"/>
      <c r="H145" s="1635"/>
      <c r="I145" s="1637"/>
      <c r="J145" s="1617"/>
      <c r="K145" s="1615"/>
      <c r="L145" s="1635"/>
      <c r="M145" s="370"/>
      <c r="N145" s="370"/>
      <c r="O145" s="370"/>
      <c r="P145" s="370"/>
    </row>
    <row r="146" spans="1:16" ht="11.25" customHeight="1">
      <c r="A146" s="1682"/>
      <c r="B146" s="293"/>
      <c r="C146" s="1615"/>
      <c r="D146" s="1615"/>
      <c r="E146" s="1635"/>
      <c r="F146" s="1636"/>
      <c r="G146" s="1615"/>
      <c r="H146" s="1635"/>
      <c r="I146" s="1637"/>
      <c r="J146" s="1617"/>
      <c r="K146" s="1615"/>
      <c r="L146" s="1635"/>
      <c r="M146" s="370"/>
      <c r="N146" s="370"/>
      <c r="O146" s="370"/>
      <c r="P146" s="370"/>
    </row>
    <row r="147" spans="1:16" ht="11.25" customHeight="1">
      <c r="A147" s="1634"/>
      <c r="B147" s="293"/>
      <c r="C147" s="1615"/>
      <c r="D147" s="1615"/>
      <c r="E147" s="1635"/>
      <c r="F147" s="1636"/>
      <c r="G147" s="1615"/>
      <c r="H147" s="1635"/>
      <c r="I147" s="1637"/>
      <c r="J147" s="1617"/>
      <c r="K147" s="1615"/>
      <c r="L147" s="1635"/>
      <c r="M147" s="370"/>
      <c r="N147" s="370"/>
      <c r="O147" s="370"/>
      <c r="P147" s="370"/>
    </row>
    <row r="148" spans="1:16" ht="11.25" customHeight="1">
      <c r="A148" s="1634"/>
      <c r="B148" s="293"/>
      <c r="C148" s="1615"/>
      <c r="D148" s="1615"/>
      <c r="E148" s="1635"/>
      <c r="F148" s="1636"/>
      <c r="G148" s="1615"/>
      <c r="H148" s="1635"/>
      <c r="I148" s="1637"/>
      <c r="J148" s="1617"/>
      <c r="K148" s="1615"/>
      <c r="L148" s="1635"/>
      <c r="M148" s="370"/>
      <c r="N148" s="370"/>
      <c r="O148" s="370"/>
      <c r="P148" s="370"/>
    </row>
    <row r="149" spans="1:16" ht="11.25" customHeight="1">
      <c r="A149" s="1634"/>
      <c r="B149" s="293"/>
      <c r="C149" s="1615"/>
      <c r="D149" s="1615"/>
      <c r="E149" s="1635"/>
      <c r="F149" s="1636"/>
      <c r="G149" s="1615"/>
      <c r="H149" s="1635"/>
      <c r="I149" s="1637"/>
      <c r="J149" s="1617"/>
      <c r="K149" s="1615"/>
      <c r="L149" s="1635"/>
      <c r="M149" s="370"/>
      <c r="N149" s="370"/>
      <c r="O149" s="370"/>
      <c r="P149" s="370"/>
    </row>
    <row r="150" spans="1:16" ht="11.25" customHeight="1">
      <c r="A150" s="1634"/>
      <c r="B150" s="293"/>
      <c r="C150" s="1615"/>
      <c r="D150" s="1615"/>
      <c r="E150" s="1635"/>
      <c r="F150" s="1636"/>
      <c r="G150" s="1615"/>
      <c r="H150" s="1635"/>
      <c r="I150" s="1637"/>
      <c r="J150" s="1617"/>
      <c r="K150" s="1615"/>
      <c r="L150" s="1635"/>
      <c r="M150" s="370"/>
      <c r="N150" s="370"/>
      <c r="O150" s="370"/>
      <c r="P150" s="370"/>
    </row>
    <row r="151" spans="1:16" ht="11.25" customHeight="1">
      <c r="A151" s="1634"/>
      <c r="B151" s="293"/>
      <c r="C151" s="1615"/>
      <c r="D151" s="1615"/>
      <c r="E151" s="1635"/>
      <c r="F151" s="1636"/>
      <c r="G151" s="1615"/>
      <c r="H151" s="1635"/>
      <c r="I151" s="1637"/>
      <c r="J151" s="1617"/>
      <c r="K151" s="1615"/>
      <c r="L151" s="1635"/>
      <c r="M151" s="370"/>
      <c r="N151" s="370"/>
      <c r="O151" s="370"/>
      <c r="P151" s="370"/>
    </row>
    <row r="152" spans="1:16" ht="11.25" customHeight="1">
      <c r="A152" s="1634"/>
      <c r="B152" s="293"/>
      <c r="C152" s="1615"/>
      <c r="D152" s="1615"/>
      <c r="E152" s="1635"/>
      <c r="F152" s="1636"/>
      <c r="G152" s="1615"/>
      <c r="H152" s="1635"/>
      <c r="I152" s="1637"/>
      <c r="J152" s="1617"/>
      <c r="K152" s="1615"/>
      <c r="L152" s="1635"/>
      <c r="M152" s="370"/>
      <c r="N152" s="370"/>
      <c r="O152" s="370"/>
      <c r="P152" s="370"/>
    </row>
    <row r="153" spans="1:16" ht="11.25" customHeight="1">
      <c r="A153" s="346" t="s">
        <v>770</v>
      </c>
      <c r="B153" s="347">
        <v>1</v>
      </c>
      <c r="C153" s="230">
        <f>SUM(C126:C152)</f>
        <v>338077038</v>
      </c>
      <c r="D153" s="230">
        <f t="shared" ref="D153:L153" si="14">SUM(D126:D152)</f>
        <v>199115751</v>
      </c>
      <c r="E153" s="228">
        <f t="shared" si="14"/>
        <v>194196282</v>
      </c>
      <c r="F153" s="229">
        <f t="shared" si="14"/>
        <v>282070897</v>
      </c>
      <c r="G153" s="230">
        <f t="shared" si="14"/>
        <v>357460876</v>
      </c>
      <c r="H153" s="228">
        <f t="shared" si="14"/>
        <v>357460876</v>
      </c>
      <c r="I153" s="231">
        <f t="shared" si="14"/>
        <v>357460876</v>
      </c>
      <c r="J153" s="232">
        <f t="shared" si="14"/>
        <v>298605403</v>
      </c>
      <c r="K153" s="230">
        <f t="shared" si="14"/>
        <v>261212651</v>
      </c>
      <c r="L153" s="228">
        <f t="shared" si="14"/>
        <v>277671689</v>
      </c>
      <c r="M153" s="370"/>
      <c r="N153" s="370"/>
      <c r="O153" s="370"/>
      <c r="P153" s="370"/>
    </row>
    <row r="154" spans="1:16" ht="11.25" customHeight="1">
      <c r="A154" s="240"/>
      <c r="B154" s="236"/>
      <c r="C154" s="217"/>
      <c r="D154" s="217"/>
      <c r="E154" s="217"/>
      <c r="F154" s="217"/>
      <c r="G154" s="217"/>
      <c r="H154" s="217"/>
      <c r="I154" s="217"/>
      <c r="J154" s="217"/>
      <c r="K154" s="217"/>
      <c r="L154" s="217"/>
      <c r="M154" s="370"/>
      <c r="N154" s="370"/>
      <c r="O154" s="370"/>
      <c r="P154" s="370"/>
    </row>
    <row r="155" spans="1:16" ht="11.25" customHeight="1">
      <c r="A155" s="2057" t="s">
        <v>1948</v>
      </c>
      <c r="B155" s="2077">
        <v>8</v>
      </c>
      <c r="C155" s="2058"/>
      <c r="D155" s="1595"/>
      <c r="E155" s="555"/>
      <c r="F155" s="2058"/>
      <c r="G155" s="1595"/>
      <c r="H155" s="555"/>
      <c r="I155" s="1585"/>
      <c r="J155" s="2058"/>
      <c r="K155" s="1595"/>
      <c r="L155" s="555"/>
      <c r="M155" s="370"/>
      <c r="N155" s="370"/>
      <c r="O155" s="370"/>
      <c r="P155" s="370"/>
    </row>
    <row r="156" spans="1:16" ht="27" customHeight="1">
      <c r="A156" s="190" t="s">
        <v>477</v>
      </c>
      <c r="B156" s="1599"/>
      <c r="C156" s="1810">
        <v>0</v>
      </c>
      <c r="D156" s="1635">
        <v>0</v>
      </c>
      <c r="E156" s="1618">
        <v>0</v>
      </c>
      <c r="F156" s="1810">
        <v>0</v>
      </c>
      <c r="G156" s="1615"/>
      <c r="H156" s="1618"/>
      <c r="I156" s="1810"/>
      <c r="J156" s="1619">
        <v>0</v>
      </c>
      <c r="K156" s="1615">
        <v>0</v>
      </c>
      <c r="L156" s="1618">
        <v>0</v>
      </c>
      <c r="M156" s="370"/>
      <c r="N156" s="370"/>
      <c r="O156" s="370"/>
      <c r="P156" s="370"/>
    </row>
    <row r="157" spans="1:16" s="709" customFormat="1" ht="11.25" customHeight="1">
      <c r="A157" s="190" t="s">
        <v>1529</v>
      </c>
      <c r="B157" s="1599"/>
      <c r="C157" s="1639">
        <v>29611905</v>
      </c>
      <c r="D157" s="1618">
        <v>30528130</v>
      </c>
      <c r="E157" s="1638">
        <v>68237333</v>
      </c>
      <c r="F157" s="1642">
        <v>127892359</v>
      </c>
      <c r="G157" s="1642">
        <v>141670754</v>
      </c>
      <c r="H157" s="1642">
        <v>141670754</v>
      </c>
      <c r="I157" s="1642">
        <v>141670754</v>
      </c>
      <c r="J157" s="1642">
        <v>155289226</v>
      </c>
      <c r="K157" s="1638">
        <v>163199041</v>
      </c>
      <c r="L157" s="1639">
        <v>173275893</v>
      </c>
      <c r="M157" s="1087"/>
      <c r="N157" s="1087"/>
      <c r="O157" s="1087"/>
      <c r="P157" s="1087"/>
    </row>
    <row r="158" spans="1:16" s="709" customFormat="1" ht="11.25" customHeight="1">
      <c r="A158" s="190" t="s">
        <v>1949</v>
      </c>
      <c r="B158" s="1599"/>
      <c r="C158" s="1810">
        <v>0</v>
      </c>
      <c r="D158" s="1635">
        <v>0</v>
      </c>
      <c r="E158" s="1618">
        <v>0</v>
      </c>
      <c r="F158" s="1810">
        <v>0</v>
      </c>
      <c r="G158" s="1615"/>
      <c r="H158" s="1618"/>
      <c r="I158" s="1810"/>
      <c r="J158" s="1619">
        <v>0</v>
      </c>
      <c r="K158" s="1615">
        <v>0</v>
      </c>
      <c r="L158" s="1618">
        <v>0</v>
      </c>
      <c r="M158" s="1087"/>
      <c r="N158" s="1087"/>
      <c r="O158" s="1087"/>
      <c r="P158" s="1087"/>
    </row>
    <row r="159" spans="1:16" s="709" customFormat="1" ht="11.25" customHeight="1">
      <c r="A159" s="190" t="s">
        <v>1950</v>
      </c>
      <c r="B159" s="1599"/>
      <c r="C159" s="2069">
        <v>0</v>
      </c>
      <c r="D159" s="1657">
        <v>0</v>
      </c>
      <c r="E159" s="1660">
        <v>0</v>
      </c>
      <c r="F159" s="2069">
        <v>0</v>
      </c>
      <c r="G159" s="1656"/>
      <c r="H159" s="1660"/>
      <c r="I159" s="2069"/>
      <c r="J159" s="2068">
        <v>0</v>
      </c>
      <c r="K159" s="1656">
        <v>0</v>
      </c>
      <c r="L159" s="1660">
        <v>0</v>
      </c>
      <c r="M159" s="1087"/>
      <c r="N159" s="1087"/>
      <c r="O159" s="1087"/>
      <c r="P159" s="1087"/>
    </row>
    <row r="160" spans="1:16" s="709" customFormat="1" ht="11.25" customHeight="1">
      <c r="A160" s="346" t="s">
        <v>1229</v>
      </c>
      <c r="B160" s="2078">
        <v>9</v>
      </c>
      <c r="C160" s="2060">
        <f>SUM(C156:C159)</f>
        <v>29611905</v>
      </c>
      <c r="D160" s="433">
        <f t="shared" ref="D160:L160" si="15">SUM(D156:D159)</f>
        <v>30528130</v>
      </c>
      <c r="E160" s="2059">
        <f t="shared" si="15"/>
        <v>68237333</v>
      </c>
      <c r="F160" s="2060">
        <f t="shared" si="15"/>
        <v>127892359</v>
      </c>
      <c r="G160" s="433">
        <f t="shared" si="15"/>
        <v>141670754</v>
      </c>
      <c r="H160" s="2059">
        <f t="shared" si="15"/>
        <v>141670754</v>
      </c>
      <c r="I160" s="2061">
        <f t="shared" si="15"/>
        <v>141670754</v>
      </c>
      <c r="J160" s="2060">
        <f t="shared" si="15"/>
        <v>155289226</v>
      </c>
      <c r="K160" s="433">
        <f t="shared" si="15"/>
        <v>163199041</v>
      </c>
      <c r="L160" s="2059">
        <f t="shared" si="15"/>
        <v>173275893</v>
      </c>
      <c r="M160" s="1087"/>
      <c r="N160" s="1087"/>
      <c r="O160" s="1087"/>
      <c r="P160" s="1087"/>
    </row>
    <row r="161" spans="1:16" s="709" customFormat="1" ht="11.25" customHeight="1">
      <c r="A161" s="240"/>
      <c r="B161" s="246"/>
      <c r="C161" s="202"/>
      <c r="D161" s="202"/>
      <c r="E161" s="202"/>
      <c r="F161" s="202"/>
      <c r="G161" s="202"/>
      <c r="H161" s="202"/>
      <c r="I161" s="202"/>
      <c r="J161" s="202"/>
      <c r="K161" s="202"/>
      <c r="L161" s="202"/>
      <c r="M161" s="1087"/>
      <c r="N161" s="1087"/>
      <c r="O161" s="1087"/>
      <c r="P161" s="1087"/>
    </row>
    <row r="162" spans="1:16" s="709" customFormat="1" ht="12.75" customHeight="1">
      <c r="A162" s="320" t="s">
        <v>1524</v>
      </c>
      <c r="B162" s="149"/>
      <c r="C162" s="202">
        <f>C160-SA34c!C77</f>
        <v>1185910.8400000036</v>
      </c>
      <c r="D162" s="202">
        <f>D160-SA34c!D77</f>
        <v>1657600.5699999966</v>
      </c>
      <c r="E162" s="202">
        <f>E160-SA34c!E77</f>
        <v>68237333</v>
      </c>
      <c r="F162" s="202">
        <f>F160-SA34c!F77</f>
        <v>-7358545</v>
      </c>
      <c r="G162" s="202">
        <f>G160-SA34c!G77</f>
        <v>74272664</v>
      </c>
      <c r="H162" s="202">
        <f>H160-SA34c!H77</f>
        <v>74272664</v>
      </c>
      <c r="I162" s="202"/>
      <c r="J162" s="202">
        <f>J160-SA34c!I77</f>
        <v>0</v>
      </c>
      <c r="K162" s="202">
        <f>K160-SA34c!J77</f>
        <v>0</v>
      </c>
      <c r="L162" s="202">
        <f>L160-SA34c!K77</f>
        <v>0</v>
      </c>
      <c r="M162" s="1087"/>
      <c r="N162" s="1087"/>
      <c r="O162" s="1087"/>
      <c r="P162" s="1087"/>
    </row>
    <row r="163" spans="1:16" s="709" customFormat="1" ht="11.25" customHeight="1">
      <c r="A163" s="240"/>
      <c r="B163" s="236"/>
      <c r="C163" s="217"/>
      <c r="D163" s="217"/>
      <c r="E163" s="217"/>
      <c r="F163" s="217"/>
      <c r="G163" s="217"/>
      <c r="H163" s="217"/>
      <c r="I163" s="217"/>
      <c r="J163" s="217"/>
      <c r="K163" s="217"/>
      <c r="L163" s="217"/>
    </row>
    <row r="164" spans="1:16" ht="6" customHeight="1">
      <c r="A164" s="240"/>
      <c r="B164" s="236"/>
      <c r="C164" s="217"/>
      <c r="D164" s="217"/>
      <c r="E164" s="217"/>
      <c r="F164" s="217"/>
      <c r="G164" s="217"/>
      <c r="H164" s="217"/>
      <c r="I164" s="217"/>
      <c r="J164" s="217"/>
      <c r="K164" s="217"/>
      <c r="L164" s="217"/>
    </row>
    <row r="165" spans="1:16" ht="15" customHeight="1">
      <c r="A165" s="1233" t="str">
        <f>head27a</f>
        <v>References</v>
      </c>
      <c r="B165" s="1038"/>
      <c r="C165" s="1042"/>
      <c r="D165" s="1042"/>
      <c r="E165" s="1042"/>
      <c r="F165" s="1042"/>
      <c r="G165" s="1042"/>
      <c r="H165" s="1042"/>
      <c r="I165" s="1042"/>
      <c r="J165" s="1042"/>
      <c r="K165" s="1042"/>
      <c r="L165" s="1042"/>
    </row>
    <row r="166" spans="1:16" ht="12" customHeight="1">
      <c r="A166" s="1195" t="s">
        <v>771</v>
      </c>
      <c r="B166" s="1038"/>
      <c r="C166" s="1041"/>
      <c r="D166" s="1041"/>
      <c r="E166" s="1042"/>
      <c r="F166" s="1042"/>
      <c r="G166" s="1042"/>
      <c r="H166" s="1042"/>
      <c r="I166" s="1042"/>
      <c r="J166" s="1042"/>
      <c r="K166" s="1042"/>
      <c r="L166" s="1042"/>
    </row>
    <row r="167" spans="1:16">
      <c r="A167" s="1195" t="s">
        <v>1074</v>
      </c>
      <c r="B167" s="1038"/>
      <c r="C167" s="1041"/>
      <c r="D167" s="1041"/>
      <c r="E167" s="1042"/>
      <c r="F167" s="1042"/>
      <c r="G167" s="1042"/>
      <c r="H167" s="1042"/>
      <c r="I167" s="1042"/>
      <c r="J167" s="1042"/>
      <c r="K167" s="1042"/>
      <c r="L167" s="1042"/>
    </row>
    <row r="168" spans="1:16">
      <c r="A168" s="1195" t="s">
        <v>773</v>
      </c>
      <c r="B168" s="1038"/>
      <c r="C168" s="1041"/>
      <c r="D168" s="1041"/>
      <c r="E168" s="1042"/>
      <c r="F168" s="1042"/>
      <c r="G168" s="1042"/>
      <c r="H168" s="1042"/>
      <c r="I168" s="1042"/>
      <c r="J168" s="1042"/>
      <c r="K168" s="1042"/>
      <c r="L168" s="1042"/>
    </row>
    <row r="169" spans="1:16" ht="11.25" customHeight="1">
      <c r="A169" s="1195" t="s">
        <v>772</v>
      </c>
      <c r="B169" s="1038"/>
      <c r="C169" s="1041"/>
      <c r="D169" s="1041"/>
      <c r="E169" s="1042"/>
      <c r="F169" s="1042"/>
      <c r="G169" s="1042"/>
      <c r="H169" s="1042"/>
      <c r="I169" s="1042"/>
      <c r="J169" s="1042"/>
      <c r="K169" s="1042"/>
      <c r="L169" s="1042"/>
    </row>
    <row r="170" spans="1:16" ht="11.25" customHeight="1">
      <c r="A170" s="1195" t="s">
        <v>1286</v>
      </c>
      <c r="B170" s="1038"/>
      <c r="C170" s="1041"/>
      <c r="D170" s="1041"/>
      <c r="E170" s="1042"/>
      <c r="F170" s="1042"/>
      <c r="G170" s="1042"/>
      <c r="H170" s="1042"/>
      <c r="I170" s="1042"/>
      <c r="J170" s="1042"/>
      <c r="K170" s="1042"/>
      <c r="L170" s="1042"/>
    </row>
    <row r="171" spans="1:16" ht="11.25" customHeight="1">
      <c r="A171" s="1195" t="s">
        <v>1698</v>
      </c>
      <c r="B171" s="1038"/>
      <c r="C171" s="1041"/>
      <c r="D171" s="1041"/>
      <c r="E171" s="1042"/>
      <c r="F171" s="1042"/>
      <c r="G171" s="1042"/>
      <c r="H171" s="1042"/>
      <c r="I171" s="1042"/>
      <c r="J171" s="1042"/>
      <c r="K171" s="1042"/>
      <c r="L171" s="1042"/>
    </row>
    <row r="172" spans="1:16" ht="11.25" customHeight="1">
      <c r="A172" s="1195" t="s">
        <v>123</v>
      </c>
      <c r="B172" s="1038"/>
      <c r="C172" s="1041"/>
      <c r="D172" s="1041"/>
      <c r="E172" s="1042"/>
      <c r="F172" s="1042"/>
      <c r="G172" s="1042"/>
      <c r="H172" s="1042"/>
      <c r="I172" s="1042"/>
      <c r="J172" s="1042"/>
      <c r="K172" s="1042"/>
      <c r="L172" s="1042"/>
    </row>
    <row r="173" spans="1:16" ht="11.25" customHeight="1">
      <c r="A173" s="1171" t="s">
        <v>1952</v>
      </c>
    </row>
    <row r="174" spans="1:16" ht="11.25" customHeight="1">
      <c r="A174" s="149" t="s">
        <v>1953</v>
      </c>
    </row>
    <row r="175" spans="1:16" ht="11.25" customHeight="1">
      <c r="A175" s="149" t="s">
        <v>2216</v>
      </c>
      <c r="B175" s="149"/>
    </row>
    <row r="176" spans="1:16" ht="11.25" customHeight="1">
      <c r="B176" s="149"/>
    </row>
    <row r="177" spans="2:2" ht="11.25" customHeight="1">
      <c r="B177" s="149"/>
    </row>
    <row r="178" spans="2:2" ht="11.25" customHeight="1">
      <c r="B178" s="149"/>
    </row>
    <row r="179" spans="2:2" ht="11.25" customHeight="1">
      <c r="B179" s="149"/>
    </row>
    <row r="180" spans="2:2" ht="11.25" customHeight="1">
      <c r="B180" s="149"/>
    </row>
    <row r="181" spans="2:2" ht="11.25" customHeight="1">
      <c r="B181" s="149"/>
    </row>
    <row r="182" spans="2:2" ht="11.25" customHeight="1">
      <c r="B182" s="149"/>
    </row>
    <row r="183" spans="2:2" ht="11.25" customHeight="1">
      <c r="B183" s="149"/>
    </row>
    <row r="184" spans="2:2" ht="11.25" customHeight="1">
      <c r="B184" s="149"/>
    </row>
    <row r="185" spans="2:2" ht="11.25" customHeight="1">
      <c r="B185" s="149"/>
    </row>
    <row r="186" spans="2:2" ht="11.25" customHeight="1">
      <c r="B186" s="149"/>
    </row>
    <row r="187" spans="2:2" ht="11.25" customHeight="1">
      <c r="B187" s="149"/>
    </row>
    <row r="188" spans="2:2" ht="11.25" customHeight="1">
      <c r="B188" s="149"/>
    </row>
    <row r="189" spans="2:2" ht="11.25" customHeight="1">
      <c r="B189" s="149"/>
    </row>
    <row r="190" spans="2:2" ht="11.25" customHeight="1">
      <c r="B190" s="149"/>
    </row>
    <row r="191" spans="2:2" ht="11.25" customHeight="1">
      <c r="B191" s="149"/>
    </row>
    <row r="192" spans="2:2" ht="11.25" customHeight="1">
      <c r="B192" s="149"/>
    </row>
    <row r="193" spans="2:2" ht="11.25" customHeight="1">
      <c r="B193" s="149"/>
    </row>
    <row r="194" spans="2:2" ht="11.25" customHeight="1">
      <c r="B194" s="149"/>
    </row>
    <row r="195" spans="2:2" ht="11.25" customHeight="1">
      <c r="B195" s="149"/>
    </row>
    <row r="196" spans="2:2" ht="11.25" customHeight="1">
      <c r="B196" s="149"/>
    </row>
    <row r="197" spans="2:2" ht="11.25" customHeight="1">
      <c r="B197" s="149"/>
    </row>
    <row r="198" spans="2:2" ht="11.25" customHeight="1">
      <c r="B198" s="149"/>
    </row>
    <row r="199" spans="2:2" ht="11.25" customHeight="1">
      <c r="B199" s="149"/>
    </row>
    <row r="200" spans="2:2" ht="11.25" customHeight="1">
      <c r="B200" s="149"/>
    </row>
    <row r="201" spans="2:2" ht="11.25" customHeight="1">
      <c r="B201" s="149"/>
    </row>
    <row r="202" spans="2:2" ht="11.25" customHeight="1">
      <c r="B202" s="149"/>
    </row>
    <row r="203" spans="2:2" ht="11.25" customHeight="1">
      <c r="B203" s="149"/>
    </row>
    <row r="204" spans="2:2" ht="11.25" customHeight="1">
      <c r="B204" s="149"/>
    </row>
    <row r="205" spans="2:2" ht="11.25" customHeight="1">
      <c r="B205" s="149"/>
    </row>
    <row r="206" spans="2:2" ht="11.25" customHeight="1">
      <c r="B206" s="149"/>
    </row>
    <row r="207" spans="2:2" ht="11.25" customHeight="1">
      <c r="B207" s="149"/>
    </row>
    <row r="208" spans="2:2" ht="11.25" customHeight="1">
      <c r="B208" s="149"/>
    </row>
    <row r="209" spans="2:2" ht="11.25" customHeight="1">
      <c r="B209" s="149"/>
    </row>
    <row r="210" spans="2:2" ht="11.25" customHeight="1">
      <c r="B210" s="149"/>
    </row>
    <row r="211" spans="2:2" ht="11.25" customHeight="1">
      <c r="B211" s="149"/>
    </row>
    <row r="212" spans="2:2" ht="11.25" customHeight="1">
      <c r="B212" s="149"/>
    </row>
    <row r="213" spans="2:2" ht="11.25" customHeight="1">
      <c r="B213" s="149"/>
    </row>
    <row r="214" spans="2:2" ht="11.25" customHeight="1">
      <c r="B214" s="149"/>
    </row>
    <row r="215" spans="2:2" ht="11.25" customHeight="1">
      <c r="B215" s="149"/>
    </row>
    <row r="216" spans="2:2" ht="11.25" customHeight="1">
      <c r="B216" s="149"/>
    </row>
    <row r="217" spans="2:2" ht="11.25" customHeight="1">
      <c r="B217" s="149"/>
    </row>
    <row r="218" spans="2:2" ht="11.25" customHeight="1">
      <c r="B218" s="149"/>
    </row>
    <row r="219" spans="2:2" ht="11.25" customHeight="1">
      <c r="B219" s="149"/>
    </row>
    <row r="220" spans="2:2" ht="11.25" customHeight="1">
      <c r="B220" s="149"/>
    </row>
    <row r="221" spans="2:2" ht="11.25" customHeight="1">
      <c r="B221" s="149"/>
    </row>
    <row r="222" spans="2:2" ht="11.25" customHeight="1">
      <c r="B222" s="149"/>
    </row>
    <row r="223" spans="2:2" ht="11.25" customHeight="1">
      <c r="B223" s="149"/>
    </row>
    <row r="224" spans="2:2" ht="11.25" customHeight="1">
      <c r="B224" s="149"/>
    </row>
    <row r="225" spans="2:2" ht="11.25" customHeight="1">
      <c r="B225" s="149"/>
    </row>
    <row r="226" spans="2:2" ht="11.25" customHeight="1">
      <c r="B226" s="149"/>
    </row>
    <row r="227" spans="2:2" ht="11.25" customHeight="1">
      <c r="B227" s="149"/>
    </row>
    <row r="228" spans="2:2" ht="11.25" customHeight="1">
      <c r="B228" s="149"/>
    </row>
    <row r="229" spans="2:2" ht="11.25" customHeight="1">
      <c r="B229" s="149"/>
    </row>
    <row r="230" spans="2:2">
      <c r="B230" s="149"/>
    </row>
    <row r="231" spans="2:2">
      <c r="B231" s="149"/>
    </row>
    <row r="232" spans="2:2">
      <c r="B232" s="149"/>
    </row>
    <row r="233" spans="2:2">
      <c r="B233" s="149"/>
    </row>
    <row r="234" spans="2:2">
      <c r="B234" s="149"/>
    </row>
    <row r="235" spans="2:2">
      <c r="B235" s="149"/>
    </row>
    <row r="236" spans="2:2">
      <c r="B236" s="149"/>
    </row>
    <row r="237" spans="2:2">
      <c r="B237" s="149"/>
    </row>
    <row r="238" spans="2:2">
      <c r="B238" s="149"/>
    </row>
    <row r="239" spans="2:2">
      <c r="B239" s="149"/>
    </row>
    <row r="240" spans="2:2">
      <c r="B240" s="149"/>
    </row>
    <row r="241" spans="2:2">
      <c r="B241" s="149"/>
    </row>
    <row r="242" spans="2:2">
      <c r="B242" s="149"/>
    </row>
    <row r="243" spans="2:2">
      <c r="B243" s="149"/>
    </row>
    <row r="244" spans="2:2">
      <c r="B244" s="149"/>
    </row>
    <row r="245" spans="2:2">
      <c r="B245" s="149"/>
    </row>
    <row r="246" spans="2:2">
      <c r="B246" s="149"/>
    </row>
    <row r="247" spans="2:2">
      <c r="B247" s="149"/>
    </row>
    <row r="248" spans="2:2">
      <c r="B248" s="149"/>
    </row>
    <row r="249" spans="2:2">
      <c r="B249" s="149"/>
    </row>
    <row r="250" spans="2:2">
      <c r="B250" s="149"/>
    </row>
    <row r="251" spans="2:2">
      <c r="B251" s="149"/>
    </row>
    <row r="252" spans="2:2">
      <c r="B252" s="149"/>
    </row>
    <row r="253" spans="2:2">
      <c r="B253" s="149"/>
    </row>
    <row r="254" spans="2:2">
      <c r="B254" s="149"/>
    </row>
    <row r="255" spans="2:2">
      <c r="B255" s="149"/>
    </row>
    <row r="256" spans="2:2">
      <c r="B256" s="149"/>
    </row>
    <row r="257" spans="2:2">
      <c r="B257" s="149"/>
    </row>
    <row r="258" spans="2:2">
      <c r="B258" s="149"/>
    </row>
    <row r="259" spans="2:2">
      <c r="B259" s="149"/>
    </row>
    <row r="260" spans="2:2">
      <c r="B260" s="149"/>
    </row>
    <row r="261" spans="2:2">
      <c r="B261" s="149"/>
    </row>
    <row r="262" spans="2:2">
      <c r="B262" s="149"/>
    </row>
    <row r="263" spans="2:2">
      <c r="B263" s="149"/>
    </row>
    <row r="264" spans="2:2">
      <c r="B264" s="149"/>
    </row>
    <row r="265" spans="2:2">
      <c r="B265" s="149"/>
    </row>
    <row r="266" spans="2:2">
      <c r="B266" s="149"/>
    </row>
    <row r="267" spans="2:2">
      <c r="B267" s="149"/>
    </row>
    <row r="268" spans="2:2">
      <c r="B268" s="149"/>
    </row>
    <row r="269" spans="2:2">
      <c r="B269" s="149"/>
    </row>
    <row r="270" spans="2:2">
      <c r="B270" s="149"/>
    </row>
    <row r="271" spans="2:2">
      <c r="B271" s="149"/>
    </row>
    <row r="272" spans="2:2">
      <c r="B272" s="149"/>
    </row>
    <row r="273" spans="2:2">
      <c r="B273" s="149"/>
    </row>
    <row r="274" spans="2:2">
      <c r="B274" s="149"/>
    </row>
    <row r="275" spans="2:2">
      <c r="B275" s="149"/>
    </row>
  </sheetData>
  <sheetProtection password="C646" sheet="1" objects="1" scenarios="1"/>
  <mergeCells count="4">
    <mergeCell ref="J2:L2"/>
    <mergeCell ref="F2:I2"/>
    <mergeCell ref="A2:A3"/>
    <mergeCell ref="B2:B3"/>
  </mergeCells>
  <phoneticPr fontId="5" type="noConversion"/>
  <dataValidations count="1">
    <dataValidation type="decimal" allowBlank="1" showInputMessage="1" showErrorMessage="1" sqref="C7:L8 C12:L13 C17:L18 C22:L23 C27:L29 C33:L44 C49:L60 C62:L62 C66:L71 C75:L78 C82:L83 C92:L116 C119:L122 C126:L152 C156:L159 C87:L88">
      <formula1>-999999999999999</formula1>
      <formula2>99999999999999</formula2>
    </dataValidation>
  </dataValidations>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enableFormatConditionsCalculation="0">
    <tabColor indexed="42"/>
  </sheetPr>
  <dimension ref="A1:U83"/>
  <sheetViews>
    <sheetView showGridLines="0" workbookViewId="0">
      <pane xSplit="2" ySplit="3" topLeftCell="C25" activePane="bottomRight" state="frozen"/>
      <selection pane="topRight"/>
      <selection pane="bottomLeft"/>
      <selection pane="bottomRight" activeCell="L28" sqref="L28:L34"/>
    </sheetView>
  </sheetViews>
  <sheetFormatPr baseColWidth="10" defaultColWidth="8.83203125" defaultRowHeight="10" x14ac:dyDescent="0"/>
  <cols>
    <col min="1" max="1" width="30.6640625" style="149" customWidth="1"/>
    <col min="2" max="2" width="3" style="247" customWidth="1"/>
    <col min="3" max="18" width="9.33203125" style="149" customWidth="1"/>
    <col min="19" max="20" width="8.83203125" style="149"/>
    <col min="21" max="21" width="9.83203125" style="149" customWidth="1"/>
    <col min="22" max="22" width="9.5" style="149" customWidth="1"/>
    <col min="23" max="23" width="9.83203125" style="149" customWidth="1"/>
    <col min="24" max="26" width="9.5" style="149" customWidth="1"/>
    <col min="27" max="27" width="9.83203125" style="149" customWidth="1"/>
    <col min="28" max="30" width="9.5" style="149" customWidth="1"/>
    <col min="31" max="32" width="9.83203125" style="149" customWidth="1"/>
    <col min="33" max="16384" width="8.83203125" style="149"/>
  </cols>
  <sheetData>
    <row r="1" spans="1:19" s="179" customFormat="1" ht="12">
      <c r="A1" s="147" t="str">
        <f>muni&amp;" - "&amp;TableA2</f>
        <v>NW373 Rustenburg - Supporting Table SA2 Consolidated Matrix Financial Performance Budget (revenue source/expenditure type &amp; dept.)</v>
      </c>
      <c r="B1" s="147"/>
      <c r="C1" s="147"/>
      <c r="D1" s="147"/>
      <c r="E1" s="147"/>
      <c r="F1" s="147"/>
      <c r="G1" s="147"/>
      <c r="H1" s="147"/>
      <c r="I1" s="147"/>
      <c r="J1" s="147"/>
      <c r="K1" s="147"/>
      <c r="L1" s="147"/>
      <c r="M1" s="147"/>
      <c r="N1" s="147"/>
      <c r="O1" s="147"/>
      <c r="P1" s="147"/>
      <c r="Q1" s="147"/>
      <c r="R1" s="147"/>
    </row>
    <row r="2" spans="1:19" s="370" customFormat="1" ht="43.5" customHeight="1">
      <c r="A2" s="142" t="str">
        <f>desc</f>
        <v>Description</v>
      </c>
      <c r="B2" s="419" t="str">
        <f>head27</f>
        <v>Ref</v>
      </c>
      <c r="C2" s="2793" t="str">
        <f>'A3-FinPerf V'!A5</f>
        <v>Vote 1 - EXECUTIVE MAYOR</v>
      </c>
      <c r="D2" s="2793" t="str">
        <f>'A3-FinPerf V'!A6</f>
        <v>Vote 2 - MUNICIPAL MANAGER</v>
      </c>
      <c r="E2" s="2793" t="str">
        <f>'A3-FinPerf V'!A7</f>
        <v>Vote 3 - CORPORATE SUPPORT SERVICES</v>
      </c>
      <c r="F2" s="2793" t="str">
        <f>'A3-FinPerf V'!A8</f>
        <v>Vote 4 - BUDGET AND TREASURY OFFICE</v>
      </c>
      <c r="G2" s="2793" t="str">
        <f>'A3-FinPerf V'!A9</f>
        <v>Vote 5 - PUBLIC SAFETY</v>
      </c>
      <c r="H2" s="2793" t="str">
        <f>'A3-FinPerf V'!A10</f>
        <v>Vote 6 - PLANNING &amp; HUMAN SETTLEMENT</v>
      </c>
      <c r="I2" s="2793" t="str">
        <f>'A3-FinPerf V'!A11</f>
        <v xml:space="preserve">Vote 7 - LOCAL ECONOMIC DEVELOPMENT </v>
      </c>
      <c r="J2" s="2793" t="str">
        <f>'A3-FinPerf V'!A12</f>
        <v>Vote 8 - COMMUNITY DEVELOPMENT</v>
      </c>
      <c r="K2" s="2793" t="str">
        <f>'A3-FinPerf V'!A13</f>
        <v>Vote 9 - TECHNICAL AND INFRASTRUCTURE</v>
      </c>
      <c r="L2" s="2793" t="str">
        <f>'A3-FinPerf V'!A14</f>
        <v>Vote 10 - RUSTENBURG WATER SERVICE TRUST</v>
      </c>
      <c r="M2" s="2793" t="str">
        <f>'A3-FinPerf V'!A15</f>
        <v>Vote 11 - [NAME OF VOTE 11]</v>
      </c>
      <c r="N2" s="2793" t="str">
        <f>'A3-FinPerf V'!A16</f>
        <v>Vote 12 - [NAME OF VOTE 12]</v>
      </c>
      <c r="O2" s="2793" t="str">
        <f>'A3-FinPerf V'!A17</f>
        <v>Vote 13 - [NAME OF VOTE 13]</v>
      </c>
      <c r="P2" s="2793" t="str">
        <f>'A3-FinPerf V'!A18</f>
        <v>Vote 14 - [NAME OF VOTE 14]</v>
      </c>
      <c r="Q2" s="2793" t="str">
        <f>'A3-FinPerf V'!A19</f>
        <v>Vote 15 - [NAME OF VOTE 15]</v>
      </c>
      <c r="R2" s="2795" t="s">
        <v>776</v>
      </c>
      <c r="S2" s="1556"/>
    </row>
    <row r="3" spans="1:19">
      <c r="A3" s="180" t="s">
        <v>667</v>
      </c>
      <c r="B3" s="290">
        <v>1</v>
      </c>
      <c r="C3" s="2794" t="s">
        <v>1020</v>
      </c>
      <c r="D3" s="2794" t="s">
        <v>1020</v>
      </c>
      <c r="E3" s="2794" t="s">
        <v>1020</v>
      </c>
      <c r="F3" s="2794" t="s">
        <v>1020</v>
      </c>
      <c r="G3" s="2794" t="s">
        <v>1020</v>
      </c>
      <c r="H3" s="2794" t="s">
        <v>1020</v>
      </c>
      <c r="I3" s="2794"/>
      <c r="J3" s="2794"/>
      <c r="K3" s="2794"/>
      <c r="L3" s="2794"/>
      <c r="M3" s="2794"/>
      <c r="N3" s="2794"/>
      <c r="O3" s="2794"/>
      <c r="P3" s="2794"/>
      <c r="Q3" s="2794" t="s">
        <v>1020</v>
      </c>
      <c r="R3" s="2796" t="s">
        <v>1020</v>
      </c>
    </row>
    <row r="4" spans="1:19" ht="11.25" customHeight="1">
      <c r="A4" s="181" t="str">
        <f>'A4-FinPerf RE'!A4</f>
        <v>Revenue By Source</v>
      </c>
      <c r="B4" s="293"/>
      <c r="C4" s="311"/>
      <c r="D4" s="311"/>
      <c r="E4" s="311"/>
      <c r="F4" s="311"/>
      <c r="G4" s="311"/>
      <c r="H4" s="311"/>
      <c r="I4" s="311"/>
      <c r="J4" s="311"/>
      <c r="K4" s="311"/>
      <c r="L4" s="311"/>
      <c r="M4" s="311"/>
      <c r="N4" s="311"/>
      <c r="O4" s="311"/>
      <c r="P4" s="311"/>
      <c r="Q4" s="311"/>
      <c r="R4" s="420"/>
    </row>
    <row r="5" spans="1:19" ht="11.25" customHeight="1">
      <c r="A5" s="325" t="str">
        <f>'A4-FinPerf RE'!A5</f>
        <v>Property rates</v>
      </c>
      <c r="B5" s="294"/>
      <c r="C5" s="1615">
        <v>0</v>
      </c>
      <c r="D5" s="1615">
        <v>0</v>
      </c>
      <c r="E5" s="1615">
        <v>0</v>
      </c>
      <c r="F5" s="1615">
        <v>167532009</v>
      </c>
      <c r="G5" s="1615">
        <v>0</v>
      </c>
      <c r="H5" s="1615">
        <v>0</v>
      </c>
      <c r="I5" s="1615">
        <v>0</v>
      </c>
      <c r="J5" s="1615">
        <v>0</v>
      </c>
      <c r="K5" s="1615">
        <v>0</v>
      </c>
      <c r="L5" s="1615"/>
      <c r="M5" s="1615"/>
      <c r="N5" s="1615"/>
      <c r="O5" s="1615"/>
      <c r="P5" s="1615"/>
      <c r="Q5" s="1615"/>
      <c r="R5" s="421">
        <f>SUM(C5:Q5)</f>
        <v>167532009</v>
      </c>
    </row>
    <row r="6" spans="1:19" ht="11.25" customHeight="1">
      <c r="A6" s="325" t="str">
        <f>'A4-FinPerf RE'!A6</f>
        <v>Property rates - penalties &amp; collection charges</v>
      </c>
      <c r="B6" s="294"/>
      <c r="C6" s="1615">
        <v>0</v>
      </c>
      <c r="D6" s="1615">
        <v>0</v>
      </c>
      <c r="E6" s="1615">
        <v>0</v>
      </c>
      <c r="F6" s="1615">
        <v>0</v>
      </c>
      <c r="G6" s="1615">
        <v>0</v>
      </c>
      <c r="H6" s="1615">
        <v>0</v>
      </c>
      <c r="I6" s="1615">
        <v>0</v>
      </c>
      <c r="J6" s="1615">
        <v>0</v>
      </c>
      <c r="K6" s="1615">
        <v>0</v>
      </c>
      <c r="L6" s="1615"/>
      <c r="M6" s="1615"/>
      <c r="N6" s="1615"/>
      <c r="O6" s="1615"/>
      <c r="P6" s="1615"/>
      <c r="Q6" s="1615"/>
      <c r="R6" s="421">
        <f t="shared" ref="R6:R21" si="0">SUM(C6:Q6)</f>
        <v>0</v>
      </c>
    </row>
    <row r="7" spans="1:19" ht="11.25" customHeight="1">
      <c r="A7" s="325" t="str">
        <f>'A4-FinPerf RE'!A7</f>
        <v>Service charges - electricity revenue</v>
      </c>
      <c r="B7" s="294"/>
      <c r="C7" s="1615">
        <v>0</v>
      </c>
      <c r="D7" s="1615">
        <v>0</v>
      </c>
      <c r="E7" s="1615">
        <v>0</v>
      </c>
      <c r="F7" s="1615">
        <v>0</v>
      </c>
      <c r="G7" s="1615">
        <v>0</v>
      </c>
      <c r="H7" s="1615">
        <v>0</v>
      </c>
      <c r="I7" s="1615">
        <v>0</v>
      </c>
      <c r="J7" s="1615">
        <v>0</v>
      </c>
      <c r="K7" s="1622">
        <v>1196824246</v>
      </c>
      <c r="L7" s="1615"/>
      <c r="M7" s="1615"/>
      <c r="N7" s="1615"/>
      <c r="O7" s="1615"/>
      <c r="P7" s="1615"/>
      <c r="Q7" s="1615"/>
      <c r="R7" s="421">
        <f t="shared" si="0"/>
        <v>1196824246</v>
      </c>
    </row>
    <row r="8" spans="1:19" ht="11.25" customHeight="1">
      <c r="A8" s="325" t="str">
        <f>'A4-FinPerf RE'!A8</f>
        <v>Service charges - water revenue</v>
      </c>
      <c r="B8" s="294"/>
      <c r="C8" s="1615">
        <v>0</v>
      </c>
      <c r="D8" s="1615">
        <v>0</v>
      </c>
      <c r="E8" s="1615">
        <v>0</v>
      </c>
      <c r="F8" s="1615">
        <v>0</v>
      </c>
      <c r="G8" s="1615">
        <v>0</v>
      </c>
      <c r="H8" s="1615">
        <v>0</v>
      </c>
      <c r="I8" s="1615">
        <v>0</v>
      </c>
      <c r="J8" s="1615">
        <v>0</v>
      </c>
      <c r="K8" s="1615">
        <v>311389798</v>
      </c>
      <c r="L8" s="1615">
        <v>28342333</v>
      </c>
      <c r="M8" s="1615"/>
      <c r="N8" s="1615"/>
      <c r="O8" s="1615"/>
      <c r="P8" s="1615"/>
      <c r="Q8" s="1615"/>
      <c r="R8" s="421">
        <f t="shared" si="0"/>
        <v>339732131</v>
      </c>
    </row>
    <row r="9" spans="1:19" ht="11.25" customHeight="1">
      <c r="A9" s="325" t="str">
        <f>'A4-FinPerf RE'!A9</f>
        <v>Service charges - sanitation revenue</v>
      </c>
      <c r="B9" s="294"/>
      <c r="C9" s="1615">
        <v>0</v>
      </c>
      <c r="D9" s="1615">
        <v>0</v>
      </c>
      <c r="E9" s="1615">
        <v>0</v>
      </c>
      <c r="F9" s="1615">
        <v>0</v>
      </c>
      <c r="G9" s="1615">
        <v>0</v>
      </c>
      <c r="H9" s="1615">
        <v>0</v>
      </c>
      <c r="I9" s="1615">
        <v>0</v>
      </c>
      <c r="J9" s="1615">
        <v>0</v>
      </c>
      <c r="K9" s="1615">
        <v>65246293</v>
      </c>
      <c r="L9" s="1615">
        <v>128978719</v>
      </c>
      <c r="M9" s="1615"/>
      <c r="N9" s="1615"/>
      <c r="O9" s="1615"/>
      <c r="P9" s="1615"/>
      <c r="Q9" s="1615"/>
      <c r="R9" s="421">
        <f t="shared" si="0"/>
        <v>194225012</v>
      </c>
    </row>
    <row r="10" spans="1:19" ht="11.25" customHeight="1">
      <c r="A10" s="325" t="str">
        <f>'A4-FinPerf RE'!A10</f>
        <v>Service charges - refuse revenue</v>
      </c>
      <c r="B10" s="294"/>
      <c r="C10" s="1615">
        <v>0</v>
      </c>
      <c r="D10" s="1615">
        <v>0</v>
      </c>
      <c r="E10" s="1615">
        <v>0</v>
      </c>
      <c r="F10" s="1615">
        <v>0</v>
      </c>
      <c r="G10" s="1615">
        <v>0</v>
      </c>
      <c r="H10" s="1615">
        <v>0</v>
      </c>
      <c r="I10" s="1615">
        <v>0</v>
      </c>
      <c r="J10" s="1615">
        <v>0</v>
      </c>
      <c r="K10" s="1615">
        <v>71943353</v>
      </c>
      <c r="L10" s="1615"/>
      <c r="M10" s="1615"/>
      <c r="N10" s="1615"/>
      <c r="O10" s="1615"/>
      <c r="P10" s="1615"/>
      <c r="Q10" s="1615"/>
      <c r="R10" s="421">
        <f t="shared" si="0"/>
        <v>71943353</v>
      </c>
    </row>
    <row r="11" spans="1:19" ht="11.25" customHeight="1">
      <c r="A11" s="325" t="str">
        <f>'A4-FinPerf RE'!A11</f>
        <v>Service charges - other</v>
      </c>
      <c r="B11" s="294"/>
      <c r="C11" s="1615">
        <v>0</v>
      </c>
      <c r="D11" s="1615">
        <v>0</v>
      </c>
      <c r="E11" s="1615">
        <v>0</v>
      </c>
      <c r="F11" s="1615">
        <v>1968793</v>
      </c>
      <c r="G11" s="1615">
        <v>0</v>
      </c>
      <c r="H11" s="1615">
        <v>0</v>
      </c>
      <c r="I11" s="1615">
        <v>0</v>
      </c>
      <c r="J11" s="1615">
        <v>0</v>
      </c>
      <c r="K11" s="1615">
        <v>402379</v>
      </c>
      <c r="L11" s="1615"/>
      <c r="M11" s="1615"/>
      <c r="N11" s="1615"/>
      <c r="O11" s="1615"/>
      <c r="P11" s="1615"/>
      <c r="Q11" s="1615"/>
      <c r="R11" s="421">
        <f t="shared" si="0"/>
        <v>2371172</v>
      </c>
    </row>
    <row r="12" spans="1:19" ht="11.25" customHeight="1">
      <c r="A12" s="325" t="str">
        <f>'A4-FinPerf RE'!A12</f>
        <v>Rental of facilities and equipment</v>
      </c>
      <c r="B12" s="294"/>
      <c r="C12" s="1615">
        <v>0</v>
      </c>
      <c r="D12" s="1615">
        <v>0</v>
      </c>
      <c r="E12" s="1615">
        <v>0</v>
      </c>
      <c r="F12" s="1615">
        <v>0</v>
      </c>
      <c r="G12" s="1615">
        <v>0</v>
      </c>
      <c r="H12" s="1615">
        <v>4252028</v>
      </c>
      <c r="I12" s="1615">
        <v>379300</v>
      </c>
      <c r="J12" s="1615">
        <v>2438587</v>
      </c>
      <c r="K12" s="1615">
        <v>8290545</v>
      </c>
      <c r="L12" s="1615"/>
      <c r="M12" s="1615"/>
      <c r="N12" s="1615"/>
      <c r="O12" s="1615"/>
      <c r="P12" s="1615"/>
      <c r="Q12" s="1615"/>
      <c r="R12" s="421">
        <f t="shared" si="0"/>
        <v>15360460</v>
      </c>
    </row>
    <row r="13" spans="1:19" ht="11.25" customHeight="1">
      <c r="A13" s="325" t="str">
        <f>'A4-FinPerf RE'!A13</f>
        <v>Interest earned - external investments</v>
      </c>
      <c r="B13" s="294"/>
      <c r="C13" s="1615">
        <v>63638112</v>
      </c>
      <c r="D13" s="1615">
        <v>0</v>
      </c>
      <c r="E13" s="1615">
        <v>0</v>
      </c>
      <c r="F13" s="1615">
        <v>0</v>
      </c>
      <c r="G13" s="1615">
        <v>0</v>
      </c>
      <c r="H13" s="1615">
        <v>0</v>
      </c>
      <c r="I13" s="1615">
        <v>0</v>
      </c>
      <c r="J13" s="1615">
        <v>0</v>
      </c>
      <c r="K13" s="1615">
        <v>0</v>
      </c>
      <c r="L13" s="1615">
        <v>5358299</v>
      </c>
      <c r="M13" s="1615"/>
      <c r="N13" s="1615"/>
      <c r="O13" s="1615"/>
      <c r="P13" s="1615"/>
      <c r="Q13" s="1615"/>
      <c r="R13" s="421">
        <f t="shared" si="0"/>
        <v>68996411</v>
      </c>
    </row>
    <row r="14" spans="1:19" ht="11.25" customHeight="1">
      <c r="A14" s="325" t="str">
        <f>'A4-FinPerf RE'!A14</f>
        <v>Interest earned - outstanding debtors</v>
      </c>
      <c r="B14" s="294"/>
      <c r="C14" s="1615">
        <v>140090456</v>
      </c>
      <c r="D14" s="1615">
        <v>0</v>
      </c>
      <c r="E14" s="1615">
        <v>0</v>
      </c>
      <c r="F14" s="1615">
        <v>0</v>
      </c>
      <c r="G14" s="1615">
        <v>0</v>
      </c>
      <c r="H14" s="1615">
        <v>0</v>
      </c>
      <c r="I14" s="1615">
        <v>0</v>
      </c>
      <c r="J14" s="1615">
        <v>0</v>
      </c>
      <c r="K14" s="1615">
        <v>0</v>
      </c>
      <c r="L14" s="1615"/>
      <c r="M14" s="1615"/>
      <c r="N14" s="1615"/>
      <c r="O14" s="1615"/>
      <c r="P14" s="1615"/>
      <c r="Q14" s="1615"/>
      <c r="R14" s="421">
        <f t="shared" si="0"/>
        <v>140090456</v>
      </c>
    </row>
    <row r="15" spans="1:19" ht="11.25" customHeight="1">
      <c r="A15" s="325" t="str">
        <f>'A4-FinPerf RE'!A15</f>
        <v>Dividends received</v>
      </c>
      <c r="B15" s="294"/>
      <c r="C15" s="1615">
        <v>0</v>
      </c>
      <c r="D15" s="1615">
        <v>0</v>
      </c>
      <c r="E15" s="1615">
        <v>0</v>
      </c>
      <c r="F15" s="1615">
        <v>0</v>
      </c>
      <c r="G15" s="1615">
        <v>0</v>
      </c>
      <c r="H15" s="1615">
        <v>0</v>
      </c>
      <c r="I15" s="1615">
        <v>0</v>
      </c>
      <c r="J15" s="1615">
        <v>0</v>
      </c>
      <c r="K15" s="1615">
        <v>0</v>
      </c>
      <c r="L15" s="1615"/>
      <c r="M15" s="1615"/>
      <c r="N15" s="1615"/>
      <c r="O15" s="1615"/>
      <c r="P15" s="1615"/>
      <c r="Q15" s="1615"/>
      <c r="R15" s="421">
        <f t="shared" si="0"/>
        <v>0</v>
      </c>
    </row>
    <row r="16" spans="1:19" ht="11.25" customHeight="1">
      <c r="A16" s="325" t="str">
        <f>'A4-FinPerf RE'!A16</f>
        <v>Fines</v>
      </c>
      <c r="B16" s="294"/>
      <c r="C16" s="1615">
        <v>0</v>
      </c>
      <c r="D16" s="1615">
        <v>0</v>
      </c>
      <c r="E16" s="1615">
        <v>0</v>
      </c>
      <c r="F16" s="1615">
        <v>44000</v>
      </c>
      <c r="G16" s="1615">
        <v>8000000</v>
      </c>
      <c r="H16" s="1615">
        <v>35000</v>
      </c>
      <c r="I16" s="1615">
        <v>0</v>
      </c>
      <c r="J16" s="1615">
        <v>4700</v>
      </c>
      <c r="K16" s="1615">
        <v>1021452</v>
      </c>
      <c r="L16" s="1615"/>
      <c r="M16" s="1615"/>
      <c r="N16" s="1615"/>
      <c r="O16" s="1615"/>
      <c r="P16" s="1615"/>
      <c r="Q16" s="1615"/>
      <c r="R16" s="421">
        <f t="shared" si="0"/>
        <v>9105152</v>
      </c>
    </row>
    <row r="17" spans="1:18" ht="11.25" customHeight="1">
      <c r="A17" s="325" t="str">
        <f>'A4-FinPerf RE'!A17</f>
        <v>Licences and permits</v>
      </c>
      <c r="B17" s="294"/>
      <c r="C17" s="1615">
        <v>0</v>
      </c>
      <c r="D17" s="1615">
        <v>0</v>
      </c>
      <c r="E17" s="1615">
        <v>0</v>
      </c>
      <c r="F17" s="1615">
        <v>0</v>
      </c>
      <c r="G17" s="1615">
        <v>11773968</v>
      </c>
      <c r="H17" s="1615">
        <v>0</v>
      </c>
      <c r="I17" s="1615">
        <v>0</v>
      </c>
      <c r="J17" s="1615">
        <v>6047</v>
      </c>
      <c r="K17" s="1615">
        <v>0</v>
      </c>
      <c r="L17" s="1615"/>
      <c r="M17" s="1615"/>
      <c r="N17" s="1615"/>
      <c r="O17" s="1615"/>
      <c r="P17" s="1615"/>
      <c r="Q17" s="1615"/>
      <c r="R17" s="421">
        <f t="shared" si="0"/>
        <v>11780015</v>
      </c>
    </row>
    <row r="18" spans="1:18" ht="11.25" customHeight="1">
      <c r="A18" s="325" t="str">
        <f>'A4-FinPerf RE'!A18</f>
        <v>Agency services</v>
      </c>
      <c r="B18" s="294"/>
      <c r="C18" s="1615">
        <v>0</v>
      </c>
      <c r="D18" s="1615">
        <v>0</v>
      </c>
      <c r="E18" s="1615">
        <v>337990</v>
      </c>
      <c r="F18" s="1615">
        <v>0</v>
      </c>
      <c r="G18" s="1615">
        <v>19639088</v>
      </c>
      <c r="H18" s="1615">
        <v>0</v>
      </c>
      <c r="I18" s="1615">
        <v>0</v>
      </c>
      <c r="J18" s="1615">
        <v>0</v>
      </c>
      <c r="K18" s="1615">
        <v>0</v>
      </c>
      <c r="L18" s="1615"/>
      <c r="M18" s="1615"/>
      <c r="N18" s="1615"/>
      <c r="O18" s="1615"/>
      <c r="P18" s="1615"/>
      <c r="Q18" s="1615"/>
      <c r="R18" s="421">
        <f t="shared" si="0"/>
        <v>19977078</v>
      </c>
    </row>
    <row r="19" spans="1:18" ht="11.25" customHeight="1">
      <c r="A19" s="190" t="str">
        <f>'A4-FinPerf RE'!A20</f>
        <v>Other revenue</v>
      </c>
      <c r="B19" s="293"/>
      <c r="C19" s="1615">
        <v>22519</v>
      </c>
      <c r="D19" s="1615">
        <v>47441</v>
      </c>
      <c r="E19" s="1615">
        <v>802197</v>
      </c>
      <c r="F19" s="1615">
        <v>14154982</v>
      </c>
      <c r="G19" s="1615">
        <v>1566686</v>
      </c>
      <c r="H19" s="1615">
        <v>4405960</v>
      </c>
      <c r="I19" s="1615">
        <v>3036170</v>
      </c>
      <c r="J19" s="1615">
        <v>2017803</v>
      </c>
      <c r="K19" s="1615">
        <v>15021510</v>
      </c>
      <c r="L19" s="1615"/>
      <c r="M19" s="1615"/>
      <c r="N19" s="1615"/>
      <c r="O19" s="1615"/>
      <c r="P19" s="1615"/>
      <c r="Q19" s="1615"/>
      <c r="R19" s="421">
        <f t="shared" si="0"/>
        <v>41075268</v>
      </c>
    </row>
    <row r="20" spans="1:18" ht="11.25" customHeight="1">
      <c r="A20" s="325" t="str">
        <f>'A4-FinPerf RE'!A19</f>
        <v>Transfers recognised - operational</v>
      </c>
      <c r="B20" s="294"/>
      <c r="C20" s="1615">
        <v>445000</v>
      </c>
      <c r="D20" s="1615">
        <v>40295900</v>
      </c>
      <c r="E20" s="1615">
        <v>1160000</v>
      </c>
      <c r="F20" s="1615">
        <v>22131250</v>
      </c>
      <c r="G20" s="1615">
        <v>0</v>
      </c>
      <c r="H20" s="1615">
        <v>0</v>
      </c>
      <c r="I20" s="1615">
        <v>0</v>
      </c>
      <c r="J20" s="1615">
        <v>670000</v>
      </c>
      <c r="K20" s="1615">
        <v>277177650</v>
      </c>
      <c r="L20" s="1615"/>
      <c r="M20" s="1615"/>
      <c r="N20" s="1615"/>
      <c r="O20" s="1615"/>
      <c r="P20" s="1615"/>
      <c r="Q20" s="1615"/>
      <c r="R20" s="421">
        <f t="shared" si="0"/>
        <v>341879800</v>
      </c>
    </row>
    <row r="21" spans="1:18" ht="11.25" customHeight="1">
      <c r="A21" s="190" t="str">
        <f>'A4-FinPerf RE'!A21</f>
        <v>Gains on disposal of PPE</v>
      </c>
      <c r="B21" s="293"/>
      <c r="C21" s="1615">
        <v>0</v>
      </c>
      <c r="D21" s="1615">
        <v>0</v>
      </c>
      <c r="E21" s="1615">
        <v>0</v>
      </c>
      <c r="F21" s="1615">
        <v>0</v>
      </c>
      <c r="G21" s="1615">
        <v>0</v>
      </c>
      <c r="H21" s="1615">
        <v>100071607</v>
      </c>
      <c r="I21" s="1615">
        <v>0</v>
      </c>
      <c r="J21" s="1615">
        <v>0</v>
      </c>
      <c r="K21" s="1615">
        <v>0</v>
      </c>
      <c r="L21" s="1615"/>
      <c r="M21" s="1615"/>
      <c r="N21" s="1615"/>
      <c r="O21" s="1615"/>
      <c r="P21" s="1615"/>
      <c r="Q21" s="1615"/>
      <c r="R21" s="421">
        <f t="shared" si="0"/>
        <v>100071607</v>
      </c>
    </row>
    <row r="22" spans="1:18" ht="11.25" customHeight="1">
      <c r="A22" s="326" t="str">
        <f>'A4-FinPerf RE'!A22</f>
        <v>Total Revenue (excluding capital transfers and contributions)</v>
      </c>
      <c r="B22" s="293"/>
      <c r="C22" s="213">
        <f t="shared" ref="C22:R22" si="1">SUM(C5:C21)</f>
        <v>204196087</v>
      </c>
      <c r="D22" s="213">
        <f t="shared" si="1"/>
        <v>40343341</v>
      </c>
      <c r="E22" s="213">
        <f t="shared" si="1"/>
        <v>2300187</v>
      </c>
      <c r="F22" s="213">
        <f t="shared" si="1"/>
        <v>205831034</v>
      </c>
      <c r="G22" s="213">
        <f t="shared" si="1"/>
        <v>40979742</v>
      </c>
      <c r="H22" s="213">
        <f t="shared" si="1"/>
        <v>108764595</v>
      </c>
      <c r="I22" s="213">
        <f t="shared" si="1"/>
        <v>3415470</v>
      </c>
      <c r="J22" s="213">
        <f t="shared" si="1"/>
        <v>5137137</v>
      </c>
      <c r="K22" s="213">
        <f t="shared" si="1"/>
        <v>1947317226</v>
      </c>
      <c r="L22" s="213">
        <f t="shared" si="1"/>
        <v>162679351</v>
      </c>
      <c r="M22" s="213">
        <f t="shared" si="1"/>
        <v>0</v>
      </c>
      <c r="N22" s="213">
        <f t="shared" si="1"/>
        <v>0</v>
      </c>
      <c r="O22" s="213">
        <f t="shared" si="1"/>
        <v>0</v>
      </c>
      <c r="P22" s="213">
        <f t="shared" si="1"/>
        <v>0</v>
      </c>
      <c r="Q22" s="213">
        <f t="shared" si="1"/>
        <v>0</v>
      </c>
      <c r="R22" s="422">
        <f t="shared" si="1"/>
        <v>2720964170</v>
      </c>
    </row>
    <row r="23" spans="1:18" ht="5" customHeight="1">
      <c r="A23" s="201"/>
      <c r="B23" s="293"/>
      <c r="C23" s="203"/>
      <c r="D23" s="203"/>
      <c r="E23" s="203"/>
      <c r="F23" s="203"/>
      <c r="G23" s="203"/>
      <c r="H23" s="203"/>
      <c r="I23" s="203"/>
      <c r="J23" s="203"/>
      <c r="K23" s="203"/>
      <c r="L23" s="203"/>
      <c r="M23" s="203"/>
      <c r="N23" s="203"/>
      <c r="O23" s="203"/>
      <c r="P23" s="203"/>
      <c r="Q23" s="203"/>
      <c r="R23" s="421"/>
    </row>
    <row r="24" spans="1:18" ht="11.25" customHeight="1">
      <c r="A24" s="181" t="str">
        <f>'A4-FinPerf RE'!A24</f>
        <v>Expenditure By Type</v>
      </c>
      <c r="B24" s="295"/>
      <c r="C24" s="203"/>
      <c r="D24" s="203"/>
      <c r="E24" s="203"/>
      <c r="F24" s="203"/>
      <c r="G24" s="203"/>
      <c r="H24" s="203"/>
      <c r="I24" s="203"/>
      <c r="J24" s="203"/>
      <c r="K24" s="203"/>
      <c r="L24" s="203"/>
      <c r="M24" s="203"/>
      <c r="N24" s="203"/>
      <c r="O24" s="203"/>
      <c r="P24" s="203"/>
      <c r="Q24" s="203"/>
      <c r="R24" s="421"/>
    </row>
    <row r="25" spans="1:18" ht="11.25" customHeight="1">
      <c r="A25" s="325" t="str">
        <f>'A4-FinPerf RE'!A25</f>
        <v>Employee related costs</v>
      </c>
      <c r="B25" s="294"/>
      <c r="C25" s="1615">
        <v>39543483</v>
      </c>
      <c r="D25" s="1615">
        <v>28285813</v>
      </c>
      <c r="E25" s="1615">
        <v>32900017</v>
      </c>
      <c r="F25" s="1615">
        <v>40650867</v>
      </c>
      <c r="G25" s="1615">
        <v>83878769</v>
      </c>
      <c r="H25" s="1615">
        <v>23267436</v>
      </c>
      <c r="I25" s="1615">
        <v>6593057</v>
      </c>
      <c r="J25" s="1615">
        <v>68606614</v>
      </c>
      <c r="K25" s="1615">
        <v>139020047</v>
      </c>
      <c r="L25" s="1615"/>
      <c r="M25" s="1615"/>
      <c r="N25" s="1615"/>
      <c r="O25" s="1615"/>
      <c r="P25" s="1615"/>
      <c r="Q25" s="1615"/>
      <c r="R25" s="421">
        <f>SUM(C25:Q25)</f>
        <v>462746103</v>
      </c>
    </row>
    <row r="26" spans="1:18" ht="11.25" customHeight="1">
      <c r="A26" s="325" t="str">
        <f>'A4-FinPerf RE'!A26</f>
        <v>Remuneration of councillors</v>
      </c>
      <c r="B26" s="294"/>
      <c r="C26" s="1615">
        <v>26919289</v>
      </c>
      <c r="D26" s="1615">
        <v>0</v>
      </c>
      <c r="E26" s="1615">
        <v>0</v>
      </c>
      <c r="F26" s="1615">
        <v>0</v>
      </c>
      <c r="G26" s="1615">
        <v>0</v>
      </c>
      <c r="H26" s="1615">
        <v>0</v>
      </c>
      <c r="I26" s="1615">
        <v>0</v>
      </c>
      <c r="J26" s="1615">
        <v>0</v>
      </c>
      <c r="K26" s="1615">
        <v>0</v>
      </c>
      <c r="L26" s="1615"/>
      <c r="M26" s="1615"/>
      <c r="N26" s="1615"/>
      <c r="O26" s="1615"/>
      <c r="P26" s="1615"/>
      <c r="Q26" s="1615"/>
      <c r="R26" s="421">
        <f t="shared" ref="R26:R35" si="2">SUM(C26:Q26)</f>
        <v>26919289</v>
      </c>
    </row>
    <row r="27" spans="1:18" ht="11.25" customHeight="1">
      <c r="A27" s="325" t="str">
        <f>'A4-FinPerf RE'!A27</f>
        <v>Debt impairment</v>
      </c>
      <c r="B27" s="294"/>
      <c r="C27" s="1615">
        <v>0</v>
      </c>
      <c r="D27" s="1615">
        <v>0</v>
      </c>
      <c r="E27" s="1615">
        <v>0</v>
      </c>
      <c r="F27" s="1615">
        <v>80488055</v>
      </c>
      <c r="G27" s="1615">
        <v>0</v>
      </c>
      <c r="H27" s="1615">
        <v>0</v>
      </c>
      <c r="I27" s="1615">
        <v>0</v>
      </c>
      <c r="J27" s="1615">
        <v>0</v>
      </c>
      <c r="K27" s="1615">
        <v>125891482</v>
      </c>
      <c r="L27" s="1615"/>
      <c r="M27" s="1615"/>
      <c r="N27" s="1615"/>
      <c r="O27" s="1615"/>
      <c r="P27" s="1615"/>
      <c r="Q27" s="1615"/>
      <c r="R27" s="421">
        <f t="shared" si="2"/>
        <v>206379537</v>
      </c>
    </row>
    <row r="28" spans="1:18" ht="11.25" customHeight="1">
      <c r="A28" s="325" t="str">
        <f>'A4-FinPerf RE'!A28</f>
        <v>Depreciation &amp; asset impairment</v>
      </c>
      <c r="B28" s="294"/>
      <c r="C28" s="1615">
        <v>879027</v>
      </c>
      <c r="D28" s="1615">
        <v>1949046</v>
      </c>
      <c r="E28" s="1615">
        <v>2365512</v>
      </c>
      <c r="F28" s="1615">
        <v>7938217</v>
      </c>
      <c r="G28" s="1615">
        <v>8902571</v>
      </c>
      <c r="H28" s="1615">
        <v>2851051</v>
      </c>
      <c r="I28" s="1615">
        <v>423465</v>
      </c>
      <c r="J28" s="1615">
        <v>13206424</v>
      </c>
      <c r="K28" s="1615">
        <v>80024141</v>
      </c>
      <c r="L28" s="1615">
        <v>15579912</v>
      </c>
      <c r="M28" s="1615"/>
      <c r="N28" s="1615"/>
      <c r="O28" s="1615"/>
      <c r="P28" s="1615"/>
      <c r="Q28" s="1615"/>
      <c r="R28" s="421">
        <f t="shared" si="2"/>
        <v>134119366</v>
      </c>
    </row>
    <row r="29" spans="1:18" ht="11.25" customHeight="1">
      <c r="A29" s="325" t="str">
        <f>'A4-FinPerf RE'!A29</f>
        <v>Finance charges</v>
      </c>
      <c r="B29" s="294"/>
      <c r="C29" s="1615">
        <v>0</v>
      </c>
      <c r="D29" s="1615">
        <v>0</v>
      </c>
      <c r="E29" s="1615">
        <v>0</v>
      </c>
      <c r="F29" s="1615">
        <v>9277</v>
      </c>
      <c r="G29" s="1615">
        <v>247144</v>
      </c>
      <c r="H29" s="1615">
        <v>461903</v>
      </c>
      <c r="I29" s="1615">
        <v>89737</v>
      </c>
      <c r="J29" s="1615">
        <v>568935</v>
      </c>
      <c r="K29" s="1615">
        <v>25654880</v>
      </c>
      <c r="L29" s="1615">
        <v>26200135</v>
      </c>
      <c r="M29" s="1615"/>
      <c r="N29" s="1615"/>
      <c r="O29" s="1615"/>
      <c r="P29" s="1615"/>
      <c r="Q29" s="1615"/>
      <c r="R29" s="421">
        <f t="shared" si="2"/>
        <v>53232011</v>
      </c>
    </row>
    <row r="30" spans="1:18" ht="11.25" customHeight="1">
      <c r="A30" s="325" t="str">
        <f>'A4-FinPerf RE'!A30</f>
        <v>Bulk purchases</v>
      </c>
      <c r="B30" s="294"/>
      <c r="C30" s="1615">
        <v>0</v>
      </c>
      <c r="D30" s="1615">
        <v>0</v>
      </c>
      <c r="E30" s="1615">
        <v>0</v>
      </c>
      <c r="F30" s="1615">
        <v>0</v>
      </c>
      <c r="G30" s="1615">
        <v>0</v>
      </c>
      <c r="H30" s="1615">
        <v>0</v>
      </c>
      <c r="I30" s="1615">
        <v>0</v>
      </c>
      <c r="J30" s="1615">
        <v>0</v>
      </c>
      <c r="K30" s="1615">
        <v>1138899895</v>
      </c>
      <c r="L30" s="1615"/>
      <c r="M30" s="1615"/>
      <c r="N30" s="1615"/>
      <c r="O30" s="1615"/>
      <c r="P30" s="1615"/>
      <c r="Q30" s="1615"/>
      <c r="R30" s="421">
        <f t="shared" si="2"/>
        <v>1138899895</v>
      </c>
    </row>
    <row r="31" spans="1:18" ht="11.25" customHeight="1">
      <c r="A31" s="325" t="str">
        <f>'A4-FinPerf RE'!A31</f>
        <v>Other materials</v>
      </c>
      <c r="B31" s="294"/>
      <c r="C31" s="1615">
        <v>24983</v>
      </c>
      <c r="D31" s="1615">
        <v>172942</v>
      </c>
      <c r="E31" s="1615">
        <v>2843650</v>
      </c>
      <c r="F31" s="1615">
        <v>13444</v>
      </c>
      <c r="G31" s="1615">
        <v>4540628</v>
      </c>
      <c r="H31" s="1615">
        <v>1322000</v>
      </c>
      <c r="I31" s="1615">
        <v>125973</v>
      </c>
      <c r="J31" s="1615">
        <v>7471767</v>
      </c>
      <c r="K31" s="1615">
        <v>138773839</v>
      </c>
      <c r="L31" s="1615"/>
      <c r="M31" s="1615"/>
      <c r="N31" s="1615"/>
      <c r="O31" s="1615"/>
      <c r="P31" s="1615"/>
      <c r="Q31" s="1615"/>
      <c r="R31" s="421">
        <f t="shared" si="2"/>
        <v>155289226</v>
      </c>
    </row>
    <row r="32" spans="1:18" ht="11.25" customHeight="1">
      <c r="A32" s="325" t="str">
        <f>'A4-FinPerf RE'!A32</f>
        <v>Contracted services</v>
      </c>
      <c r="B32" s="294"/>
      <c r="C32" s="1615">
        <v>0</v>
      </c>
      <c r="D32" s="1615">
        <v>24168040</v>
      </c>
      <c r="E32" s="1615">
        <v>6307400</v>
      </c>
      <c r="F32" s="1615">
        <v>18283854</v>
      </c>
      <c r="G32" s="1615">
        <v>15250398</v>
      </c>
      <c r="H32" s="1615">
        <v>0</v>
      </c>
      <c r="I32" s="1615">
        <v>300000</v>
      </c>
      <c r="J32" s="1615">
        <v>7582</v>
      </c>
      <c r="K32" s="1615">
        <v>85092310</v>
      </c>
      <c r="L32" s="1615">
        <v>74815395</v>
      </c>
      <c r="M32" s="1615"/>
      <c r="N32" s="1615"/>
      <c r="O32" s="1615"/>
      <c r="P32" s="1615"/>
      <c r="Q32" s="1615"/>
      <c r="R32" s="421">
        <f t="shared" si="2"/>
        <v>224224979</v>
      </c>
    </row>
    <row r="33" spans="1:21" ht="11.25" customHeight="1">
      <c r="A33" s="325" t="str">
        <f>'A4-FinPerf RE'!A33</f>
        <v>Transfers and grants</v>
      </c>
      <c r="B33" s="294"/>
      <c r="C33" s="1615">
        <v>476400</v>
      </c>
      <c r="D33" s="1615">
        <v>0</v>
      </c>
      <c r="E33" s="1615">
        <v>0</v>
      </c>
      <c r="F33" s="1615">
        <v>0</v>
      </c>
      <c r="G33" s="1615">
        <v>0</v>
      </c>
      <c r="H33" s="1615">
        <v>0</v>
      </c>
      <c r="I33" s="1615">
        <v>0</v>
      </c>
      <c r="J33" s="1615">
        <v>0</v>
      </c>
      <c r="K33" s="1615">
        <v>0</v>
      </c>
      <c r="L33" s="1615"/>
      <c r="M33" s="1615"/>
      <c r="N33" s="1615"/>
      <c r="O33" s="1615"/>
      <c r="P33" s="1615"/>
      <c r="Q33" s="1615"/>
      <c r="R33" s="421">
        <f t="shared" si="2"/>
        <v>476400</v>
      </c>
    </row>
    <row r="34" spans="1:21" ht="11.25" customHeight="1">
      <c r="A34" s="325" t="str">
        <f>'A4-FinPerf RE'!A34</f>
        <v>Other expenditure</v>
      </c>
      <c r="B34" s="294"/>
      <c r="C34" s="1615">
        <v>34803131</v>
      </c>
      <c r="D34" s="1615">
        <v>17307267</v>
      </c>
      <c r="E34" s="1615">
        <v>31913667</v>
      </c>
      <c r="F34" s="1615">
        <v>37073615</v>
      </c>
      <c r="G34" s="1615">
        <v>17241323</v>
      </c>
      <c r="H34" s="1615">
        <v>14317694</v>
      </c>
      <c r="I34" s="1615">
        <v>16546629</v>
      </c>
      <c r="J34" s="1615">
        <v>20043771</v>
      </c>
      <c r="K34" s="1615">
        <v>81838894</v>
      </c>
      <c r="L34" s="1615">
        <v>27520412</v>
      </c>
      <c r="M34" s="1615"/>
      <c r="N34" s="1615"/>
      <c r="O34" s="1615"/>
      <c r="P34" s="1615"/>
      <c r="Q34" s="1615"/>
      <c r="R34" s="421">
        <f t="shared" si="2"/>
        <v>298606403</v>
      </c>
    </row>
    <row r="35" spans="1:21" ht="11.25" customHeight="1">
      <c r="A35" s="325" t="str">
        <f>'A4-FinPerf RE'!A35</f>
        <v>Loss on disposal of PPE</v>
      </c>
      <c r="B35" s="294"/>
      <c r="C35" s="1615">
        <v>0</v>
      </c>
      <c r="D35" s="1615">
        <v>0</v>
      </c>
      <c r="E35" s="1615">
        <v>0</v>
      </c>
      <c r="F35" s="1615">
        <v>0</v>
      </c>
      <c r="G35" s="1615">
        <v>0</v>
      </c>
      <c r="H35" s="1615">
        <v>0</v>
      </c>
      <c r="I35" s="1615">
        <v>0</v>
      </c>
      <c r="J35" s="1615">
        <v>0</v>
      </c>
      <c r="K35" s="1615">
        <v>0</v>
      </c>
      <c r="L35" s="1615"/>
      <c r="M35" s="1615"/>
      <c r="N35" s="1615"/>
      <c r="O35" s="1615"/>
      <c r="P35" s="1615"/>
      <c r="Q35" s="1615"/>
      <c r="R35" s="421">
        <f t="shared" si="2"/>
        <v>0</v>
      </c>
    </row>
    <row r="36" spans="1:21" ht="11.25" customHeight="1">
      <c r="A36" s="326" t="s">
        <v>1651</v>
      </c>
      <c r="B36" s="293"/>
      <c r="C36" s="213">
        <f t="shared" ref="C36:R36" si="3">SUM(C25:C35)</f>
        <v>102646313</v>
      </c>
      <c r="D36" s="213">
        <f t="shared" si="3"/>
        <v>71883108</v>
      </c>
      <c r="E36" s="213">
        <f t="shared" si="3"/>
        <v>76330246</v>
      </c>
      <c r="F36" s="213">
        <f t="shared" si="3"/>
        <v>184457329</v>
      </c>
      <c r="G36" s="213">
        <f t="shared" si="3"/>
        <v>130060833</v>
      </c>
      <c r="H36" s="213">
        <f t="shared" si="3"/>
        <v>42220084</v>
      </c>
      <c r="I36" s="213">
        <f t="shared" si="3"/>
        <v>24078861</v>
      </c>
      <c r="J36" s="213">
        <f t="shared" si="3"/>
        <v>109905093</v>
      </c>
      <c r="K36" s="213">
        <f t="shared" si="3"/>
        <v>1815195488</v>
      </c>
      <c r="L36" s="213">
        <f t="shared" si="3"/>
        <v>144115854</v>
      </c>
      <c r="M36" s="213">
        <f t="shared" si="3"/>
        <v>0</v>
      </c>
      <c r="N36" s="213">
        <f t="shared" si="3"/>
        <v>0</v>
      </c>
      <c r="O36" s="213">
        <f t="shared" si="3"/>
        <v>0</v>
      </c>
      <c r="P36" s="213">
        <f t="shared" si="3"/>
        <v>0</v>
      </c>
      <c r="Q36" s="213">
        <f t="shared" si="3"/>
        <v>0</v>
      </c>
      <c r="R36" s="422">
        <f t="shared" si="3"/>
        <v>2700893209</v>
      </c>
    </row>
    <row r="37" spans="1:21" ht="5" customHeight="1">
      <c r="A37" s="201"/>
      <c r="B37" s="293"/>
      <c r="C37" s="218"/>
      <c r="D37" s="218"/>
      <c r="E37" s="218"/>
      <c r="F37" s="218"/>
      <c r="G37" s="218"/>
      <c r="H37" s="218"/>
      <c r="I37" s="218"/>
      <c r="J37" s="218"/>
      <c r="K37" s="218"/>
      <c r="L37" s="218"/>
      <c r="M37" s="218"/>
      <c r="N37" s="218"/>
      <c r="O37" s="218"/>
      <c r="P37" s="218"/>
      <c r="Q37" s="218"/>
      <c r="R37" s="421"/>
    </row>
    <row r="38" spans="1:21" ht="11.25" customHeight="1">
      <c r="A38" s="326" t="str">
        <f>'A4-FinPerf RE'!A38</f>
        <v>Surplus/(Deficit)</v>
      </c>
      <c r="B38" s="293"/>
      <c r="C38" s="213">
        <f t="shared" ref="C38:H38" si="4">C22-C36</f>
        <v>101549774</v>
      </c>
      <c r="D38" s="213">
        <f t="shared" si="4"/>
        <v>-31539767</v>
      </c>
      <c r="E38" s="213">
        <f t="shared" si="4"/>
        <v>-74030059</v>
      </c>
      <c r="F38" s="213">
        <f t="shared" si="4"/>
        <v>21373705</v>
      </c>
      <c r="G38" s="213">
        <f t="shared" si="4"/>
        <v>-89081091</v>
      </c>
      <c r="H38" s="213">
        <f t="shared" si="4"/>
        <v>66544511</v>
      </c>
      <c r="I38" s="213">
        <f t="shared" ref="I38:Q38" si="5">I22-I36</f>
        <v>-20663391</v>
      </c>
      <c r="J38" s="213">
        <f t="shared" si="5"/>
        <v>-104767956</v>
      </c>
      <c r="K38" s="213">
        <f t="shared" si="5"/>
        <v>132121738</v>
      </c>
      <c r="L38" s="213">
        <f t="shared" si="5"/>
        <v>18563497</v>
      </c>
      <c r="M38" s="213">
        <f t="shared" si="5"/>
        <v>0</v>
      </c>
      <c r="N38" s="213">
        <f t="shared" si="5"/>
        <v>0</v>
      </c>
      <c r="O38" s="213">
        <f t="shared" si="5"/>
        <v>0</v>
      </c>
      <c r="P38" s="213">
        <f t="shared" si="5"/>
        <v>0</v>
      </c>
      <c r="Q38" s="213">
        <f t="shared" si="5"/>
        <v>0</v>
      </c>
      <c r="R38" s="422">
        <f>R22-R36</f>
        <v>20070961</v>
      </c>
    </row>
    <row r="39" spans="1:21" ht="11.25" customHeight="1">
      <c r="A39" s="190" t="str">
        <f>'A4-FinPerf RE'!A39</f>
        <v>Transfers recognised - capital</v>
      </c>
      <c r="B39" s="293"/>
      <c r="C39" s="1648">
        <v>0</v>
      </c>
      <c r="D39" s="1648">
        <v>473559174</v>
      </c>
      <c r="E39" s="1648">
        <v>0</v>
      </c>
      <c r="F39" s="1648">
        <v>0</v>
      </c>
      <c r="G39" s="1648">
        <v>0</v>
      </c>
      <c r="H39" s="1648">
        <v>0</v>
      </c>
      <c r="I39" s="1648">
        <v>0</v>
      </c>
      <c r="J39" s="1648">
        <v>0</v>
      </c>
      <c r="K39" s="1648">
        <v>187427926</v>
      </c>
      <c r="L39" s="1648"/>
      <c r="M39" s="1648"/>
      <c r="N39" s="1648"/>
      <c r="O39" s="1648"/>
      <c r="P39" s="1648"/>
      <c r="Q39" s="1648"/>
      <c r="R39" s="421">
        <f>SUM(C39:Q39)</f>
        <v>660987100</v>
      </c>
    </row>
    <row r="40" spans="1:21">
      <c r="A40" s="423" t="str">
        <f>'A4-FinPerf RE'!A40</f>
        <v>Contributions recognised - capital</v>
      </c>
      <c r="B40" s="293"/>
      <c r="C40" s="1615">
        <v>0</v>
      </c>
      <c r="D40" s="1615">
        <v>0</v>
      </c>
      <c r="E40" s="1615">
        <v>0</v>
      </c>
      <c r="F40" s="1615">
        <v>0</v>
      </c>
      <c r="G40" s="1615">
        <v>0</v>
      </c>
      <c r="H40" s="1615">
        <v>0</v>
      </c>
      <c r="I40" s="1615">
        <v>0</v>
      </c>
      <c r="J40" s="1615">
        <v>0</v>
      </c>
      <c r="K40" s="1615">
        <v>0</v>
      </c>
      <c r="L40" s="1615"/>
      <c r="M40" s="1615"/>
      <c r="N40" s="1615"/>
      <c r="O40" s="1615"/>
      <c r="P40" s="1615"/>
      <c r="Q40" s="1615"/>
      <c r="R40" s="421">
        <f>SUM(C40:Q40)</f>
        <v>0</v>
      </c>
    </row>
    <row r="41" spans="1:21" ht="11.25" customHeight="1">
      <c r="A41" s="190" t="str">
        <f>'A4-FinPerf RE'!A41</f>
        <v>Contributed assets</v>
      </c>
      <c r="B41" s="293"/>
      <c r="C41" s="1648"/>
      <c r="D41" s="1648"/>
      <c r="E41" s="1648"/>
      <c r="F41" s="1648"/>
      <c r="G41" s="1648"/>
      <c r="H41" s="1648"/>
      <c r="I41" s="1648"/>
      <c r="J41" s="1648"/>
      <c r="K41" s="1648"/>
      <c r="L41" s="1648"/>
      <c r="M41" s="1648"/>
      <c r="N41" s="1648"/>
      <c r="O41" s="1648"/>
      <c r="P41" s="1648"/>
      <c r="Q41" s="1648"/>
      <c r="R41" s="421">
        <f>SUM(C41:Q41)</f>
        <v>0</v>
      </c>
    </row>
    <row r="42" spans="1:21">
      <c r="A42" s="424" t="str">
        <f>'A4-FinPerf RE'!A42</f>
        <v>Surplus/(Deficit) after capital transfers &amp; contributions</v>
      </c>
      <c r="B42" s="306"/>
      <c r="C42" s="1282">
        <f t="shared" ref="C42:P42" si="6">SUM(C38:C41)</f>
        <v>101549774</v>
      </c>
      <c r="D42" s="1282">
        <f t="shared" si="6"/>
        <v>442019407</v>
      </c>
      <c r="E42" s="1282">
        <f t="shared" si="6"/>
        <v>-74030059</v>
      </c>
      <c r="F42" s="1282">
        <f t="shared" si="6"/>
        <v>21373705</v>
      </c>
      <c r="G42" s="1282">
        <f t="shared" si="6"/>
        <v>-89081091</v>
      </c>
      <c r="H42" s="1282">
        <f t="shared" si="6"/>
        <v>66544511</v>
      </c>
      <c r="I42" s="1282">
        <f t="shared" si="6"/>
        <v>-20663391</v>
      </c>
      <c r="J42" s="1282">
        <f t="shared" si="6"/>
        <v>-104767956</v>
      </c>
      <c r="K42" s="1282">
        <f t="shared" si="6"/>
        <v>319549664</v>
      </c>
      <c r="L42" s="1282">
        <f t="shared" si="6"/>
        <v>18563497</v>
      </c>
      <c r="M42" s="1282">
        <f t="shared" si="6"/>
        <v>0</v>
      </c>
      <c r="N42" s="1282">
        <f t="shared" si="6"/>
        <v>0</v>
      </c>
      <c r="O42" s="1282">
        <f t="shared" si="6"/>
        <v>0</v>
      </c>
      <c r="P42" s="1282">
        <f t="shared" si="6"/>
        <v>0</v>
      </c>
      <c r="Q42" s="1282">
        <f>SUM(Q38:Q41)</f>
        <v>0</v>
      </c>
      <c r="R42" s="1283">
        <f>SUM(R38:R41)</f>
        <v>681058061</v>
      </c>
    </row>
    <row r="43" spans="1:21" s="709" customFormat="1">
      <c r="A43" s="1233" t="str">
        <f>head27a</f>
        <v>References</v>
      </c>
      <c r="B43" s="1038"/>
      <c r="C43" s="1042"/>
      <c r="D43" s="1042"/>
      <c r="E43" s="1042"/>
      <c r="F43" s="1042"/>
      <c r="G43" s="1042"/>
      <c r="H43" s="1042"/>
      <c r="I43" s="1042"/>
      <c r="J43" s="1042"/>
      <c r="K43" s="1042"/>
      <c r="L43" s="1042"/>
      <c r="M43" s="1042"/>
      <c r="N43" s="1042"/>
      <c r="O43" s="1042"/>
      <c r="P43" s="1042"/>
      <c r="Q43" s="1042"/>
      <c r="R43" s="1042"/>
    </row>
    <row r="44" spans="1:21" s="709" customFormat="1" ht="11.25" customHeight="1">
      <c r="A44" s="1198" t="s">
        <v>1697</v>
      </c>
      <c r="B44" s="1038"/>
      <c r="C44" s="1042"/>
      <c r="D44" s="1041"/>
      <c r="E44" s="1042"/>
      <c r="F44" s="1042"/>
      <c r="G44" s="1042"/>
      <c r="H44" s="1042"/>
      <c r="I44" s="1042"/>
      <c r="J44" s="1042"/>
      <c r="K44" s="1042"/>
      <c r="L44" s="1042"/>
      <c r="M44" s="1042"/>
      <c r="N44" s="1042"/>
      <c r="O44" s="1042"/>
      <c r="P44" s="1042"/>
      <c r="Q44" s="1042"/>
      <c r="R44" s="1042"/>
    </row>
    <row r="45" spans="1:21" ht="11.25" customHeight="1">
      <c r="A45" s="288" t="s">
        <v>296</v>
      </c>
      <c r="B45" s="243"/>
      <c r="C45" s="245"/>
      <c r="D45" s="245"/>
      <c r="E45" s="245"/>
      <c r="F45" s="245"/>
      <c r="G45" s="245"/>
      <c r="H45" s="245"/>
      <c r="I45" s="245"/>
      <c r="J45" s="245"/>
      <c r="K45" s="245"/>
      <c r="L45" s="245"/>
      <c r="M45" s="245"/>
      <c r="N45" s="245"/>
      <c r="O45" s="245"/>
      <c r="P45" s="245"/>
      <c r="Q45" s="245"/>
      <c r="R45" s="989">
        <f>'A4-FinPerf RE'!J42-'SA2'!R42</f>
        <v>-681058061</v>
      </c>
    </row>
    <row r="46" spans="1:21" ht="11.25" customHeight="1">
      <c r="A46" s="244"/>
      <c r="B46" s="243"/>
      <c r="C46" s="245"/>
      <c r="D46" s="245"/>
      <c r="E46" s="245"/>
      <c r="F46" s="245"/>
      <c r="G46" s="245"/>
      <c r="H46" s="245"/>
      <c r="I46" s="245"/>
      <c r="J46" s="245"/>
      <c r="K46" s="245"/>
      <c r="L46" s="245"/>
      <c r="M46" s="245"/>
      <c r="N46" s="245"/>
      <c r="O46" s="245"/>
      <c r="P46" s="245"/>
      <c r="Q46" s="245"/>
      <c r="R46" s="245"/>
    </row>
    <row r="47" spans="1:21" ht="11.25" customHeight="1">
      <c r="B47" s="149"/>
      <c r="U47" s="425"/>
    </row>
    <row r="48" spans="1:21" ht="11.25" customHeight="1">
      <c r="B48" s="149"/>
      <c r="G48" s="309"/>
      <c r="H48" s="309"/>
      <c r="I48" s="309"/>
      <c r="J48" s="309"/>
      <c r="K48" s="309"/>
      <c r="L48" s="309"/>
      <c r="M48" s="309"/>
      <c r="N48" s="309"/>
      <c r="O48" s="309"/>
      <c r="P48" s="309"/>
      <c r="Q48" s="309"/>
      <c r="R48" s="309"/>
    </row>
    <row r="49" spans="2:21" ht="11.25" customHeight="1">
      <c r="B49" s="149"/>
      <c r="G49" s="309"/>
      <c r="H49" s="309"/>
      <c r="I49" s="309"/>
      <c r="J49" s="309"/>
      <c r="K49" s="309"/>
      <c r="L49" s="309"/>
      <c r="M49" s="309"/>
      <c r="N49" s="309"/>
      <c r="O49" s="309"/>
      <c r="P49" s="309"/>
      <c r="Q49" s="309"/>
      <c r="R49" s="309"/>
    </row>
    <row r="50" spans="2:21" ht="11.25" customHeight="1">
      <c r="B50" s="149"/>
      <c r="G50" s="309"/>
      <c r="H50" s="309"/>
      <c r="I50" s="309"/>
      <c r="J50" s="309"/>
      <c r="K50" s="309"/>
      <c r="L50" s="309"/>
      <c r="M50" s="309"/>
      <c r="N50" s="309"/>
      <c r="O50" s="309"/>
      <c r="P50" s="309"/>
      <c r="Q50" s="309"/>
      <c r="R50" s="309"/>
    </row>
    <row r="51" spans="2:21" ht="11.25" customHeight="1">
      <c r="B51" s="149"/>
      <c r="U51" s="310"/>
    </row>
    <row r="52" spans="2:21" ht="11.25" customHeight="1">
      <c r="B52" s="149"/>
      <c r="U52" s="310"/>
    </row>
    <row r="53" spans="2:21" ht="11.25" customHeight="1">
      <c r="B53" s="149"/>
      <c r="U53" s="310"/>
    </row>
    <row r="54" spans="2:21" ht="11.25" customHeight="1">
      <c r="B54" s="149"/>
    </row>
    <row r="55" spans="2:21" ht="11.25" customHeight="1">
      <c r="B55" s="149"/>
    </row>
    <row r="56" spans="2:21" ht="11.25" customHeight="1">
      <c r="B56" s="149"/>
    </row>
    <row r="57" spans="2:21" ht="11.25" customHeight="1">
      <c r="B57" s="149"/>
    </row>
    <row r="58" spans="2:21" ht="11.25" customHeight="1">
      <c r="B58" s="149"/>
    </row>
    <row r="59" spans="2:21" ht="11.25" customHeight="1">
      <c r="B59" s="149"/>
    </row>
    <row r="60" spans="2:21" ht="11.25" customHeight="1">
      <c r="B60" s="149"/>
    </row>
    <row r="61" spans="2:21" ht="11.25" customHeight="1">
      <c r="B61" s="149"/>
    </row>
    <row r="62" spans="2:21" ht="11.25" customHeight="1">
      <c r="B62" s="149"/>
    </row>
    <row r="63" spans="2:21" ht="11.25" customHeight="1">
      <c r="B63" s="149"/>
    </row>
    <row r="64" spans="2:21"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row r="76" spans="2:2" ht="11.25" customHeight="1"/>
    <row r="77" spans="2:2" ht="11.25" customHeight="1"/>
    <row r="78" spans="2:2" ht="11.25" customHeight="1"/>
    <row r="79" spans="2:2" ht="11.25" customHeight="1"/>
    <row r="80" spans="2:2" ht="11.25" customHeight="1"/>
    <row r="81" ht="11.25" customHeight="1"/>
    <row r="82" ht="11.25" customHeight="1"/>
    <row r="83" ht="11.25" customHeight="1"/>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5" type="noConversion"/>
  <printOptions horizontalCentered="1"/>
  <pageMargins left="0" right="0" top="0.78740157480314998" bottom="0.59055118110236204" header="0.511811023622047" footer="0.43307086614173201"/>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42"/>
    <pageSetUpPr fitToPage="1"/>
  </sheetPr>
  <dimension ref="A1:L92"/>
  <sheetViews>
    <sheetView showGridLines="0" workbookViewId="0">
      <pane xSplit="2" ySplit="4" topLeftCell="C5" activePane="bottomRight" state="frozen"/>
      <selection pane="topRight"/>
      <selection pane="bottomLeft"/>
      <selection pane="bottomRight" activeCell="J25" sqref="J25"/>
    </sheetView>
  </sheetViews>
  <sheetFormatPr baseColWidth="10" defaultColWidth="8.83203125" defaultRowHeight="10" x14ac:dyDescent="0"/>
  <cols>
    <col min="1" max="1" width="30.6640625" style="149" customWidth="1"/>
    <col min="2" max="2" width="3" style="247" customWidth="1"/>
    <col min="3" max="8" width="9.33203125" style="149" customWidth="1"/>
    <col min="9" max="9" width="9.1640625" style="149" customWidth="1"/>
    <col min="10"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2" s="179" customFormat="1" ht="12">
      <c r="A1" s="147" t="str">
        <f>muni&amp;" - "&amp;TableA3</f>
        <v>NW373 Rustenburg - Supporting Table SA3 Supportinging detail to 'Budgeted Financial Position'</v>
      </c>
      <c r="B1" s="147"/>
      <c r="C1" s="147"/>
      <c r="D1" s="147"/>
      <c r="E1" s="147"/>
      <c r="F1" s="147"/>
      <c r="G1" s="147"/>
      <c r="H1" s="147"/>
      <c r="I1" s="147"/>
      <c r="J1" s="147"/>
      <c r="K1" s="147"/>
      <c r="L1" s="147"/>
    </row>
    <row r="2" spans="1:12" ht="28.5" customHeight="1">
      <c r="A2" s="2789" t="str">
        <f>desc</f>
        <v>Description</v>
      </c>
      <c r="B2" s="2791" t="str">
        <f>head27</f>
        <v>Ref</v>
      </c>
      <c r="C2" s="150"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2" ht="33.75" customHeight="1">
      <c r="A3" s="2790"/>
      <c r="B3" s="2792"/>
      <c r="C3" s="152"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ht="11.25" customHeight="1">
      <c r="A4" s="180" t="s">
        <v>667</v>
      </c>
      <c r="B4" s="290"/>
      <c r="C4" s="138"/>
      <c r="D4" s="138"/>
      <c r="E4" s="156"/>
      <c r="F4" s="155"/>
      <c r="G4" s="138"/>
      <c r="H4" s="156"/>
      <c r="I4" s="157"/>
      <c r="J4" s="155"/>
      <c r="K4" s="138"/>
      <c r="L4" s="156"/>
    </row>
    <row r="5" spans="1:12" ht="11.25" customHeight="1">
      <c r="A5" s="326" t="s">
        <v>1021</v>
      </c>
      <c r="B5" s="291"/>
      <c r="C5" s="426"/>
      <c r="D5" s="426"/>
      <c r="E5" s="204"/>
      <c r="F5" s="205"/>
      <c r="G5" s="426"/>
      <c r="H5" s="204"/>
      <c r="I5" s="202"/>
      <c r="J5" s="427"/>
      <c r="K5" s="426"/>
      <c r="L5" s="204"/>
    </row>
    <row r="6" spans="1:12" ht="11.25" customHeight="1">
      <c r="A6" s="181" t="str">
        <f>'A6-FinPos'!A7</f>
        <v>Call investment deposits</v>
      </c>
      <c r="B6" s="293"/>
      <c r="C6" s="203"/>
      <c r="D6" s="203"/>
      <c r="E6" s="204"/>
      <c r="F6" s="205"/>
      <c r="G6" s="203"/>
      <c r="H6" s="204"/>
      <c r="I6" s="202"/>
      <c r="J6" s="206"/>
      <c r="K6" s="203"/>
      <c r="L6" s="204"/>
    </row>
    <row r="7" spans="1:12" ht="11.25" customHeight="1">
      <c r="A7" s="190" t="s">
        <v>820</v>
      </c>
      <c r="B7" s="293"/>
      <c r="C7" s="1635">
        <v>452587767</v>
      </c>
      <c r="D7" s="1635">
        <v>587295703</v>
      </c>
      <c r="E7" s="1615">
        <v>825799511</v>
      </c>
      <c r="F7" s="2534">
        <v>1000999547</v>
      </c>
      <c r="G7" s="1615">
        <v>577743547</v>
      </c>
      <c r="H7" s="1615">
        <f>577743547+300000000</f>
        <v>877743547</v>
      </c>
      <c r="I7" s="1615">
        <f>577743547+300000000</f>
        <v>877743547</v>
      </c>
      <c r="J7" s="2534">
        <v>815933769.93000019</v>
      </c>
      <c r="K7" s="1615">
        <v>559625964.70750022</v>
      </c>
      <c r="L7" s="1635">
        <v>655296501.61587512</v>
      </c>
    </row>
    <row r="8" spans="1:12" ht="11.25" customHeight="1">
      <c r="A8" s="190" t="s">
        <v>1567</v>
      </c>
      <c r="B8" s="293"/>
      <c r="C8" s="1615">
        <v>0</v>
      </c>
      <c r="D8" s="1635">
        <v>0</v>
      </c>
      <c r="E8" s="1635"/>
      <c r="F8" s="1636"/>
      <c r="G8" s="1615"/>
      <c r="H8" s="1635">
        <v>0</v>
      </c>
      <c r="I8" s="1637">
        <v>0</v>
      </c>
      <c r="J8" s="2534">
        <v>0</v>
      </c>
      <c r="K8" s="1615">
        <v>0</v>
      </c>
      <c r="L8" s="1635">
        <v>0</v>
      </c>
    </row>
    <row r="9" spans="1:12" ht="11.25" customHeight="1">
      <c r="A9" s="326" t="str">
        <f>"Total "&amp;A6</f>
        <v>Total Call investment deposits</v>
      </c>
      <c r="B9" s="293">
        <v>2</v>
      </c>
      <c r="C9" s="213">
        <f>SUM(C7:C8)</f>
        <v>452587767</v>
      </c>
      <c r="D9" s="213">
        <f t="shared" ref="D9:L9" si="0">SUM(D7:D8)</f>
        <v>587295703</v>
      </c>
      <c r="E9" s="214">
        <f t="shared" si="0"/>
        <v>825799511</v>
      </c>
      <c r="F9" s="215">
        <f>SUM(F7:F8)</f>
        <v>1000999547</v>
      </c>
      <c r="G9" s="213">
        <f t="shared" si="0"/>
        <v>577743547</v>
      </c>
      <c r="H9" s="214">
        <f t="shared" si="0"/>
        <v>877743547</v>
      </c>
      <c r="I9" s="212">
        <f t="shared" si="0"/>
        <v>877743547</v>
      </c>
      <c r="J9" s="216">
        <f t="shared" si="0"/>
        <v>815933769.93000019</v>
      </c>
      <c r="K9" s="213">
        <f t="shared" si="0"/>
        <v>559625964.70750022</v>
      </c>
      <c r="L9" s="214">
        <f t="shared" si="0"/>
        <v>655296501.61587512</v>
      </c>
    </row>
    <row r="10" spans="1:12" ht="5" customHeight="1">
      <c r="A10" s="201"/>
      <c r="B10" s="293"/>
      <c r="C10" s="203"/>
      <c r="D10" s="203"/>
      <c r="E10" s="204"/>
      <c r="F10" s="205"/>
      <c r="G10" s="203"/>
      <c r="H10" s="204"/>
      <c r="I10" s="202"/>
      <c r="J10" s="206"/>
      <c r="K10" s="203"/>
      <c r="L10" s="204"/>
    </row>
    <row r="11" spans="1:12" ht="11.25" customHeight="1">
      <c r="A11" s="181" t="str">
        <f>'A6-FinPos'!A8</f>
        <v>Consumer debtors</v>
      </c>
      <c r="B11" s="293"/>
      <c r="C11" s="203"/>
      <c r="D11" s="203"/>
      <c r="E11" s="204"/>
      <c r="F11" s="205"/>
      <c r="G11" s="203"/>
      <c r="H11" s="204"/>
      <c r="I11" s="202"/>
      <c r="J11" s="206"/>
      <c r="K11" s="203"/>
      <c r="L11" s="204"/>
    </row>
    <row r="12" spans="1:12" ht="11.25" customHeight="1">
      <c r="A12" s="190" t="str">
        <f>A11</f>
        <v>Consumer debtors</v>
      </c>
      <c r="B12" s="293"/>
      <c r="C12" s="1635">
        <v>1197244206</v>
      </c>
      <c r="D12" s="1635">
        <v>1307794902.6500001</v>
      </c>
      <c r="E12" s="1615">
        <v>1639600640.9116781</v>
      </c>
      <c r="F12" s="2534">
        <v>1800000000</v>
      </c>
      <c r="G12" s="1615">
        <v>1800000000</v>
      </c>
      <c r="H12" s="2534">
        <f>+I12</f>
        <v>1700000000</v>
      </c>
      <c r="I12" s="1615">
        <v>1700000000</v>
      </c>
      <c r="J12" s="2534">
        <v>1739215472.8</v>
      </c>
      <c r="K12" s="1615">
        <v>1825414513.6900001</v>
      </c>
      <c r="L12" s="1615">
        <v>1915923506.6245</v>
      </c>
    </row>
    <row r="13" spans="1:12" ht="11.25" customHeight="1">
      <c r="A13" s="415" t="s">
        <v>375</v>
      </c>
      <c r="B13" s="293"/>
      <c r="C13" s="1635">
        <v>-975929000</v>
      </c>
      <c r="D13" s="1635">
        <v>-1218128347</v>
      </c>
      <c r="E13" s="1615">
        <v>-1252500472.1280501</v>
      </c>
      <c r="F13" s="1615">
        <v>-1555059143</v>
      </c>
      <c r="G13" s="1615">
        <v>-1515465688</v>
      </c>
      <c r="H13" s="2534">
        <f>+I13</f>
        <v>-1353875784.1280458</v>
      </c>
      <c r="I13" s="2534">
        <f>-I20</f>
        <v>-1353875784.1280458</v>
      </c>
      <c r="J13" s="2534">
        <f>-J20</f>
        <v>-1505764969.1280458</v>
      </c>
      <c r="K13" s="2534">
        <f>-K20</f>
        <v>-1549540423.1280458</v>
      </c>
      <c r="L13" s="2534">
        <f>-L20</f>
        <v>-1557525443.1280458</v>
      </c>
    </row>
    <row r="14" spans="1:12" ht="11.25" customHeight="1">
      <c r="A14" s="326" t="str">
        <f>"Total "&amp;A11</f>
        <v>Total Consumer debtors</v>
      </c>
      <c r="B14" s="293">
        <v>2</v>
      </c>
      <c r="C14" s="213">
        <f>SUM(C12:C13)</f>
        <v>221315206</v>
      </c>
      <c r="D14" s="213">
        <f t="shared" ref="D14:L14" si="1">SUM(D12:D13)</f>
        <v>89666555.650000095</v>
      </c>
      <c r="E14" s="214">
        <f t="shared" si="1"/>
        <v>387100168.78362799</v>
      </c>
      <c r="F14" s="215">
        <f>SUM(F12:F13)</f>
        <v>244940857</v>
      </c>
      <c r="G14" s="213">
        <f t="shared" si="1"/>
        <v>284534312</v>
      </c>
      <c r="H14" s="214">
        <f t="shared" si="1"/>
        <v>346124215.8719542</v>
      </c>
      <c r="I14" s="212">
        <f t="shared" si="1"/>
        <v>346124215.8719542</v>
      </c>
      <c r="J14" s="216">
        <f t="shared" si="1"/>
        <v>233450503.67195415</v>
      </c>
      <c r="K14" s="213">
        <f t="shared" si="1"/>
        <v>275874090.56195426</v>
      </c>
      <c r="L14" s="214">
        <f t="shared" si="1"/>
        <v>358398063.49645424</v>
      </c>
    </row>
    <row r="15" spans="1:12" ht="5" customHeight="1">
      <c r="A15" s="201"/>
      <c r="B15" s="293"/>
      <c r="C15" s="203"/>
      <c r="D15" s="203"/>
      <c r="E15" s="204"/>
      <c r="F15" s="205"/>
      <c r="G15" s="203"/>
      <c r="H15" s="204"/>
      <c r="I15" s="202"/>
      <c r="J15" s="206"/>
      <c r="K15" s="203"/>
      <c r="L15" s="204"/>
    </row>
    <row r="16" spans="1:12" ht="11.25" customHeight="1">
      <c r="A16" s="1187" t="s">
        <v>3</v>
      </c>
      <c r="B16" s="293"/>
      <c r="C16" s="203"/>
      <c r="D16" s="203"/>
      <c r="E16" s="204"/>
      <c r="F16" s="205"/>
      <c r="G16" s="203"/>
      <c r="H16" s="204"/>
      <c r="I16" s="202"/>
      <c r="J16" s="206"/>
      <c r="K16" s="203"/>
      <c r="L16" s="204"/>
    </row>
    <row r="17" spans="1:12" ht="11.25" customHeight="1">
      <c r="A17" s="418" t="s">
        <v>4</v>
      </c>
      <c r="B17" s="293"/>
      <c r="C17" s="1615">
        <v>1091429000</v>
      </c>
      <c r="D17" s="1615">
        <v>856399417</v>
      </c>
      <c r="E17" s="1053">
        <v>1218128347</v>
      </c>
      <c r="F17" s="1053">
        <f>+F13+F18</f>
        <v>-1616841000</v>
      </c>
      <c r="G17" s="1053">
        <f>+G13+G18</f>
        <v>-1616841000</v>
      </c>
      <c r="H17" s="1053">
        <f>+I17</f>
        <v>1252500472.1280458</v>
      </c>
      <c r="I17" s="1053">
        <f>+E20</f>
        <v>1252500472.1280458</v>
      </c>
      <c r="J17" s="1053">
        <f>+I20</f>
        <v>1353875784.1280458</v>
      </c>
      <c r="K17" s="1053">
        <f>+J20</f>
        <v>1505764969.1280458</v>
      </c>
      <c r="L17" s="1053">
        <f>+K20</f>
        <v>1549540423.1280458</v>
      </c>
    </row>
    <row r="18" spans="1:12" ht="11.25" customHeight="1">
      <c r="A18" s="418" t="s">
        <v>5</v>
      </c>
      <c r="B18" s="293"/>
      <c r="C18" s="1055">
        <v>-115500000</v>
      </c>
      <c r="D18" s="1055">
        <v>361728930</v>
      </c>
      <c r="E18" s="1636">
        <v>34372125.128045797</v>
      </c>
      <c r="F18" s="2534">
        <v>-61781857</v>
      </c>
      <c r="G18" s="1636">
        <v>-101375312</v>
      </c>
      <c r="H18" s="2534">
        <f>+I18</f>
        <v>101375312</v>
      </c>
      <c r="I18" s="1636">
        <v>101375312</v>
      </c>
      <c r="J18" s="2534">
        <f>206379537-55031831+541479</f>
        <v>151889185</v>
      </c>
      <c r="K18" s="1615">
        <f>183247986-139472532</f>
        <v>43775454</v>
      </c>
      <c r="L18" s="1635">
        <f>146452441-138467421</f>
        <v>7985020</v>
      </c>
    </row>
    <row r="19" spans="1:12" ht="11.25" customHeight="1">
      <c r="A19" s="418" t="s">
        <v>6</v>
      </c>
      <c r="B19" s="293"/>
      <c r="C19" s="1055">
        <v>0</v>
      </c>
      <c r="D19" s="1635">
        <v>0</v>
      </c>
      <c r="E19" s="1615">
        <v>0</v>
      </c>
      <c r="F19" s="1636"/>
      <c r="G19" s="1615"/>
      <c r="H19" s="2534"/>
      <c r="I19" s="2534"/>
      <c r="J19" s="2534"/>
      <c r="K19" s="1615">
        <v>0</v>
      </c>
      <c r="L19" s="1635">
        <v>0</v>
      </c>
    </row>
    <row r="20" spans="1:12" ht="11.25" customHeight="1">
      <c r="A20" s="1186" t="s">
        <v>7</v>
      </c>
      <c r="B20" s="293"/>
      <c r="C20" s="213">
        <f>SUM(C17:C19)</f>
        <v>975929000</v>
      </c>
      <c r="D20" s="213">
        <f t="shared" ref="D20:L20" si="2">SUM(D17:D19)</f>
        <v>1218128347</v>
      </c>
      <c r="E20" s="214">
        <f t="shared" si="2"/>
        <v>1252500472.1280458</v>
      </c>
      <c r="F20" s="215">
        <f t="shared" si="2"/>
        <v>-1678622857</v>
      </c>
      <c r="G20" s="213">
        <f t="shared" si="2"/>
        <v>-1718216312</v>
      </c>
      <c r="H20" s="214">
        <f t="shared" si="2"/>
        <v>1353875784.1280458</v>
      </c>
      <c r="I20" s="212">
        <f t="shared" si="2"/>
        <v>1353875784.1280458</v>
      </c>
      <c r="J20" s="216">
        <f t="shared" si="2"/>
        <v>1505764969.1280458</v>
      </c>
      <c r="K20" s="213">
        <f t="shared" si="2"/>
        <v>1549540423.1280458</v>
      </c>
      <c r="L20" s="214">
        <f t="shared" si="2"/>
        <v>1557525443.1280458</v>
      </c>
    </row>
    <row r="21" spans="1:12" ht="5" customHeight="1">
      <c r="A21" s="201"/>
      <c r="B21" s="293"/>
      <c r="C21" s="203"/>
      <c r="D21" s="203"/>
      <c r="E21" s="204"/>
      <c r="F21" s="205"/>
      <c r="G21" s="203"/>
      <c r="H21" s="204"/>
      <c r="I21" s="202"/>
      <c r="J21" s="206"/>
      <c r="K21" s="203"/>
      <c r="L21" s="204"/>
    </row>
    <row r="22" spans="1:12" ht="11.25" customHeight="1">
      <c r="A22" s="181" t="str">
        <f>'A6-FinPos'!A19&amp;" (PPE)"</f>
        <v>Property, plant and equipment (PPE)</v>
      </c>
      <c r="B22" s="293"/>
      <c r="C22" s="203"/>
      <c r="D22" s="203"/>
      <c r="E22" s="204"/>
      <c r="F22" s="205"/>
      <c r="G22" s="203"/>
      <c r="H22" s="204"/>
      <c r="I22" s="202"/>
      <c r="J22" s="206"/>
      <c r="K22" s="203"/>
      <c r="L22" s="204"/>
    </row>
    <row r="23" spans="1:12" ht="11.25" customHeight="1">
      <c r="A23" s="325" t="s">
        <v>1670</v>
      </c>
      <c r="B23" s="293"/>
      <c r="C23" s="1615">
        <v>1883192806</v>
      </c>
      <c r="D23" s="1635">
        <v>8638866630</v>
      </c>
      <c r="E23" s="1615">
        <v>8913170940</v>
      </c>
      <c r="F23" s="1636">
        <v>2120740240.95</v>
      </c>
      <c r="G23" s="1615">
        <v>9749561561.9500008</v>
      </c>
      <c r="H23" s="1615">
        <f>9749561561.95-61589903.88-300000000</f>
        <v>9387971658.0700016</v>
      </c>
      <c r="I23" s="1615">
        <f>9687971658.07-300000000</f>
        <v>9387971658.0699997</v>
      </c>
      <c r="J23" s="2534">
        <f>11353283661.02+20000000+34985333.8</f>
        <v>11408268994.82</v>
      </c>
      <c r="K23" s="1615">
        <f>12971629157.24-281329897.88+50000000</f>
        <v>12740299259.360001</v>
      </c>
      <c r="L23" s="1635">
        <f>13720005942.46+128039909.44+80000000+75584291.52</f>
        <v>14003630143.42</v>
      </c>
    </row>
    <row r="24" spans="1:12" ht="11.25" customHeight="1">
      <c r="A24" s="325" t="s">
        <v>1058</v>
      </c>
      <c r="B24" s="293">
        <v>3</v>
      </c>
      <c r="C24" s="1615"/>
      <c r="D24" s="1635"/>
      <c r="E24" s="1615">
        <v>0</v>
      </c>
      <c r="F24" s="1636"/>
      <c r="G24" s="1615">
        <v>0</v>
      </c>
      <c r="H24" s="1615">
        <v>0</v>
      </c>
      <c r="I24" s="1615">
        <v>0</v>
      </c>
      <c r="J24" s="2534"/>
      <c r="K24" s="1615"/>
      <c r="L24" s="1635"/>
    </row>
    <row r="25" spans="1:12" ht="11.25" customHeight="1">
      <c r="A25" s="1537" t="s">
        <v>821</v>
      </c>
      <c r="B25" s="293"/>
      <c r="C25" s="1615">
        <v>681261690</v>
      </c>
      <c r="D25" s="1635">
        <v>2547559637</v>
      </c>
      <c r="E25" s="1615">
        <f>2903429958+210032</f>
        <v>2903639990</v>
      </c>
      <c r="F25" s="1636">
        <v>750863826</v>
      </c>
      <c r="G25" s="1615">
        <v>3250863826</v>
      </c>
      <c r="H25" s="1615">
        <v>3250863826</v>
      </c>
      <c r="I25" s="1615">
        <v>3250863826</v>
      </c>
      <c r="J25" s="2534">
        <v>3736811842</v>
      </c>
      <c r="K25" s="1615">
        <v>4174461101</v>
      </c>
      <c r="L25" s="1635">
        <f>4629616330+271322631.12</f>
        <v>4900938961.1199999</v>
      </c>
    </row>
    <row r="26" spans="1:12" ht="11.25" customHeight="1">
      <c r="A26" s="326" t="str">
        <f>"Total "&amp;A22</f>
        <v>Total Property, plant and equipment (PPE)</v>
      </c>
      <c r="B26" s="293">
        <v>2</v>
      </c>
      <c r="C26" s="213">
        <f>SUM(C23:C24)-C25</f>
        <v>1201931116</v>
      </c>
      <c r="D26" s="213">
        <f t="shared" ref="D26:L26" si="3">SUM(D23:D24)-D25</f>
        <v>6091306993</v>
      </c>
      <c r="E26" s="214">
        <f t="shared" si="3"/>
        <v>6009530950</v>
      </c>
      <c r="F26" s="215">
        <f t="shared" si="3"/>
        <v>1369876414.95</v>
      </c>
      <c r="G26" s="213">
        <f t="shared" si="3"/>
        <v>6498697735.9500008</v>
      </c>
      <c r="H26" s="214">
        <f t="shared" si="3"/>
        <v>6137107832.0700016</v>
      </c>
      <c r="I26" s="212">
        <f t="shared" si="3"/>
        <v>6137107832.0699997</v>
      </c>
      <c r="J26" s="216">
        <f t="shared" si="3"/>
        <v>7671457152.8199997</v>
      </c>
      <c r="K26" s="213">
        <f t="shared" si="3"/>
        <v>8565838158.3600006</v>
      </c>
      <c r="L26" s="214">
        <f t="shared" si="3"/>
        <v>9102691182.2999992</v>
      </c>
    </row>
    <row r="27" spans="1:12" ht="5" customHeight="1">
      <c r="A27" s="201"/>
      <c r="B27" s="293"/>
      <c r="C27" s="203"/>
      <c r="D27" s="203"/>
      <c r="E27" s="204"/>
      <c r="F27" s="205"/>
      <c r="G27" s="203"/>
      <c r="H27" s="204"/>
      <c r="I27" s="202"/>
      <c r="J27" s="206"/>
      <c r="K27" s="203"/>
      <c r="L27" s="204"/>
    </row>
    <row r="28" spans="1:12" ht="15.75" customHeight="1">
      <c r="A28" s="407" t="s">
        <v>572</v>
      </c>
      <c r="B28" s="408"/>
      <c r="C28" s="409"/>
      <c r="D28" s="409"/>
      <c r="E28" s="410"/>
      <c r="F28" s="411"/>
      <c r="G28" s="409"/>
      <c r="H28" s="410"/>
      <c r="I28" s="412"/>
      <c r="J28" s="413"/>
      <c r="K28" s="409"/>
      <c r="L28" s="410"/>
    </row>
    <row r="29" spans="1:12" ht="11.25" customHeight="1">
      <c r="A29" s="181" t="str">
        <f>'A6-FinPos'!A28&amp;" - "&amp;'A6-FinPos'!A30</f>
        <v>Current liabilities - Borrowing</v>
      </c>
      <c r="B29" s="293"/>
      <c r="C29" s="203"/>
      <c r="D29" s="203"/>
      <c r="E29" s="204"/>
      <c r="F29" s="205"/>
      <c r="G29" s="203"/>
      <c r="H29" s="204"/>
      <c r="I29" s="202"/>
      <c r="J29" s="206"/>
      <c r="K29" s="203"/>
      <c r="L29" s="204"/>
    </row>
    <row r="30" spans="1:12" ht="11.25" customHeight="1">
      <c r="A30" s="190" t="s">
        <v>705</v>
      </c>
      <c r="B30" s="293"/>
      <c r="C30" s="1615"/>
      <c r="D30" s="1635"/>
      <c r="E30" s="1635"/>
      <c r="F30" s="1636"/>
      <c r="G30" s="1615"/>
      <c r="H30" s="1635"/>
      <c r="I30" s="1637"/>
      <c r="J30" s="2534"/>
      <c r="K30" s="1615"/>
      <c r="L30" s="1635"/>
    </row>
    <row r="31" spans="1:12" ht="11.25" customHeight="1">
      <c r="A31" s="190" t="s">
        <v>1516</v>
      </c>
      <c r="B31" s="293"/>
      <c r="C31" s="1635">
        <v>3808458</v>
      </c>
      <c r="D31" s="1635">
        <v>20284141</v>
      </c>
      <c r="E31" s="1636">
        <v>20242363</v>
      </c>
      <c r="F31" s="2534">
        <v>8247458.7300000004</v>
      </c>
      <c r="G31" s="2534">
        <v>8247458.7300000004</v>
      </c>
      <c r="H31" s="2534">
        <v>8247458.7300000004</v>
      </c>
      <c r="I31" s="2534">
        <v>8247458.7300000004</v>
      </c>
      <c r="J31" s="2534">
        <f>21705420.4*2</f>
        <v>43410840.799999997</v>
      </c>
      <c r="K31" s="1615">
        <f>24787010.12*2</f>
        <v>49574020.240000002</v>
      </c>
      <c r="L31" s="1635">
        <f>27951616.32*2</f>
        <v>55903232.640000001</v>
      </c>
    </row>
    <row r="32" spans="1:12" ht="11.25" customHeight="1">
      <c r="A32" s="326" t="str">
        <f>"Total "&amp;A29</f>
        <v>Total Current liabilities - Borrowing</v>
      </c>
      <c r="B32" s="293"/>
      <c r="C32" s="213">
        <f>SUM(C30:C31)</f>
        <v>3808458</v>
      </c>
      <c r="D32" s="213">
        <f t="shared" ref="D32:L32" si="4">SUM(D30:D31)</f>
        <v>20284141</v>
      </c>
      <c r="E32" s="214">
        <f t="shared" si="4"/>
        <v>20242363</v>
      </c>
      <c r="F32" s="215">
        <f t="shared" si="4"/>
        <v>8247458.7300000004</v>
      </c>
      <c r="G32" s="213">
        <f t="shared" si="4"/>
        <v>8247458.7300000004</v>
      </c>
      <c r="H32" s="214">
        <f t="shared" si="4"/>
        <v>8247458.7300000004</v>
      </c>
      <c r="I32" s="212">
        <f t="shared" si="4"/>
        <v>8247458.7300000004</v>
      </c>
      <c r="J32" s="216">
        <f t="shared" si="4"/>
        <v>43410840.799999997</v>
      </c>
      <c r="K32" s="213">
        <f t="shared" si="4"/>
        <v>49574020.240000002</v>
      </c>
      <c r="L32" s="214">
        <f t="shared" si="4"/>
        <v>55903232.640000001</v>
      </c>
    </row>
    <row r="33" spans="1:12" ht="5" customHeight="1">
      <c r="A33" s="201"/>
      <c r="B33" s="293"/>
      <c r="C33" s="203"/>
      <c r="D33" s="203"/>
      <c r="E33" s="204"/>
      <c r="F33" s="205"/>
      <c r="G33" s="203"/>
      <c r="H33" s="204"/>
      <c r="I33" s="202"/>
      <c r="J33" s="206"/>
      <c r="K33" s="203"/>
      <c r="L33" s="204"/>
    </row>
    <row r="34" spans="1:12" ht="11.25" customHeight="1">
      <c r="A34" s="181" t="str">
        <f>'A6-FinPos'!A32</f>
        <v>Trade and other payables</v>
      </c>
      <c r="B34" s="293"/>
      <c r="C34" s="315"/>
      <c r="D34" s="315"/>
      <c r="E34" s="318"/>
      <c r="F34" s="317"/>
      <c r="G34" s="315"/>
      <c r="H34" s="318"/>
      <c r="I34" s="316"/>
      <c r="J34" s="406"/>
      <c r="K34" s="315"/>
      <c r="L34" s="318"/>
    </row>
    <row r="35" spans="1:12" ht="11.25" customHeight="1">
      <c r="A35" s="325" t="s">
        <v>960</v>
      </c>
      <c r="B35" s="293"/>
      <c r="C35" s="1635">
        <v>249738410</v>
      </c>
      <c r="D35" s="1635">
        <v>193980341</v>
      </c>
      <c r="E35" s="1615">
        <v>307521555</v>
      </c>
      <c r="F35" s="2534">
        <f>232498837.56+100000000</f>
        <v>332498837.56</v>
      </c>
      <c r="G35" s="1615">
        <v>180488601.56</v>
      </c>
      <c r="H35" s="1615">
        <v>180488601.56</v>
      </c>
      <c r="I35" s="1615">
        <v>180488601.56</v>
      </c>
      <c r="J35" s="2534">
        <v>124163078.57999992</v>
      </c>
      <c r="K35" s="2534">
        <v>325967804.73800021</v>
      </c>
      <c r="L35" s="2534">
        <v>305681981.403</v>
      </c>
    </row>
    <row r="36" spans="1:12" ht="11.25" customHeight="1">
      <c r="A36" s="325" t="s">
        <v>1072</v>
      </c>
      <c r="B36" s="293"/>
      <c r="C36" s="1635">
        <v>75565261</v>
      </c>
      <c r="D36" s="1635">
        <v>94952743</v>
      </c>
      <c r="E36" s="1615">
        <v>236020963</v>
      </c>
      <c r="F36" s="2534">
        <v>0</v>
      </c>
      <c r="G36" s="1615">
        <v>0</v>
      </c>
      <c r="H36" s="1615">
        <v>0</v>
      </c>
      <c r="I36" s="1615">
        <v>0</v>
      </c>
      <c r="J36" s="2534">
        <v>0</v>
      </c>
      <c r="K36" s="1615">
        <v>0</v>
      </c>
      <c r="L36" s="1635">
        <v>0</v>
      </c>
    </row>
    <row r="37" spans="1:12" ht="11.25" customHeight="1">
      <c r="A37" s="325" t="s">
        <v>1515</v>
      </c>
      <c r="B37" s="293"/>
      <c r="C37" s="1635">
        <v>62767483</v>
      </c>
      <c r="D37" s="1635">
        <v>90040867</v>
      </c>
      <c r="E37" s="1615">
        <v>108885080</v>
      </c>
      <c r="F37" s="2534">
        <f>95443319.02+5000000</f>
        <v>100443319.02</v>
      </c>
      <c r="G37" s="1615">
        <v>35443319.019999996</v>
      </c>
      <c r="H37" s="1615">
        <v>35443319.019999996</v>
      </c>
      <c r="I37" s="1615">
        <v>35443319.019999996</v>
      </c>
      <c r="J37" s="2534">
        <f>+E37*1.05</f>
        <v>114329334</v>
      </c>
      <c r="K37" s="1615">
        <f>+J37*1.05</f>
        <v>120045800.7</v>
      </c>
      <c r="L37" s="1635">
        <f>+K37*1.05</f>
        <v>126048090.73500001</v>
      </c>
    </row>
    <row r="38" spans="1:12" ht="11.25" customHeight="1">
      <c r="A38" s="326" t="str">
        <f>"Total "&amp;A34</f>
        <v>Total Trade and other payables</v>
      </c>
      <c r="B38" s="293">
        <v>2</v>
      </c>
      <c r="C38" s="213">
        <f t="shared" ref="C38:K38" si="5">SUM(C35:C37)</f>
        <v>388071154</v>
      </c>
      <c r="D38" s="213">
        <f t="shared" si="5"/>
        <v>378973951</v>
      </c>
      <c r="E38" s="214">
        <f t="shared" si="5"/>
        <v>652427598</v>
      </c>
      <c r="F38" s="215">
        <f t="shared" si="5"/>
        <v>432942156.57999998</v>
      </c>
      <c r="G38" s="213">
        <f t="shared" si="5"/>
        <v>215931920.57999998</v>
      </c>
      <c r="H38" s="214">
        <f t="shared" si="5"/>
        <v>215931920.57999998</v>
      </c>
      <c r="I38" s="212">
        <f t="shared" si="5"/>
        <v>215931920.57999998</v>
      </c>
      <c r="J38" s="216">
        <f t="shared" si="5"/>
        <v>238492412.57999992</v>
      </c>
      <c r="K38" s="213">
        <f t="shared" si="5"/>
        <v>446013605.4380002</v>
      </c>
      <c r="L38" s="214">
        <f>SUM(L35:L37)</f>
        <v>431730072.13800001</v>
      </c>
    </row>
    <row r="39" spans="1:12" ht="5" customHeight="1">
      <c r="A39" s="201"/>
      <c r="B39" s="293"/>
      <c r="C39" s="203"/>
      <c r="D39" s="203"/>
      <c r="E39" s="204"/>
      <c r="F39" s="205"/>
      <c r="G39" s="203"/>
      <c r="H39" s="204"/>
      <c r="I39" s="202"/>
      <c r="J39" s="206"/>
      <c r="K39" s="203"/>
      <c r="L39" s="204"/>
    </row>
    <row r="40" spans="1:12" ht="11.25" customHeight="1">
      <c r="A40" s="181" t="str">
        <f>'A6-FinPos'!A36&amp;" - "&amp;'A6-FinPos'!A37</f>
        <v>Non current liabilities - Borrowing</v>
      </c>
      <c r="B40" s="293"/>
      <c r="C40" s="203"/>
      <c r="D40" s="203"/>
      <c r="E40" s="204"/>
      <c r="F40" s="205"/>
      <c r="G40" s="203"/>
      <c r="H40" s="204"/>
      <c r="I40" s="202"/>
      <c r="J40" s="206"/>
      <c r="K40" s="203"/>
      <c r="L40" s="204"/>
    </row>
    <row r="41" spans="1:12" ht="11.25" customHeight="1">
      <c r="A41" s="190" t="s">
        <v>1284</v>
      </c>
      <c r="B41" s="293">
        <v>4</v>
      </c>
      <c r="C41" s="1635">
        <v>100121731</v>
      </c>
      <c r="D41" s="1635">
        <v>87802540</v>
      </c>
      <c r="E41" s="1615">
        <v>80207375</v>
      </c>
      <c r="F41" s="1903">
        <v>85270904.870000005</v>
      </c>
      <c r="G41" s="1615">
        <v>85270904.870000005</v>
      </c>
      <c r="H41" s="1615">
        <v>85270904.870000005</v>
      </c>
      <c r="I41" s="1615">
        <v>85270904.870000005</v>
      </c>
      <c r="J41" s="1903">
        <v>607026083.24000001</v>
      </c>
      <c r="K41" s="1903">
        <v>607026083.24000001</v>
      </c>
      <c r="L41" s="1903">
        <v>607026083.24000001</v>
      </c>
    </row>
    <row r="42" spans="1:12" ht="11.25" customHeight="1">
      <c r="A42" s="190" t="s">
        <v>1048</v>
      </c>
      <c r="B42" s="293"/>
      <c r="C42" s="1615">
        <v>0</v>
      </c>
      <c r="D42" s="1635">
        <v>0</v>
      </c>
      <c r="E42" s="1615">
        <v>0</v>
      </c>
      <c r="F42" s="2534"/>
      <c r="G42" s="1615">
        <v>-4000000</v>
      </c>
      <c r="H42" s="1615">
        <v>-4000000</v>
      </c>
      <c r="I42" s="1615">
        <v>-4000000</v>
      </c>
      <c r="J42" s="2534"/>
      <c r="K42" s="1615"/>
      <c r="L42" s="1635"/>
    </row>
    <row r="43" spans="1:12" ht="11.25" customHeight="1">
      <c r="A43" s="326" t="str">
        <f>"Total "&amp;A40</f>
        <v>Total Non current liabilities - Borrowing</v>
      </c>
      <c r="B43" s="293"/>
      <c r="C43" s="213">
        <f>SUM(C41:C42)</f>
        <v>100121731</v>
      </c>
      <c r="D43" s="213">
        <f t="shared" ref="D43:L43" si="6">SUM(D41:D42)</f>
        <v>87802540</v>
      </c>
      <c r="E43" s="214">
        <f t="shared" si="6"/>
        <v>80207375</v>
      </c>
      <c r="F43" s="215">
        <f t="shared" si="6"/>
        <v>85270904.870000005</v>
      </c>
      <c r="G43" s="213">
        <f t="shared" si="6"/>
        <v>81270904.870000005</v>
      </c>
      <c r="H43" s="214">
        <f t="shared" si="6"/>
        <v>81270904.870000005</v>
      </c>
      <c r="I43" s="212">
        <f t="shared" si="6"/>
        <v>81270904.870000005</v>
      </c>
      <c r="J43" s="216">
        <f t="shared" si="6"/>
        <v>607026083.24000001</v>
      </c>
      <c r="K43" s="213">
        <f t="shared" si="6"/>
        <v>607026083.24000001</v>
      </c>
      <c r="L43" s="214">
        <f t="shared" si="6"/>
        <v>607026083.24000001</v>
      </c>
    </row>
    <row r="44" spans="1:12" ht="5" customHeight="1">
      <c r="A44" s="201"/>
      <c r="B44" s="293"/>
      <c r="C44" s="203"/>
      <c r="D44" s="203"/>
      <c r="E44" s="204"/>
      <c r="F44" s="205"/>
      <c r="G44" s="203"/>
      <c r="H44" s="204"/>
      <c r="I44" s="202"/>
      <c r="J44" s="206"/>
      <c r="K44" s="203"/>
      <c r="L44" s="204"/>
    </row>
    <row r="45" spans="1:12" ht="11.25" customHeight="1">
      <c r="A45" s="181" t="str">
        <f>'A6-FinPos'!A38&amp;" - non-current"</f>
        <v>Provisions - non-current</v>
      </c>
      <c r="B45" s="293"/>
      <c r="C45" s="203"/>
      <c r="D45" s="203"/>
      <c r="E45" s="204"/>
      <c r="F45" s="205"/>
      <c r="G45" s="203"/>
      <c r="H45" s="204"/>
      <c r="I45" s="202"/>
      <c r="J45" s="206"/>
      <c r="K45" s="203"/>
      <c r="L45" s="204"/>
    </row>
    <row r="46" spans="1:12" ht="11.25" customHeight="1">
      <c r="A46" s="190" t="s">
        <v>1347</v>
      </c>
      <c r="B46" s="293"/>
      <c r="C46" s="1635">
        <v>107815478</v>
      </c>
      <c r="D46" s="1635">
        <v>121097718</v>
      </c>
      <c r="E46" s="1615">
        <v>119388617</v>
      </c>
      <c r="F46" s="2534">
        <v>126672719.95999999</v>
      </c>
      <c r="G46" s="2534">
        <v>126672719.95999999</v>
      </c>
      <c r="H46" s="2534">
        <v>126672719.95999999</v>
      </c>
      <c r="I46" s="2534">
        <v>126672719.95999999</v>
      </c>
      <c r="J46" s="2534">
        <f>+E46*1.075</f>
        <v>128342763.27499999</v>
      </c>
      <c r="K46" s="1615">
        <f>+J46*1.065</f>
        <v>136685042.88787499</v>
      </c>
      <c r="L46" s="1615">
        <f>+K46*1.065</f>
        <v>145569570.67558685</v>
      </c>
    </row>
    <row r="47" spans="1:12" ht="11.25" customHeight="1">
      <c r="A47" s="416" t="s">
        <v>1349</v>
      </c>
      <c r="B47" s="293"/>
      <c r="C47" s="203"/>
      <c r="D47" s="203"/>
      <c r="E47" s="204"/>
      <c r="F47" s="205"/>
      <c r="G47" s="203"/>
      <c r="H47" s="204"/>
      <c r="I47" s="202"/>
      <c r="J47" s="206"/>
      <c r="K47" s="203"/>
      <c r="L47" s="204"/>
    </row>
    <row r="48" spans="1:12" ht="11.25" customHeight="1">
      <c r="A48" s="1634" t="s">
        <v>281</v>
      </c>
      <c r="B48" s="293"/>
      <c r="C48" s="1615">
        <v>0</v>
      </c>
      <c r="D48" s="1635">
        <v>38874632</v>
      </c>
      <c r="E48" s="1635">
        <v>45075752</v>
      </c>
      <c r="F48" s="1636">
        <v>0</v>
      </c>
      <c r="G48" s="1615"/>
      <c r="H48" s="1635"/>
      <c r="I48" s="1637"/>
      <c r="J48" s="1617">
        <f>+E48*1.1</f>
        <v>49583327.200000003</v>
      </c>
      <c r="K48" s="1615">
        <f>+J48*1.05</f>
        <v>52062493.560000002</v>
      </c>
      <c r="L48" s="1635">
        <f>+K48*1.05</f>
        <v>54665618.238000005</v>
      </c>
    </row>
    <row r="49" spans="1:12" ht="11.25" customHeight="1">
      <c r="A49" s="1634" t="s">
        <v>293</v>
      </c>
      <c r="B49" s="293"/>
      <c r="C49" s="1615"/>
      <c r="D49" s="1635"/>
      <c r="E49" s="1635"/>
      <c r="F49" s="1636"/>
      <c r="G49" s="1615"/>
      <c r="H49" s="1635"/>
      <c r="I49" s="1637"/>
      <c r="J49" s="1617"/>
      <c r="K49" s="1615"/>
      <c r="L49" s="1635"/>
    </row>
    <row r="50" spans="1:12" ht="11.25" customHeight="1">
      <c r="A50" s="326" t="str">
        <f>"Total "&amp;A45</f>
        <v>Total Provisions - non-current</v>
      </c>
      <c r="B50" s="293"/>
      <c r="C50" s="213">
        <f t="shared" ref="C50:L50" si="7">SUM(C46:C49)</f>
        <v>107815478</v>
      </c>
      <c r="D50" s="213">
        <f t="shared" si="7"/>
        <v>159972350</v>
      </c>
      <c r="E50" s="214">
        <f t="shared" si="7"/>
        <v>164464369</v>
      </c>
      <c r="F50" s="215">
        <f t="shared" si="7"/>
        <v>126672719.95999999</v>
      </c>
      <c r="G50" s="213">
        <f t="shared" si="7"/>
        <v>126672719.95999999</v>
      </c>
      <c r="H50" s="214">
        <f t="shared" si="7"/>
        <v>126672719.95999999</v>
      </c>
      <c r="I50" s="212">
        <f t="shared" si="7"/>
        <v>126672719.95999999</v>
      </c>
      <c r="J50" s="216">
        <f t="shared" si="7"/>
        <v>177926090.47499999</v>
      </c>
      <c r="K50" s="213">
        <f t="shared" si="7"/>
        <v>188747536.44787499</v>
      </c>
      <c r="L50" s="214">
        <f t="shared" si="7"/>
        <v>200235188.91358685</v>
      </c>
    </row>
    <row r="51" spans="1:12" ht="5" customHeight="1">
      <c r="A51" s="201"/>
      <c r="B51" s="293"/>
      <c r="C51" s="203"/>
      <c r="D51" s="203"/>
      <c r="E51" s="204"/>
      <c r="F51" s="205"/>
      <c r="G51" s="203"/>
      <c r="H51" s="204"/>
      <c r="I51" s="202"/>
      <c r="J51" s="206"/>
      <c r="K51" s="203"/>
      <c r="L51" s="204"/>
    </row>
    <row r="52" spans="1:12" ht="15.75" customHeight="1">
      <c r="A52" s="428" t="s">
        <v>1071</v>
      </c>
      <c r="B52" s="408"/>
      <c r="C52" s="409"/>
      <c r="D52" s="409"/>
      <c r="E52" s="410"/>
      <c r="F52" s="411"/>
      <c r="G52" s="409"/>
      <c r="H52" s="410"/>
      <c r="I52" s="412"/>
      <c r="J52" s="413"/>
      <c r="K52" s="409"/>
      <c r="L52" s="410"/>
    </row>
    <row r="53" spans="1:12" ht="11.25" customHeight="1">
      <c r="A53" s="402" t="str">
        <f>'A6-FinPos'!A45</f>
        <v>Accumulated Surplus/(Deficit)</v>
      </c>
      <c r="B53" s="293"/>
      <c r="C53" s="203"/>
      <c r="D53" s="203"/>
      <c r="E53" s="204"/>
      <c r="F53" s="205"/>
      <c r="G53" s="203"/>
      <c r="H53" s="204"/>
      <c r="I53" s="202"/>
      <c r="J53" s="206"/>
      <c r="K53" s="203"/>
      <c r="L53" s="204"/>
    </row>
    <row r="54" spans="1:12" ht="11.25" customHeight="1">
      <c r="A54" s="190" t="str">
        <f>A53&amp;" - opening balance"</f>
        <v>Accumulated Surplus/(Deficit) - opening balance</v>
      </c>
      <c r="B54" s="293"/>
      <c r="C54" s="1615">
        <v>268109732</v>
      </c>
      <c r="D54" s="1635">
        <f>+C62</f>
        <v>1089637029.7699997</v>
      </c>
      <c r="E54" s="1635">
        <v>6312609684</v>
      </c>
      <c r="F54" s="1635">
        <f>847110385.242+645592583</f>
        <v>1492702968.2420001</v>
      </c>
      <c r="G54" s="1615">
        <v>1492702968.2420001</v>
      </c>
      <c r="H54" s="1615">
        <v>1492702968.2420001</v>
      </c>
      <c r="I54" s="1615">
        <v>1492702968.2420001</v>
      </c>
      <c r="J54" s="2534">
        <f>+I62</f>
        <v>6810042997.3860016</v>
      </c>
      <c r="K54" s="1615">
        <f>+J62</f>
        <v>7350973644.4297028</v>
      </c>
      <c r="L54" s="1635">
        <f>+K62</f>
        <v>7816437112.8215885</v>
      </c>
    </row>
    <row r="55" spans="1:12" ht="11.25" customHeight="1">
      <c r="A55" s="190" t="s">
        <v>1702</v>
      </c>
      <c r="B55" s="293"/>
      <c r="C55" s="1615">
        <v>0</v>
      </c>
      <c r="D55" s="1635">
        <v>48346544</v>
      </c>
      <c r="E55" s="1635"/>
      <c r="F55" s="1636"/>
      <c r="G55" s="1615">
        <v>4968527980</v>
      </c>
      <c r="H55" s="1615">
        <v>4968527980</v>
      </c>
      <c r="I55" s="1615">
        <v>4968527980</v>
      </c>
      <c r="J55" s="2534">
        <v>0</v>
      </c>
      <c r="K55" s="1615"/>
      <c r="L55" s="1635"/>
    </row>
    <row r="56" spans="1:12" ht="11.25" customHeight="1">
      <c r="A56" s="190" t="s">
        <v>1704</v>
      </c>
      <c r="B56" s="293"/>
      <c r="C56" s="203">
        <f>SUM(C54:C55)</f>
        <v>268109732</v>
      </c>
      <c r="D56" s="203">
        <f>SUM(D54:D55)</f>
        <v>1137983573.7699997</v>
      </c>
      <c r="E56" s="204">
        <f>SUM(E54:E55)</f>
        <v>6312609684</v>
      </c>
      <c r="F56" s="205">
        <f t="shared" ref="F56:L56" si="8">SUM(F54:F55)</f>
        <v>1492702968.2420001</v>
      </c>
      <c r="G56" s="203">
        <f t="shared" si="8"/>
        <v>6461230948.2420006</v>
      </c>
      <c r="H56" s="204">
        <f t="shared" si="8"/>
        <v>6461230948.2420006</v>
      </c>
      <c r="I56" s="202">
        <f t="shared" si="8"/>
        <v>6461230948.2420006</v>
      </c>
      <c r="J56" s="206">
        <f t="shared" si="8"/>
        <v>6810042997.3860016</v>
      </c>
      <c r="K56" s="203">
        <f t="shared" si="8"/>
        <v>7350973644.4297028</v>
      </c>
      <c r="L56" s="204">
        <f t="shared" si="8"/>
        <v>7816437112.8215885</v>
      </c>
    </row>
    <row r="57" spans="1:12" ht="11.25" customHeight="1">
      <c r="A57" s="190" t="str">
        <f>'A4-FinPerf RE'!A38</f>
        <v>Surplus/(Deficit)</v>
      </c>
      <c r="B57" s="293"/>
      <c r="C57" s="207">
        <f>'A4-FinPerf RE'!C46</f>
        <v>-2.6822090148925781E-7</v>
      </c>
      <c r="D57" s="207">
        <f>'A4-FinPerf RE'!D46</f>
        <v>0</v>
      </c>
      <c r="E57" s="264">
        <f>'A4-FinPerf RE'!E46</f>
        <v>0</v>
      </c>
      <c r="F57" s="251">
        <f>'A4-FinPerf RE'!F46</f>
        <v>0</v>
      </c>
      <c r="G57" s="203">
        <f>'A4-FinPerf RE'!G46</f>
        <v>0</v>
      </c>
      <c r="H57" s="204">
        <f>'A4-FinPerf RE'!H46</f>
        <v>0</v>
      </c>
      <c r="I57" s="202">
        <f>'A4-FinPerf RE'!I46</f>
        <v>0</v>
      </c>
      <c r="J57" s="211">
        <f>'A4-FinPerf RE'!J46</f>
        <v>0</v>
      </c>
      <c r="K57" s="207">
        <f>'A4-FinPerf RE'!K46</f>
        <v>0</v>
      </c>
      <c r="L57" s="204">
        <f>'A4-FinPerf RE'!L46</f>
        <v>0</v>
      </c>
    </row>
    <row r="58" spans="1:12" ht="11.25" customHeight="1">
      <c r="A58" s="190" t="s">
        <v>1700</v>
      </c>
      <c r="B58" s="293"/>
      <c r="C58" s="1635">
        <f>177805151-92607929-229500-2593194-172494-19598983+210512-157184870</f>
        <v>-94371307</v>
      </c>
      <c r="D58" s="1635">
        <v>-154496110</v>
      </c>
      <c r="E58" s="1615">
        <v>0</v>
      </c>
      <c r="F58" s="2534">
        <v>-136381691.60599899</v>
      </c>
      <c r="G58" s="1615">
        <v>-114732991.60599899</v>
      </c>
      <c r="H58" s="1615">
        <v>-114732991.60599899</v>
      </c>
      <c r="I58" s="1615">
        <v>-114732991.60599899</v>
      </c>
      <c r="J58" s="2534">
        <v>-43200776.186299004</v>
      </c>
      <c r="K58" s="2534">
        <v>-50360814.995614</v>
      </c>
      <c r="L58" s="2534">
        <v>-57878855.745394997</v>
      </c>
    </row>
    <row r="59" spans="1:12" ht="11.25" customHeight="1">
      <c r="A59" s="190" t="s">
        <v>1701</v>
      </c>
      <c r="B59" s="293"/>
      <c r="C59" s="1635">
        <f>80311267-9262669+1406531</f>
        <v>72455129</v>
      </c>
      <c r="D59" s="1635">
        <v>50217097</v>
      </c>
      <c r="E59" s="1615">
        <v>0</v>
      </c>
      <c r="F59" s="2534">
        <f>449006858-64230988.25</f>
        <v>384775869.75</v>
      </c>
      <c r="G59" s="1615">
        <v>384775869.75</v>
      </c>
      <c r="H59" s="1615">
        <v>384775869.75</v>
      </c>
      <c r="I59" s="1615">
        <v>384775869.75</v>
      </c>
      <c r="J59" s="2534">
        <v>240073681</v>
      </c>
      <c r="K59" s="2534">
        <v>228344148</v>
      </c>
      <c r="L59" s="2534">
        <v>134372000</v>
      </c>
    </row>
    <row r="60" spans="1:12" ht="11.25" customHeight="1">
      <c r="A60" s="190" t="s">
        <v>1339</v>
      </c>
      <c r="B60" s="293"/>
      <c r="C60" s="1635">
        <v>66561982</v>
      </c>
      <c r="D60" s="1635">
        <v>0</v>
      </c>
      <c r="E60" s="1615">
        <v>0</v>
      </c>
      <c r="F60" s="2534">
        <v>78769171</v>
      </c>
      <c r="G60" s="1615">
        <v>78769171</v>
      </c>
      <c r="H60" s="1615">
        <v>78769171</v>
      </c>
      <c r="I60" s="1615">
        <v>78769171</v>
      </c>
      <c r="J60" s="2534">
        <f>182707629.55+14946433.68+123</f>
        <v>197654186.23000002</v>
      </c>
      <c r="K60" s="2534">
        <v>186843011.0275</v>
      </c>
      <c r="L60" s="2534">
        <v>101185161.57887501</v>
      </c>
    </row>
    <row r="61" spans="1:12" ht="11.25" customHeight="1">
      <c r="A61" s="190" t="s">
        <v>1703</v>
      </c>
      <c r="B61" s="293"/>
      <c r="C61" s="1635">
        <f>-79299143+856180637-0.23</f>
        <v>776881493.76999998</v>
      </c>
      <c r="D61" s="1635">
        <f>5420620684+15.54</f>
        <v>5420620699.54</v>
      </c>
      <c r="E61" s="1615">
        <f>-286480311+416.78</f>
        <v>-286479894.22000003</v>
      </c>
      <c r="F61" s="2534"/>
      <c r="G61" s="1615">
        <v>0</v>
      </c>
      <c r="H61" s="1615">
        <v>0</v>
      </c>
      <c r="I61" s="1615">
        <v>0</v>
      </c>
      <c r="J61" s="2534">
        <v>146403556</v>
      </c>
      <c r="K61" s="2534">
        <f>509659808-409022683.64</f>
        <v>100637124.36000001</v>
      </c>
      <c r="L61" s="2534">
        <v>561306600</v>
      </c>
    </row>
    <row r="62" spans="1:12" ht="11.25" customHeight="1">
      <c r="A62" s="1289" t="s">
        <v>426</v>
      </c>
      <c r="B62" s="293">
        <v>1</v>
      </c>
      <c r="C62" s="213">
        <f>SUM(C56:C61)</f>
        <v>1089637029.7699997</v>
      </c>
      <c r="D62" s="213">
        <f>SUM(D56:D61)</f>
        <v>6454325260.3099995</v>
      </c>
      <c r="E62" s="214">
        <f t="shared" ref="E62:L62" si="9">SUM(E56:E61)</f>
        <v>6026129789.7799997</v>
      </c>
      <c r="F62" s="215">
        <f t="shared" si="9"/>
        <v>1819866317.3860011</v>
      </c>
      <c r="G62" s="213">
        <f t="shared" si="9"/>
        <v>6810042997.3860016</v>
      </c>
      <c r="H62" s="214">
        <f t="shared" si="9"/>
        <v>6810042997.3860016</v>
      </c>
      <c r="I62" s="212">
        <f t="shared" si="9"/>
        <v>6810042997.3860016</v>
      </c>
      <c r="J62" s="216">
        <f t="shared" si="9"/>
        <v>7350973644.4297028</v>
      </c>
      <c r="K62" s="213">
        <f t="shared" si="9"/>
        <v>7816437112.8215885</v>
      </c>
      <c r="L62" s="214">
        <f t="shared" si="9"/>
        <v>8555422018.6550684</v>
      </c>
    </row>
    <row r="63" spans="1:12" ht="11.25" customHeight="1">
      <c r="A63" s="181" t="s">
        <v>753</v>
      </c>
      <c r="B63" s="295"/>
      <c r="C63" s="203"/>
      <c r="D63" s="203"/>
      <c r="E63" s="204"/>
      <c r="F63" s="205"/>
      <c r="G63" s="203"/>
      <c r="H63" s="204"/>
      <c r="I63" s="202"/>
      <c r="J63" s="206"/>
      <c r="K63" s="203"/>
      <c r="L63" s="204"/>
    </row>
    <row r="64" spans="1:12" ht="11.25" customHeight="1">
      <c r="A64" s="325" t="s">
        <v>105</v>
      </c>
      <c r="B64" s="293"/>
      <c r="C64" s="1635">
        <v>21736738</v>
      </c>
      <c r="D64" s="1635">
        <v>6351839</v>
      </c>
      <c r="E64" s="1615">
        <v>6351839</v>
      </c>
      <c r="F64" s="2534">
        <v>6605912.5599999996</v>
      </c>
      <c r="G64" s="1615">
        <v>-7394087.4400000004</v>
      </c>
      <c r="H64" s="1615">
        <v>-7394087.4400000004</v>
      </c>
      <c r="I64" s="1615">
        <v>-7394087.4400000004</v>
      </c>
      <c r="J64" s="2534">
        <f>+E64*1.05</f>
        <v>6669430.9500000002</v>
      </c>
      <c r="K64" s="1615">
        <f t="shared" ref="K64:L66" si="10">+J64*1.05</f>
        <v>7002902.4975000005</v>
      </c>
      <c r="L64" s="1615">
        <f t="shared" si="10"/>
        <v>7353047.6223750012</v>
      </c>
    </row>
    <row r="65" spans="1:12" ht="11.25" customHeight="1">
      <c r="A65" s="325" t="s">
        <v>1508</v>
      </c>
      <c r="B65" s="293"/>
      <c r="C65" s="1635">
        <v>281729676</v>
      </c>
      <c r="D65" s="1635">
        <v>381302205</v>
      </c>
      <c r="E65" s="1615">
        <v>392138235</v>
      </c>
      <c r="F65" s="2534">
        <f>396554293.2-100000000</f>
        <v>296554293.19999999</v>
      </c>
      <c r="G65" s="1615">
        <v>356554293.19999999</v>
      </c>
      <c r="H65" s="1615">
        <v>356554293.19999999</v>
      </c>
      <c r="I65" s="1615">
        <v>356554293.19999999</v>
      </c>
      <c r="J65" s="2534">
        <f>+E65*1.05</f>
        <v>411745146.75</v>
      </c>
      <c r="K65" s="1615">
        <f t="shared" si="10"/>
        <v>432332404.08750004</v>
      </c>
      <c r="L65" s="1615">
        <f t="shared" si="10"/>
        <v>453949024.29187506</v>
      </c>
    </row>
    <row r="66" spans="1:12" ht="11.25" customHeight="1">
      <c r="A66" s="325" t="s">
        <v>1509</v>
      </c>
      <c r="B66" s="293"/>
      <c r="C66" s="1615">
        <v>30538330</v>
      </c>
      <c r="D66" s="1635">
        <v>35988013</v>
      </c>
      <c r="E66" s="1615">
        <v>39327826</v>
      </c>
      <c r="F66" s="2534"/>
      <c r="G66" s="1615"/>
      <c r="H66" s="1615"/>
      <c r="I66" s="1615"/>
      <c r="J66" s="2534">
        <f>+E66*1.05</f>
        <v>41294217.300000004</v>
      </c>
      <c r="K66" s="1615">
        <f t="shared" si="10"/>
        <v>43358928.165000007</v>
      </c>
      <c r="L66" s="1615">
        <f t="shared" si="10"/>
        <v>45526874.573250011</v>
      </c>
    </row>
    <row r="67" spans="1:12" ht="11.25" customHeight="1">
      <c r="A67" s="1634" t="s">
        <v>2074</v>
      </c>
      <c r="B67" s="293"/>
      <c r="C67" s="1615">
        <v>0</v>
      </c>
      <c r="D67" s="1615">
        <v>0</v>
      </c>
      <c r="E67" s="1635">
        <v>0</v>
      </c>
      <c r="F67" s="2534">
        <v>37427533.520000003</v>
      </c>
      <c r="G67" s="1615">
        <v>12427533.520000003</v>
      </c>
      <c r="H67" s="1615">
        <v>12427533.520000003</v>
      </c>
      <c r="I67" s="1615">
        <v>12427533.520000003</v>
      </c>
      <c r="J67" s="2534">
        <v>124187680</v>
      </c>
      <c r="K67" s="1615">
        <v>124187680</v>
      </c>
      <c r="L67" s="1635">
        <v>124187680</v>
      </c>
    </row>
    <row r="68" spans="1:12" ht="11.25" customHeight="1">
      <c r="A68" s="325" t="s">
        <v>1507</v>
      </c>
      <c r="B68" s="293"/>
      <c r="C68" s="1615"/>
      <c r="D68" s="1615"/>
      <c r="E68" s="1635"/>
      <c r="F68" s="1636"/>
      <c r="G68" s="1615"/>
      <c r="H68" s="1635"/>
      <c r="I68" s="1637"/>
      <c r="J68" s="2534"/>
      <c r="K68" s="1615"/>
      <c r="L68" s="1635"/>
    </row>
    <row r="69" spans="1:12" ht="11.25" customHeight="1">
      <c r="A69" s="326" t="s">
        <v>1085</v>
      </c>
      <c r="B69" s="293">
        <v>2</v>
      </c>
      <c r="C69" s="213">
        <f t="shared" ref="C69:L69" si="11">SUM(C64:C68)</f>
        <v>334004744</v>
      </c>
      <c r="D69" s="213">
        <f t="shared" si="11"/>
        <v>423642057</v>
      </c>
      <c r="E69" s="214">
        <f t="shared" si="11"/>
        <v>437817900</v>
      </c>
      <c r="F69" s="215">
        <f t="shared" si="11"/>
        <v>340587739.27999997</v>
      </c>
      <c r="G69" s="213">
        <f t="shared" si="11"/>
        <v>361587739.27999997</v>
      </c>
      <c r="H69" s="214">
        <f t="shared" si="11"/>
        <v>361587739.27999997</v>
      </c>
      <c r="I69" s="212">
        <f t="shared" si="11"/>
        <v>361587739.27999997</v>
      </c>
      <c r="J69" s="216">
        <f t="shared" si="11"/>
        <v>583896475</v>
      </c>
      <c r="K69" s="213">
        <f t="shared" si="11"/>
        <v>606881914.75</v>
      </c>
      <c r="L69" s="214">
        <f t="shared" si="11"/>
        <v>631016626.48750007</v>
      </c>
    </row>
    <row r="70" spans="1:12">
      <c r="A70" s="429" t="str">
        <f>'A6-FinPos'!A48</f>
        <v>TOTAL COMMUNITY WEALTH/EQUITY</v>
      </c>
      <c r="B70" s="306">
        <v>2</v>
      </c>
      <c r="C70" s="230">
        <f t="shared" ref="C70:L70" si="12">C62+C69</f>
        <v>1423641773.7699997</v>
      </c>
      <c r="D70" s="230">
        <f t="shared" si="12"/>
        <v>6877967317.3099995</v>
      </c>
      <c r="E70" s="228">
        <f t="shared" si="12"/>
        <v>6463947689.7799997</v>
      </c>
      <c r="F70" s="229">
        <f t="shared" si="12"/>
        <v>2160454056.6660013</v>
      </c>
      <c r="G70" s="230">
        <f t="shared" si="12"/>
        <v>7171630736.6660013</v>
      </c>
      <c r="H70" s="228">
        <f t="shared" si="12"/>
        <v>7171630736.6660013</v>
      </c>
      <c r="I70" s="231">
        <f t="shared" si="12"/>
        <v>7171630736.6660013</v>
      </c>
      <c r="J70" s="232">
        <f t="shared" si="12"/>
        <v>7934870119.4297028</v>
      </c>
      <c r="K70" s="230">
        <f t="shared" si="12"/>
        <v>8423319027.5715885</v>
      </c>
      <c r="L70" s="228">
        <f t="shared" si="12"/>
        <v>9186438645.1425686</v>
      </c>
    </row>
    <row r="71" spans="1:12" ht="5" customHeight="1">
      <c r="A71" s="237"/>
      <c r="B71" s="430"/>
      <c r="C71" s="238"/>
      <c r="D71" s="238"/>
      <c r="E71" s="238"/>
      <c r="F71" s="238"/>
      <c r="G71" s="238"/>
      <c r="H71" s="238"/>
      <c r="I71" s="238"/>
      <c r="J71" s="238"/>
      <c r="K71" s="238"/>
      <c r="L71" s="238"/>
    </row>
    <row r="72" spans="1:12" ht="12">
      <c r="A72" s="147" t="s">
        <v>1350</v>
      </c>
      <c r="B72" s="147"/>
      <c r="C72" s="147"/>
      <c r="D72" s="147"/>
      <c r="E72" s="147"/>
      <c r="F72" s="147"/>
      <c r="G72" s="147"/>
      <c r="H72" s="147"/>
      <c r="I72" s="147"/>
      <c r="J72" s="147"/>
      <c r="K72" s="147"/>
      <c r="L72" s="147"/>
    </row>
    <row r="73" spans="1:12">
      <c r="A73" s="431" t="s">
        <v>1470</v>
      </c>
      <c r="B73" s="432"/>
      <c r="C73" s="1684"/>
      <c r="D73" s="1684"/>
      <c r="E73" s="1685"/>
      <c r="F73" s="1686"/>
      <c r="G73" s="1684"/>
      <c r="H73" s="1685"/>
      <c r="I73" s="1687"/>
      <c r="J73" s="1688"/>
      <c r="K73" s="1684"/>
      <c r="L73" s="1685"/>
    </row>
    <row r="74" spans="1:12">
      <c r="A74" s="2142"/>
      <c r="B74" s="236"/>
      <c r="C74" s="1615"/>
      <c r="D74" s="1615"/>
      <c r="E74" s="1635"/>
      <c r="F74" s="1636"/>
      <c r="G74" s="1615"/>
      <c r="H74" s="1635"/>
      <c r="I74" s="1637"/>
      <c r="J74" s="1617"/>
      <c r="K74" s="1615"/>
      <c r="L74" s="1635"/>
    </row>
    <row r="75" spans="1:12">
      <c r="A75" s="1683"/>
      <c r="B75" s="337"/>
      <c r="C75" s="1689"/>
      <c r="D75" s="1689"/>
      <c r="E75" s="1690"/>
      <c r="F75" s="1691"/>
      <c r="G75" s="1689"/>
      <c r="H75" s="1690"/>
      <c r="I75" s="1692"/>
      <c r="J75" s="1693"/>
      <c r="K75" s="1689"/>
      <c r="L75" s="1690"/>
    </row>
    <row r="76" spans="1:12" ht="11.25" customHeight="1">
      <c r="A76" s="235" t="str">
        <f>head27a</f>
        <v>References</v>
      </c>
      <c r="B76" s="236"/>
      <c r="C76" s="241"/>
      <c r="D76" s="241"/>
      <c r="E76" s="241"/>
      <c r="F76" s="241"/>
      <c r="G76" s="241"/>
      <c r="H76" s="241"/>
      <c r="I76" s="241"/>
      <c r="J76" s="241"/>
      <c r="K76" s="241"/>
      <c r="L76" s="241"/>
    </row>
    <row r="77" spans="1:12" ht="11.25" customHeight="1">
      <c r="A77" s="287" t="str">
        <f>"1. Must reconcile with "&amp;'Template names'!F103</f>
        <v>1. Must reconcile with Table A4 Budgeted Financial Performance (revenue and expenditure)</v>
      </c>
      <c r="B77" s="236"/>
      <c r="C77" s="240"/>
      <c r="D77" s="240"/>
      <c r="E77" s="241"/>
      <c r="F77" s="241"/>
      <c r="G77" s="241"/>
      <c r="H77" s="241"/>
      <c r="I77" s="241"/>
      <c r="J77" s="241"/>
      <c r="K77" s="241"/>
      <c r="L77" s="241"/>
    </row>
    <row r="78" spans="1:12" ht="11.25" customHeight="1">
      <c r="A78" s="287" t="str">
        <f>"2. Must reconcile with "&amp;'Template names'!F105</f>
        <v>2. Must reconcile with Table A6 Budgeted Financial Position</v>
      </c>
      <c r="B78" s="236"/>
      <c r="C78" s="240"/>
      <c r="D78" s="240"/>
      <c r="E78" s="241"/>
      <c r="F78" s="241"/>
      <c r="G78" s="241"/>
      <c r="H78" s="241"/>
      <c r="I78" s="241"/>
      <c r="J78" s="241"/>
      <c r="K78" s="241"/>
      <c r="L78" s="241"/>
    </row>
    <row r="79" spans="1:12" ht="11.25" customHeight="1">
      <c r="A79" s="287" t="s">
        <v>1047</v>
      </c>
      <c r="B79" s="236"/>
      <c r="C79" s="240"/>
      <c r="D79" s="240"/>
      <c r="E79" s="241"/>
      <c r="F79" s="241"/>
      <c r="G79" s="241"/>
      <c r="H79" s="241"/>
      <c r="I79" s="241"/>
      <c r="J79" s="241"/>
      <c r="K79" s="241"/>
      <c r="L79" s="241"/>
    </row>
    <row r="80" spans="1:12" ht="11.25" customHeight="1">
      <c r="A80" s="287" t="s">
        <v>774</v>
      </c>
    </row>
    <row r="81" spans="1:12" ht="11.25" customHeight="1">
      <c r="A81" s="437" t="s">
        <v>1524</v>
      </c>
      <c r="C81" s="344">
        <f>C70-'A6-FinPos'!C48</f>
        <v>-28.230000019073486</v>
      </c>
      <c r="D81" s="344">
        <f>D70-'A6-FinPos'!D48</f>
        <v>565357633.65999889</v>
      </c>
      <c r="E81" s="344">
        <f>E70-'A6-FinPos'!E48</f>
        <v>0</v>
      </c>
      <c r="F81" s="344">
        <f>F70-'A6-FinPos'!F48</f>
        <v>0.29400157928466797</v>
      </c>
      <c r="G81" s="438">
        <f>G70-'A6-FinPos'!G48</f>
        <v>0.30000209808349609</v>
      </c>
      <c r="H81" s="438">
        <f>H70-'A6-FinPos'!H48</f>
        <v>0.30000209808349609</v>
      </c>
      <c r="I81" s="438">
        <f>I70-'A6-FinPos'!I48</f>
        <v>0.30000209808349609</v>
      </c>
      <c r="J81" s="438">
        <f>J70-'A6-FinPos'!J48</f>
        <v>-1000000</v>
      </c>
      <c r="K81" s="438">
        <f>K70-'A6-FinPos'!K48</f>
        <v>-1000000</v>
      </c>
      <c r="L81" s="438">
        <f>L70-'A6-FinPos'!L48</f>
        <v>-1000000</v>
      </c>
    </row>
    <row r="82" spans="1:12" ht="11.25" customHeight="1">
      <c r="C82" s="310">
        <f>TREND(D82:H82)</f>
        <v>0</v>
      </c>
      <c r="D82" s="310">
        <f>TREND(E82:H82)</f>
        <v>0</v>
      </c>
      <c r="E82" s="310">
        <f>E73</f>
        <v>0</v>
      </c>
      <c r="F82" s="310">
        <f>H73</f>
        <v>0</v>
      </c>
      <c r="G82" s="310">
        <f>J73</f>
        <v>0</v>
      </c>
      <c r="H82" s="310">
        <f>K73</f>
        <v>0</v>
      </c>
      <c r="I82" s="310">
        <f>L73</f>
        <v>0</v>
      </c>
      <c r="J82" s="310"/>
      <c r="K82" s="310"/>
      <c r="L82" s="310"/>
    </row>
    <row r="83" spans="1:12" ht="11.25" customHeight="1"/>
    <row r="84" spans="1:12" ht="11.25" customHeight="1"/>
    <row r="85" spans="1:12" ht="11.25" customHeight="1"/>
    <row r="86" spans="1:12" ht="11.25" customHeight="1"/>
    <row r="87" spans="1:12" ht="11.25" customHeight="1"/>
    <row r="88" spans="1:12" ht="11.25" customHeight="1"/>
    <row r="89" spans="1:12" ht="11.25" customHeight="1"/>
    <row r="90" spans="1:12" ht="11.25" customHeight="1"/>
    <row r="91" spans="1:12" ht="11.25" customHeight="1"/>
    <row r="92" spans="1:12" ht="11.25" customHeight="1"/>
  </sheetData>
  <sheetProtection password="C646" sheet="1" objects="1" scenarios="1"/>
  <mergeCells count="4">
    <mergeCell ref="A2:A3"/>
    <mergeCell ref="B2:B3"/>
    <mergeCell ref="J2:L2"/>
    <mergeCell ref="F2:I2"/>
  </mergeCells>
  <phoneticPr fontId="5"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98" bottom="0.59055118110236204" header="0.511811023622047" footer="0.39370078740157499"/>
  <headerFooter alignWithMargins="0"/>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42"/>
  </sheetPr>
  <dimension ref="A1:X128"/>
  <sheetViews>
    <sheetView showGridLines="0" workbookViewId="0">
      <pane xSplit="4" ySplit="3" topLeftCell="E122" activePane="bottomRight" state="frozen"/>
      <selection pane="topRight"/>
      <selection pane="bottomLeft"/>
      <selection pane="bottomRight" activeCell="E124" sqref="E124"/>
    </sheetView>
  </sheetViews>
  <sheetFormatPr baseColWidth="10" defaultColWidth="8.83203125" defaultRowHeight="10" x14ac:dyDescent="0"/>
  <cols>
    <col min="1" max="2" width="18.6640625" style="149" customWidth="1"/>
    <col min="3" max="3" width="5" style="149" customWidth="1"/>
    <col min="4" max="4" width="3" style="247" customWidth="1"/>
    <col min="5" max="13" width="9.33203125" style="149" customWidth="1"/>
    <col min="14" max="14" width="32.6640625" style="149" bestFit="1" customWidth="1"/>
    <col min="15" max="15" width="1.5" style="149" customWidth="1"/>
    <col min="16" max="20" width="7.83203125" style="149" bestFit="1" customWidth="1"/>
    <col min="21" max="24" width="8.6640625" style="149" bestFit="1" customWidth="1"/>
    <col min="25" max="26" width="9.83203125" style="149" customWidth="1"/>
    <col min="27" max="16384" width="8.83203125" style="149"/>
  </cols>
  <sheetData>
    <row r="1" spans="1:24" s="179" customFormat="1" ht="12">
      <c r="A1" s="147" t="str">
        <f>muni&amp;" - "&amp;TableA4</f>
        <v>NW373 Rustenburg - Supporting Table SA4 Reconciliation of IDP strategic objectives and budget (revenue)</v>
      </c>
      <c r="B1" s="147"/>
      <c r="C1" s="147"/>
      <c r="D1" s="147"/>
      <c r="E1" s="147"/>
      <c r="F1" s="147"/>
      <c r="G1" s="147"/>
      <c r="H1" s="147"/>
      <c r="I1" s="147"/>
      <c r="J1" s="147"/>
      <c r="K1" s="147"/>
      <c r="L1" s="147"/>
      <c r="M1" s="147"/>
    </row>
    <row r="2" spans="1:24" ht="28.5" customHeight="1">
      <c r="A2" s="975" t="s">
        <v>976</v>
      </c>
      <c r="B2" s="984" t="s">
        <v>1351</v>
      </c>
      <c r="C2" s="632" t="s">
        <v>2065</v>
      </c>
      <c r="D2" s="2791" t="str">
        <f>head27</f>
        <v>Ref</v>
      </c>
      <c r="E2" s="145" t="str">
        <f>head1b</f>
        <v>2009/10</v>
      </c>
      <c r="F2" s="150" t="str">
        <f>head1A</f>
        <v>2010/11</v>
      </c>
      <c r="G2" s="146" t="str">
        <f>Head1</f>
        <v>2011/12</v>
      </c>
      <c r="H2" s="2765" t="str">
        <f>Head2</f>
        <v>Current Year 2012/13</v>
      </c>
      <c r="I2" s="2766"/>
      <c r="J2" s="2770"/>
      <c r="K2" s="2762" t="str">
        <f>Head3</f>
        <v>2013/14 Medium Term Revenue &amp; Expenditure Framework</v>
      </c>
      <c r="L2" s="2763"/>
      <c r="M2" s="2764"/>
    </row>
    <row r="3" spans="1:24" ht="20">
      <c r="A3" s="991" t="s">
        <v>667</v>
      </c>
      <c r="B3" s="990"/>
      <c r="C3" s="990"/>
      <c r="D3" s="2797"/>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row>
    <row r="4" spans="1:24" ht="93.75" customHeight="1">
      <c r="A4" s="2610" t="s">
        <v>2413</v>
      </c>
      <c r="B4" s="2528" t="s">
        <v>2414</v>
      </c>
      <c r="C4" s="1701" t="s">
        <v>408</v>
      </c>
      <c r="D4" s="441"/>
      <c r="E4" s="1696"/>
      <c r="F4" s="1697"/>
      <c r="G4" s="1697"/>
      <c r="H4" s="1700"/>
      <c r="I4" s="1700"/>
      <c r="J4" s="1700"/>
      <c r="K4" s="1700"/>
      <c r="L4" s="1696"/>
      <c r="M4" s="1697"/>
      <c r="N4" s="446"/>
      <c r="O4" s="446"/>
      <c r="P4" s="255"/>
      <c r="Q4" s="255"/>
      <c r="R4" s="255"/>
      <c r="S4" s="255"/>
      <c r="T4" s="255"/>
      <c r="U4" s="255"/>
      <c r="V4" s="255"/>
      <c r="W4" s="255"/>
      <c r="X4" s="255"/>
    </row>
    <row r="5" spans="1:24" ht="14.25" customHeight="1">
      <c r="A5" s="2539"/>
      <c r="B5" s="2528"/>
      <c r="C5" s="1701"/>
      <c r="D5" s="441"/>
      <c r="E5" s="1696"/>
      <c r="F5" s="1697"/>
      <c r="G5" s="1697"/>
      <c r="H5" s="1700"/>
      <c r="I5" s="1700"/>
      <c r="J5" s="1700"/>
      <c r="K5" s="1700"/>
      <c r="L5" s="1696"/>
      <c r="M5" s="1697"/>
      <c r="N5" s="446"/>
      <c r="O5" s="446"/>
      <c r="P5" s="255"/>
      <c r="Q5" s="255"/>
      <c r="R5" s="255"/>
      <c r="S5" s="255"/>
      <c r="T5" s="255"/>
      <c r="U5" s="255"/>
      <c r="V5" s="255"/>
      <c r="W5" s="255"/>
      <c r="X5" s="255"/>
    </row>
    <row r="6" spans="1:24" ht="106.5" customHeight="1">
      <c r="A6" s="2539"/>
      <c r="B6" s="2528" t="s">
        <v>3951</v>
      </c>
      <c r="C6" s="1701"/>
      <c r="D6" s="441"/>
      <c r="E6" s="1696"/>
      <c r="F6" s="1697"/>
      <c r="G6" s="1697"/>
      <c r="H6" s="1700"/>
      <c r="I6" s="1700"/>
      <c r="J6" s="1700"/>
      <c r="K6" s="1700"/>
      <c r="L6" s="1696"/>
      <c r="M6" s="1697"/>
      <c r="N6" s="446"/>
      <c r="O6" s="446"/>
      <c r="P6" s="255"/>
      <c r="Q6" s="255"/>
      <c r="R6" s="255"/>
      <c r="S6" s="255"/>
      <c r="T6" s="255"/>
      <c r="U6" s="255"/>
      <c r="V6" s="255"/>
      <c r="W6" s="255"/>
      <c r="X6" s="255"/>
    </row>
    <row r="7" spans="1:24" ht="16.5" customHeight="1">
      <c r="A7" s="2539"/>
      <c r="B7" s="2580"/>
      <c r="C7" s="1701"/>
      <c r="D7" s="441"/>
      <c r="E7" s="1696"/>
      <c r="F7" s="1697"/>
      <c r="G7" s="1697"/>
      <c r="H7" s="1700"/>
      <c r="I7" s="1700"/>
      <c r="J7" s="1700"/>
      <c r="K7" s="1700"/>
      <c r="L7" s="1696"/>
      <c r="M7" s="1697"/>
      <c r="N7" s="446"/>
      <c r="O7" s="446"/>
      <c r="P7" s="255"/>
      <c r="Q7" s="255"/>
      <c r="R7" s="255"/>
      <c r="S7" s="255"/>
      <c r="T7" s="255"/>
      <c r="U7" s="255"/>
      <c r="V7" s="255"/>
      <c r="W7" s="255"/>
      <c r="X7" s="255"/>
    </row>
    <row r="8" spans="1:24" ht="103.5" customHeight="1">
      <c r="A8" s="2539"/>
      <c r="B8" s="2528" t="s">
        <v>2415</v>
      </c>
      <c r="C8" s="1701"/>
      <c r="D8" s="441"/>
      <c r="E8" s="1696"/>
      <c r="F8" s="1697"/>
      <c r="G8" s="1697"/>
      <c r="H8" s="1700"/>
      <c r="I8" s="1700"/>
      <c r="J8" s="1700"/>
      <c r="K8" s="1700"/>
      <c r="L8" s="1696"/>
      <c r="M8" s="1697"/>
      <c r="N8" s="446"/>
      <c r="O8" s="446"/>
      <c r="P8" s="255"/>
      <c r="Q8" s="255"/>
      <c r="R8" s="255"/>
      <c r="S8" s="255"/>
      <c r="T8" s="255"/>
      <c r="U8" s="255"/>
      <c r="V8" s="255"/>
      <c r="W8" s="255"/>
      <c r="X8" s="255"/>
    </row>
    <row r="9" spans="1:24" ht="14.25" customHeight="1">
      <c r="A9" s="2539"/>
      <c r="B9" s="2528"/>
      <c r="C9" s="1701"/>
      <c r="D9" s="441"/>
      <c r="E9" s="1696"/>
      <c r="F9" s="1697"/>
      <c r="G9" s="1697"/>
      <c r="H9" s="1700"/>
      <c r="I9" s="1700"/>
      <c r="J9" s="1700"/>
      <c r="K9" s="1700"/>
      <c r="L9" s="1696"/>
      <c r="M9" s="1697"/>
      <c r="N9" s="309"/>
      <c r="O9" s="309"/>
      <c r="P9" s="255"/>
      <c r="Q9" s="255"/>
      <c r="R9" s="255"/>
      <c r="S9" s="255"/>
      <c r="T9" s="255"/>
      <c r="U9" s="255"/>
      <c r="V9" s="255"/>
      <c r="W9" s="255"/>
      <c r="X9" s="255"/>
    </row>
    <row r="10" spans="1:24" ht="141.75" customHeight="1">
      <c r="A10" s="2539"/>
      <c r="B10" s="2528" t="s">
        <v>3952</v>
      </c>
      <c r="C10" s="1701"/>
      <c r="D10" s="441"/>
      <c r="E10" s="1696"/>
      <c r="F10" s="1697"/>
      <c r="G10" s="1697"/>
      <c r="H10" s="1700"/>
      <c r="I10" s="1700"/>
      <c r="J10" s="1700"/>
      <c r="K10" s="1700"/>
      <c r="L10" s="1696"/>
      <c r="M10" s="1697"/>
      <c r="N10" s="246"/>
      <c r="O10" s="246"/>
      <c r="P10" s="255"/>
      <c r="Q10" s="255"/>
      <c r="R10" s="255"/>
      <c r="S10" s="255"/>
      <c r="T10" s="255"/>
      <c r="U10" s="255"/>
      <c r="V10" s="255"/>
      <c r="W10" s="255"/>
      <c r="X10" s="255"/>
    </row>
    <row r="11" spans="1:24" ht="14.25" customHeight="1">
      <c r="A11" s="2539"/>
      <c r="B11" s="2528"/>
      <c r="C11" s="1701"/>
      <c r="D11" s="441"/>
      <c r="E11" s="1696"/>
      <c r="F11" s="1697"/>
      <c r="G11" s="1697"/>
      <c r="H11" s="1700"/>
      <c r="I11" s="1700"/>
      <c r="J11" s="1700"/>
      <c r="K11" s="1700"/>
      <c r="L11" s="1696"/>
      <c r="M11" s="1697"/>
      <c r="N11" s="246"/>
      <c r="O11" s="246"/>
      <c r="P11" s="255"/>
      <c r="Q11" s="255"/>
      <c r="R11" s="255"/>
      <c r="S11" s="255"/>
      <c r="T11" s="255"/>
      <c r="U11" s="255"/>
      <c r="V11" s="255"/>
      <c r="W11" s="255"/>
      <c r="X11" s="255"/>
    </row>
    <row r="12" spans="1:24" ht="105" customHeight="1">
      <c r="A12" s="2539"/>
      <c r="B12" s="2528" t="s">
        <v>2416</v>
      </c>
      <c r="C12" s="1701"/>
      <c r="D12" s="441"/>
      <c r="E12" s="1696"/>
      <c r="F12" s="1697"/>
      <c r="G12" s="1697"/>
      <c r="H12" s="1700"/>
      <c r="I12" s="1700"/>
      <c r="J12" s="1700"/>
      <c r="K12" s="1700"/>
      <c r="L12" s="1696"/>
      <c r="M12" s="1697"/>
      <c r="N12" s="246"/>
      <c r="O12" s="246"/>
      <c r="P12" s="255"/>
      <c r="Q12" s="255"/>
      <c r="R12" s="255"/>
      <c r="S12" s="255"/>
      <c r="T12" s="255"/>
      <c r="U12" s="255"/>
      <c r="V12" s="255"/>
      <c r="W12" s="255"/>
      <c r="X12" s="255"/>
    </row>
    <row r="13" spans="1:24" ht="16.5" customHeight="1">
      <c r="A13" s="2539"/>
      <c r="B13" s="2528"/>
      <c r="C13" s="1701"/>
      <c r="D13" s="441"/>
      <c r="E13" s="1696"/>
      <c r="F13" s="1697"/>
      <c r="G13" s="1697"/>
      <c r="H13" s="1700"/>
      <c r="I13" s="1700"/>
      <c r="J13" s="1700"/>
      <c r="K13" s="1700"/>
      <c r="L13" s="1696"/>
      <c r="M13" s="1697"/>
      <c r="N13" s="246"/>
      <c r="O13" s="246"/>
      <c r="P13" s="255"/>
      <c r="Q13" s="255"/>
      <c r="R13" s="255"/>
      <c r="S13" s="255"/>
      <c r="T13" s="255"/>
      <c r="U13" s="255"/>
      <c r="V13" s="255"/>
      <c r="W13" s="255"/>
      <c r="X13" s="255"/>
    </row>
    <row r="14" spans="1:24" ht="129" customHeight="1">
      <c r="A14" s="2539"/>
      <c r="B14" s="2528" t="s">
        <v>2417</v>
      </c>
      <c r="C14" s="1701"/>
      <c r="D14" s="441"/>
      <c r="E14" s="1696"/>
      <c r="F14" s="1697"/>
      <c r="G14" s="1697"/>
      <c r="H14" s="1700"/>
      <c r="I14" s="1700"/>
      <c r="J14" s="1700"/>
      <c r="K14" s="1700"/>
      <c r="L14" s="1696"/>
      <c r="M14" s="1697"/>
      <c r="N14" s="246"/>
      <c r="O14" s="246"/>
      <c r="P14" s="255"/>
      <c r="Q14" s="255"/>
      <c r="R14" s="255"/>
      <c r="S14" s="255"/>
      <c r="T14" s="255"/>
      <c r="U14" s="255"/>
      <c r="V14" s="255"/>
      <c r="W14" s="255"/>
      <c r="X14" s="255"/>
    </row>
    <row r="15" spans="1:24" ht="15" customHeight="1">
      <c r="A15" s="2539"/>
      <c r="B15" s="2528"/>
      <c r="C15" s="1701"/>
      <c r="D15" s="441"/>
      <c r="E15" s="1696"/>
      <c r="F15" s="1697"/>
      <c r="G15" s="1697"/>
      <c r="H15" s="1700"/>
      <c r="I15" s="1700"/>
      <c r="J15" s="1700"/>
      <c r="K15" s="1700"/>
      <c r="L15" s="1696"/>
      <c r="M15" s="1697"/>
      <c r="N15" s="246"/>
      <c r="O15" s="246"/>
      <c r="P15" s="255"/>
      <c r="Q15" s="255"/>
      <c r="R15" s="255"/>
      <c r="S15" s="255"/>
      <c r="T15" s="255"/>
      <c r="U15" s="255"/>
      <c r="V15" s="255"/>
      <c r="W15" s="255"/>
      <c r="X15" s="255"/>
    </row>
    <row r="16" spans="1:24" ht="67.5" customHeight="1">
      <c r="A16" s="2539"/>
      <c r="B16" s="2528" t="s">
        <v>2418</v>
      </c>
      <c r="C16" s="1701"/>
      <c r="D16" s="441"/>
      <c r="E16" s="1696"/>
      <c r="F16" s="1697"/>
      <c r="G16" s="1697"/>
      <c r="H16" s="1700"/>
      <c r="I16" s="1700"/>
      <c r="J16" s="1700"/>
      <c r="K16" s="1700"/>
      <c r="L16" s="1696"/>
      <c r="M16" s="1697"/>
      <c r="N16" s="246"/>
      <c r="O16" s="246"/>
      <c r="P16" s="255"/>
      <c r="Q16" s="255"/>
      <c r="R16" s="255"/>
      <c r="S16" s="255"/>
      <c r="T16" s="255"/>
      <c r="U16" s="255"/>
      <c r="V16" s="255"/>
      <c r="W16" s="255"/>
      <c r="X16" s="255"/>
    </row>
    <row r="17" spans="1:24" ht="12.75" customHeight="1">
      <c r="A17" s="2580"/>
      <c r="B17" s="2527"/>
      <c r="C17" s="1701"/>
      <c r="D17" s="441"/>
      <c r="E17" s="1696"/>
      <c r="F17" s="1697"/>
      <c r="G17" s="1697"/>
      <c r="H17" s="1700"/>
      <c r="I17" s="1700"/>
      <c r="J17" s="1700"/>
      <c r="K17" s="1700"/>
      <c r="L17" s="1696"/>
      <c r="M17" s="1697"/>
      <c r="N17" s="246"/>
      <c r="O17" s="246"/>
      <c r="P17" s="255"/>
      <c r="Q17" s="255"/>
      <c r="R17" s="255"/>
      <c r="S17" s="255"/>
      <c r="T17" s="255"/>
      <c r="U17" s="255"/>
      <c r="V17" s="255"/>
      <c r="W17" s="255"/>
      <c r="X17" s="255"/>
    </row>
    <row r="18" spans="1:24" ht="68.25" customHeight="1">
      <c r="A18" s="2580"/>
      <c r="B18" s="2527"/>
      <c r="C18" s="1701"/>
      <c r="D18" s="441"/>
      <c r="E18" s="1696"/>
      <c r="F18" s="1697"/>
      <c r="G18" s="1697"/>
      <c r="H18" s="1700"/>
      <c r="I18" s="1700"/>
      <c r="J18" s="1700"/>
      <c r="K18" s="1700"/>
      <c r="L18" s="1696"/>
      <c r="M18" s="1697"/>
      <c r="N18" s="246"/>
      <c r="O18" s="246"/>
      <c r="P18" s="255"/>
      <c r="Q18" s="255"/>
      <c r="R18" s="255"/>
      <c r="S18" s="255"/>
      <c r="T18" s="255"/>
      <c r="U18" s="255"/>
      <c r="V18" s="255"/>
      <c r="W18" s="255"/>
      <c r="X18" s="255"/>
    </row>
    <row r="19" spans="1:24" ht="14.25" customHeight="1">
      <c r="A19" s="2533" t="s">
        <v>2419</v>
      </c>
      <c r="B19" s="2527" t="s">
        <v>2420</v>
      </c>
      <c r="C19" s="1701" t="s">
        <v>1340</v>
      </c>
      <c r="D19" s="441"/>
      <c r="E19" s="1696"/>
      <c r="F19" s="1697"/>
      <c r="G19" s="1697"/>
      <c r="H19" s="1700"/>
      <c r="I19" s="1700"/>
      <c r="J19" s="1700"/>
      <c r="K19" s="1700"/>
      <c r="L19" s="1696"/>
      <c r="M19" s="1697"/>
      <c r="N19" s="246"/>
      <c r="O19" s="246"/>
      <c r="P19" s="255"/>
      <c r="Q19" s="255"/>
      <c r="R19" s="255"/>
      <c r="S19" s="255"/>
      <c r="T19" s="255"/>
      <c r="U19" s="255"/>
      <c r="V19" s="255"/>
      <c r="W19" s="255"/>
      <c r="X19" s="255"/>
    </row>
    <row r="20" spans="1:24" ht="103.5" customHeight="1">
      <c r="A20" s="2539"/>
      <c r="B20" s="2528"/>
      <c r="C20" s="1701"/>
      <c r="D20" s="441"/>
      <c r="E20" s="1696"/>
      <c r="F20" s="1697"/>
      <c r="G20" s="1697"/>
      <c r="H20" s="1700"/>
      <c r="I20" s="1700"/>
      <c r="J20" s="1700"/>
      <c r="K20" s="1700"/>
      <c r="L20" s="1696"/>
      <c r="M20" s="1697"/>
      <c r="N20" s="246"/>
      <c r="O20" s="246"/>
      <c r="P20" s="255"/>
      <c r="Q20" s="255"/>
      <c r="R20" s="255"/>
      <c r="S20" s="255"/>
      <c r="T20" s="255"/>
      <c r="U20" s="255"/>
      <c r="V20" s="255"/>
      <c r="W20" s="255"/>
      <c r="X20" s="255"/>
    </row>
    <row r="21" spans="1:24" ht="14.25" customHeight="1">
      <c r="A21" s="2539"/>
      <c r="B21" s="2527" t="s">
        <v>2421</v>
      </c>
      <c r="C21" s="1701"/>
      <c r="D21" s="441"/>
      <c r="E21" s="1696"/>
      <c r="F21" s="1697"/>
      <c r="G21" s="1697"/>
      <c r="H21" s="1700"/>
      <c r="I21" s="1700"/>
      <c r="J21" s="1700"/>
      <c r="K21" s="1700"/>
      <c r="L21" s="1696"/>
      <c r="M21" s="1697"/>
      <c r="N21" s="246"/>
      <c r="O21" s="246"/>
      <c r="P21" s="255"/>
      <c r="Q21" s="255"/>
      <c r="R21" s="255"/>
      <c r="S21" s="255"/>
      <c r="T21" s="255"/>
      <c r="U21" s="255"/>
      <c r="V21" s="255"/>
      <c r="W21" s="255"/>
      <c r="X21" s="255"/>
    </row>
    <row r="22" spans="1:24" ht="105.75" customHeight="1">
      <c r="A22" s="2539"/>
      <c r="B22" s="2528"/>
      <c r="C22" s="1701"/>
      <c r="D22" s="441"/>
      <c r="E22" s="1696"/>
      <c r="F22" s="1697"/>
      <c r="G22" s="1697"/>
      <c r="H22" s="1700"/>
      <c r="I22" s="1700"/>
      <c r="J22" s="1700"/>
      <c r="K22" s="1700"/>
      <c r="L22" s="1696"/>
      <c r="M22" s="1697"/>
      <c r="N22" s="246"/>
      <c r="O22" s="246"/>
      <c r="P22" s="255"/>
      <c r="Q22" s="255"/>
      <c r="R22" s="255"/>
      <c r="S22" s="255"/>
      <c r="T22" s="255"/>
      <c r="U22" s="255"/>
      <c r="V22" s="255"/>
      <c r="W22" s="255"/>
      <c r="X22" s="255"/>
    </row>
    <row r="23" spans="1:24" ht="13.5" customHeight="1">
      <c r="A23" s="2539"/>
      <c r="B23" s="2527" t="s">
        <v>2474</v>
      </c>
      <c r="C23" s="1701"/>
      <c r="D23" s="441"/>
      <c r="E23" s="1696"/>
      <c r="F23" s="1697"/>
      <c r="G23" s="1697"/>
      <c r="H23" s="1700"/>
      <c r="I23" s="1700"/>
      <c r="J23" s="1700"/>
      <c r="K23" s="1700"/>
      <c r="L23" s="1696"/>
      <c r="M23" s="1697"/>
      <c r="N23" s="246"/>
      <c r="O23" s="246"/>
      <c r="P23" s="255"/>
      <c r="Q23" s="255"/>
      <c r="R23" s="255"/>
      <c r="S23" s="255"/>
      <c r="T23" s="255"/>
      <c r="U23" s="255"/>
      <c r="V23" s="255"/>
      <c r="W23" s="255"/>
      <c r="X23" s="255"/>
    </row>
    <row r="24" spans="1:24" ht="155.25" customHeight="1">
      <c r="A24" s="2539"/>
      <c r="B24" s="2528"/>
      <c r="C24" s="1701"/>
      <c r="D24" s="441"/>
      <c r="E24" s="1696"/>
      <c r="F24" s="1697"/>
      <c r="G24" s="1697"/>
      <c r="H24" s="1700"/>
      <c r="I24" s="1700"/>
      <c r="J24" s="1700"/>
      <c r="K24" s="1700"/>
      <c r="L24" s="1696"/>
      <c r="M24" s="1697"/>
      <c r="N24" s="246"/>
      <c r="O24" s="246"/>
      <c r="P24" s="255"/>
      <c r="Q24" s="255"/>
      <c r="R24" s="255"/>
      <c r="S24" s="255"/>
      <c r="T24" s="255"/>
      <c r="U24" s="255"/>
      <c r="V24" s="255"/>
      <c r="W24" s="255"/>
      <c r="X24" s="255"/>
    </row>
    <row r="25" spans="1:24" ht="13.5" customHeight="1">
      <c r="A25" s="2539"/>
      <c r="B25" s="2527" t="s">
        <v>2475</v>
      </c>
      <c r="C25" s="1701"/>
      <c r="D25" s="441"/>
      <c r="E25" s="1696"/>
      <c r="F25" s="1697"/>
      <c r="G25" s="1697"/>
      <c r="H25" s="1700"/>
      <c r="I25" s="1700"/>
      <c r="J25" s="1700"/>
      <c r="K25" s="1700"/>
      <c r="L25" s="1696"/>
      <c r="M25" s="1697"/>
      <c r="N25" s="246"/>
      <c r="O25" s="246"/>
      <c r="P25" s="255"/>
      <c r="Q25" s="255"/>
      <c r="R25" s="255"/>
      <c r="S25" s="255"/>
      <c r="T25" s="255"/>
      <c r="U25" s="255"/>
      <c r="V25" s="255"/>
      <c r="W25" s="255"/>
      <c r="X25" s="255"/>
    </row>
    <row r="26" spans="1:24" ht="70.5" customHeight="1">
      <c r="A26" s="2539"/>
      <c r="B26" s="2528"/>
      <c r="C26" s="1701"/>
      <c r="D26" s="441"/>
      <c r="E26" s="1696"/>
      <c r="F26" s="1697"/>
      <c r="G26" s="1697"/>
      <c r="H26" s="1700"/>
      <c r="I26" s="1700"/>
      <c r="J26" s="1700"/>
      <c r="K26" s="1700"/>
      <c r="L26" s="1696"/>
      <c r="M26" s="1697"/>
      <c r="N26" s="246"/>
      <c r="O26" s="246"/>
      <c r="P26" s="255"/>
      <c r="Q26" s="255"/>
      <c r="R26" s="255"/>
      <c r="S26" s="255"/>
      <c r="T26" s="255"/>
      <c r="U26" s="255"/>
      <c r="V26" s="255"/>
      <c r="W26" s="255"/>
      <c r="X26" s="255"/>
    </row>
    <row r="27" spans="1:24" ht="46.5" customHeight="1">
      <c r="A27" s="2539"/>
      <c r="B27" s="2527" t="s">
        <v>2476</v>
      </c>
      <c r="C27" s="1701"/>
      <c r="D27" s="441"/>
      <c r="E27" s="1696"/>
      <c r="F27" s="1697"/>
      <c r="G27" s="1697"/>
      <c r="H27" s="1700"/>
      <c r="I27" s="1700"/>
      <c r="J27" s="1700"/>
      <c r="K27" s="1700"/>
      <c r="L27" s="1696"/>
      <c r="M27" s="1697"/>
      <c r="N27" s="246"/>
      <c r="O27" s="246"/>
      <c r="P27" s="255"/>
      <c r="Q27" s="255"/>
      <c r="R27" s="255"/>
      <c r="S27" s="255"/>
      <c r="T27" s="255"/>
      <c r="U27" s="255"/>
      <c r="V27" s="255"/>
      <c r="W27" s="255"/>
      <c r="X27" s="255"/>
    </row>
    <row r="28" spans="1:24" ht="16.5" customHeight="1">
      <c r="A28" s="2539"/>
      <c r="B28" s="2528"/>
      <c r="C28" s="1701"/>
      <c r="D28" s="441"/>
      <c r="E28" s="1696"/>
      <c r="F28" s="1697"/>
      <c r="G28" s="1697"/>
      <c r="H28" s="1700"/>
      <c r="I28" s="1700"/>
      <c r="J28" s="1700"/>
      <c r="K28" s="1700"/>
      <c r="L28" s="1696"/>
      <c r="M28" s="1697"/>
      <c r="N28" s="246"/>
      <c r="O28" s="246"/>
      <c r="P28" s="255"/>
      <c r="Q28" s="255"/>
      <c r="R28" s="255"/>
      <c r="S28" s="255"/>
      <c r="T28" s="255"/>
      <c r="U28" s="255"/>
      <c r="V28" s="255"/>
      <c r="W28" s="255"/>
      <c r="X28" s="255"/>
    </row>
    <row r="29" spans="1:24" ht="131.25" customHeight="1">
      <c r="A29" s="2539"/>
      <c r="B29" s="2527" t="s">
        <v>2477</v>
      </c>
      <c r="C29" s="1701"/>
      <c r="D29" s="441"/>
      <c r="E29" s="1696"/>
      <c r="F29" s="1697"/>
      <c r="G29" s="1697"/>
      <c r="H29" s="1700"/>
      <c r="I29" s="1700"/>
      <c r="J29" s="1700"/>
      <c r="K29" s="1700"/>
      <c r="L29" s="1696"/>
      <c r="M29" s="1697"/>
      <c r="N29" s="246"/>
      <c r="O29" s="246"/>
      <c r="P29" s="255"/>
      <c r="Q29" s="255"/>
      <c r="R29" s="255"/>
      <c r="S29" s="255"/>
      <c r="T29" s="255"/>
      <c r="U29" s="255"/>
      <c r="V29" s="255"/>
      <c r="W29" s="255"/>
      <c r="X29" s="255"/>
    </row>
    <row r="30" spans="1:24" ht="15" customHeight="1">
      <c r="A30" s="2539"/>
      <c r="B30" s="2528"/>
      <c r="C30" s="1701"/>
      <c r="D30" s="441"/>
      <c r="E30" s="1696"/>
      <c r="F30" s="1697"/>
      <c r="G30" s="1697"/>
      <c r="H30" s="1700"/>
      <c r="I30" s="1700"/>
      <c r="J30" s="1700"/>
      <c r="K30" s="1700"/>
      <c r="L30" s="1696"/>
      <c r="M30" s="1697"/>
      <c r="N30" s="246"/>
      <c r="O30" s="246"/>
      <c r="P30" s="255"/>
      <c r="Q30" s="255"/>
      <c r="R30" s="255"/>
      <c r="S30" s="255"/>
      <c r="T30" s="255"/>
      <c r="U30" s="255"/>
      <c r="V30" s="255"/>
      <c r="W30" s="255"/>
      <c r="X30" s="255"/>
    </row>
    <row r="31" spans="1:24" ht="94.5" customHeight="1">
      <c r="A31" s="2539"/>
      <c r="B31" s="2527" t="s">
        <v>2478</v>
      </c>
      <c r="C31" s="1701"/>
      <c r="D31" s="441"/>
      <c r="E31" s="1696"/>
      <c r="F31" s="1697"/>
      <c r="G31" s="1697"/>
      <c r="H31" s="1700"/>
      <c r="I31" s="1700"/>
      <c r="J31" s="1700"/>
      <c r="K31" s="1700"/>
      <c r="L31" s="1696"/>
      <c r="M31" s="1697"/>
      <c r="N31" s="246"/>
      <c r="O31" s="246"/>
      <c r="P31" s="255"/>
      <c r="Q31" s="255"/>
      <c r="R31" s="255"/>
      <c r="S31" s="255"/>
      <c r="T31" s="255"/>
      <c r="U31" s="255"/>
      <c r="V31" s="255"/>
      <c r="W31" s="255"/>
      <c r="X31" s="255"/>
    </row>
    <row r="32" spans="1:24" ht="12.75" customHeight="1">
      <c r="A32" s="2580"/>
      <c r="B32" s="2527"/>
      <c r="C32" s="1701"/>
      <c r="D32" s="441"/>
      <c r="E32" s="1696"/>
      <c r="F32" s="1697"/>
      <c r="G32" s="1697"/>
      <c r="H32" s="1700"/>
      <c r="I32" s="1700"/>
      <c r="J32" s="1700"/>
      <c r="K32" s="1700"/>
      <c r="L32" s="1696"/>
      <c r="M32" s="1697"/>
      <c r="N32" s="246"/>
      <c r="O32" s="246"/>
      <c r="P32" s="202"/>
      <c r="Q32" s="202"/>
      <c r="R32" s="202"/>
      <c r="S32" s="202"/>
      <c r="T32" s="202"/>
      <c r="U32" s="202"/>
      <c r="V32" s="202"/>
      <c r="W32" s="202"/>
      <c r="X32" s="202"/>
    </row>
    <row r="33" spans="1:24" ht="42" customHeight="1">
      <c r="A33" s="2533" t="s">
        <v>2479</v>
      </c>
      <c r="B33" s="2527" t="s">
        <v>2480</v>
      </c>
      <c r="C33" s="1701"/>
      <c r="D33" s="441"/>
      <c r="E33" s="1696"/>
      <c r="F33" s="1697"/>
      <c r="G33" s="1697"/>
      <c r="H33" s="1700"/>
      <c r="I33" s="1700"/>
      <c r="J33" s="1700"/>
      <c r="K33" s="1700"/>
      <c r="L33" s="1696"/>
      <c r="M33" s="1697"/>
      <c r="N33" s="246"/>
      <c r="O33" s="246"/>
      <c r="P33" s="255"/>
      <c r="Q33" s="255"/>
      <c r="R33" s="255"/>
      <c r="S33" s="255"/>
      <c r="T33" s="255"/>
      <c r="U33" s="255"/>
      <c r="V33" s="255"/>
      <c r="W33" s="255"/>
      <c r="X33" s="255"/>
    </row>
    <row r="34" spans="1:24" ht="16.5" customHeight="1">
      <c r="A34" s="2539"/>
      <c r="B34" s="2528"/>
      <c r="C34" s="1701"/>
      <c r="D34" s="441"/>
      <c r="E34" s="1696"/>
      <c r="F34" s="1697"/>
      <c r="G34" s="1697"/>
      <c r="H34" s="1700"/>
      <c r="I34" s="1700"/>
      <c r="J34" s="1700"/>
      <c r="K34" s="1700"/>
      <c r="L34" s="1696"/>
      <c r="M34" s="1697"/>
      <c r="N34" s="246"/>
      <c r="O34" s="246"/>
      <c r="P34" s="246"/>
      <c r="Q34" s="246"/>
    </row>
    <row r="35" spans="1:24" ht="104.25" customHeight="1">
      <c r="A35" s="2539"/>
      <c r="B35" s="2527" t="s">
        <v>2481</v>
      </c>
      <c r="C35" s="1701"/>
      <c r="D35" s="441"/>
      <c r="E35" s="1696"/>
      <c r="F35" s="1697"/>
      <c r="G35" s="1697"/>
      <c r="H35" s="1700"/>
      <c r="I35" s="1700"/>
      <c r="J35" s="1700"/>
      <c r="K35" s="1700"/>
      <c r="L35" s="1696"/>
      <c r="M35" s="1697"/>
      <c r="N35" s="246"/>
      <c r="O35" s="246"/>
      <c r="P35" s="246"/>
      <c r="Q35" s="246"/>
    </row>
    <row r="36" spans="1:24" ht="15.75" customHeight="1">
      <c r="A36" s="2539"/>
      <c r="B36" s="2528"/>
      <c r="C36" s="1701"/>
      <c r="D36" s="441"/>
      <c r="E36" s="1696"/>
      <c r="F36" s="1697"/>
      <c r="G36" s="1697"/>
      <c r="H36" s="1700"/>
      <c r="I36" s="1700"/>
      <c r="J36" s="1700"/>
      <c r="K36" s="1700"/>
      <c r="L36" s="1696"/>
      <c r="M36" s="1697"/>
      <c r="N36" s="246"/>
      <c r="O36" s="246"/>
      <c r="P36" s="246"/>
      <c r="Q36" s="246"/>
    </row>
    <row r="37" spans="1:24" ht="56.25" customHeight="1">
      <c r="A37" s="2539"/>
      <c r="B37" s="2527" t="s">
        <v>2482</v>
      </c>
      <c r="C37" s="1701"/>
      <c r="D37" s="441"/>
      <c r="E37" s="1696"/>
      <c r="F37" s="1697"/>
      <c r="G37" s="1697"/>
      <c r="H37" s="1700"/>
      <c r="I37" s="1700"/>
      <c r="J37" s="1700"/>
      <c r="K37" s="1700"/>
      <c r="L37" s="1696"/>
      <c r="M37" s="1697"/>
      <c r="N37" s="246"/>
      <c r="O37" s="246"/>
      <c r="P37" s="246"/>
      <c r="Q37" s="246"/>
    </row>
    <row r="38" spans="1:24" ht="15" customHeight="1">
      <c r="A38" s="2539"/>
      <c r="B38" s="2528"/>
      <c r="C38" s="1701" t="s">
        <v>1340</v>
      </c>
      <c r="D38" s="441"/>
      <c r="E38" s="1696"/>
      <c r="F38" s="1697"/>
      <c r="G38" s="1697"/>
      <c r="H38" s="1700"/>
      <c r="I38" s="1700"/>
      <c r="J38" s="1700"/>
      <c r="K38" s="1700"/>
      <c r="L38" s="1696"/>
      <c r="M38" s="1697"/>
      <c r="N38" s="246"/>
      <c r="O38" s="246"/>
      <c r="P38" s="246"/>
      <c r="Q38" s="246"/>
    </row>
    <row r="39" spans="1:24" ht="130.5" customHeight="1">
      <c r="A39" s="2539"/>
      <c r="B39" s="2527" t="s">
        <v>2483</v>
      </c>
      <c r="C39" s="1701" t="s">
        <v>497</v>
      </c>
      <c r="D39" s="441"/>
      <c r="E39" s="1696"/>
      <c r="F39" s="1697"/>
      <c r="G39" s="1697"/>
      <c r="H39" s="1700"/>
      <c r="I39" s="1700"/>
      <c r="J39" s="1700"/>
      <c r="K39" s="1700"/>
      <c r="L39" s="1696"/>
      <c r="M39" s="1697"/>
      <c r="N39" s="246"/>
      <c r="O39" s="246"/>
      <c r="P39" s="246"/>
      <c r="Q39" s="246"/>
    </row>
    <row r="40" spans="1:24" ht="14.25" customHeight="1">
      <c r="A40" s="2539"/>
      <c r="B40" s="2528"/>
      <c r="C40" s="1701" t="s">
        <v>547</v>
      </c>
      <c r="D40" s="441"/>
      <c r="E40" s="1696"/>
      <c r="F40" s="1697"/>
      <c r="G40" s="1697"/>
      <c r="H40" s="1700"/>
      <c r="I40" s="1700"/>
      <c r="J40" s="1700"/>
      <c r="K40" s="1700"/>
      <c r="L40" s="1696"/>
      <c r="M40" s="1697"/>
      <c r="N40" s="246"/>
      <c r="O40" s="246"/>
      <c r="P40" s="246"/>
      <c r="Q40" s="246"/>
    </row>
    <row r="41" spans="1:24" ht="114.75" customHeight="1">
      <c r="A41" s="2539"/>
      <c r="B41" s="2527" t="s">
        <v>2484</v>
      </c>
      <c r="C41" s="1701" t="s">
        <v>1554</v>
      </c>
      <c r="D41" s="441"/>
      <c r="E41" s="1696"/>
      <c r="F41" s="1697"/>
      <c r="G41" s="1697"/>
      <c r="H41" s="1700"/>
      <c r="I41" s="1700"/>
      <c r="J41" s="1700"/>
      <c r="K41" s="1700"/>
      <c r="L41" s="1696"/>
      <c r="M41" s="1697"/>
      <c r="N41" s="246"/>
      <c r="O41" s="246"/>
      <c r="P41" s="246"/>
      <c r="Q41" s="246"/>
    </row>
    <row r="42" spans="1:24" ht="12.75" customHeight="1">
      <c r="A42" s="2539"/>
      <c r="B42" s="2528"/>
      <c r="C42" s="1701" t="s">
        <v>1555</v>
      </c>
      <c r="D42" s="441"/>
      <c r="E42" s="1696"/>
      <c r="F42" s="1697"/>
      <c r="G42" s="1697"/>
      <c r="H42" s="1700"/>
      <c r="I42" s="1700"/>
      <c r="J42" s="1700"/>
      <c r="K42" s="1700"/>
      <c r="L42" s="1696"/>
      <c r="M42" s="1697"/>
      <c r="N42" s="246"/>
      <c r="O42" s="246"/>
      <c r="P42" s="246"/>
      <c r="Q42" s="246"/>
    </row>
    <row r="43" spans="1:24" ht="103.5" customHeight="1">
      <c r="A43" s="2539"/>
      <c r="B43" s="2527" t="s">
        <v>2485</v>
      </c>
      <c r="C43" s="1701" t="s">
        <v>1556</v>
      </c>
      <c r="D43" s="441"/>
      <c r="E43" s="1696"/>
      <c r="F43" s="1697"/>
      <c r="G43" s="1697"/>
      <c r="H43" s="1700"/>
      <c r="I43" s="1700"/>
      <c r="J43" s="1700"/>
      <c r="K43" s="1700"/>
      <c r="L43" s="1696"/>
      <c r="M43" s="1697"/>
      <c r="N43" s="246"/>
      <c r="O43" s="246"/>
      <c r="P43" s="246"/>
      <c r="Q43" s="246"/>
    </row>
    <row r="44" spans="1:24" ht="15" customHeight="1">
      <c r="A44" s="2539"/>
      <c r="B44" s="2528"/>
      <c r="C44" s="1701" t="s">
        <v>561</v>
      </c>
      <c r="D44" s="441"/>
      <c r="E44" s="1696"/>
      <c r="F44" s="1697"/>
      <c r="G44" s="1697"/>
      <c r="H44" s="1700"/>
      <c r="I44" s="1700"/>
      <c r="J44" s="1700"/>
      <c r="K44" s="1700"/>
      <c r="L44" s="1696"/>
      <c r="M44" s="1697"/>
      <c r="N44" s="246"/>
      <c r="O44" s="246"/>
      <c r="P44" s="246"/>
      <c r="Q44" s="246"/>
    </row>
    <row r="45" spans="1:24" ht="66.75" customHeight="1">
      <c r="A45" s="2539"/>
      <c r="B45" s="2527" t="s">
        <v>2486</v>
      </c>
      <c r="C45" s="1701" t="s">
        <v>562</v>
      </c>
      <c r="D45" s="441"/>
      <c r="E45" s="1696"/>
      <c r="F45" s="1697"/>
      <c r="G45" s="1697"/>
      <c r="H45" s="1700"/>
      <c r="I45" s="1700"/>
      <c r="J45" s="1700"/>
      <c r="K45" s="1700"/>
      <c r="L45" s="1696"/>
      <c r="M45" s="1697"/>
      <c r="N45" s="246"/>
      <c r="O45" s="246"/>
      <c r="P45" s="246"/>
      <c r="Q45" s="246"/>
    </row>
    <row r="46" spans="1:24" ht="14.25" customHeight="1">
      <c r="A46" s="2580"/>
      <c r="B46" s="2527"/>
      <c r="C46" s="1701" t="s">
        <v>942</v>
      </c>
      <c r="D46" s="441"/>
      <c r="E46" s="1696"/>
      <c r="F46" s="1697"/>
      <c r="G46" s="1697"/>
      <c r="H46" s="1700"/>
      <c r="I46" s="1700"/>
      <c r="J46" s="1700"/>
      <c r="K46" s="1700"/>
      <c r="L46" s="1696"/>
      <c r="M46" s="1697"/>
      <c r="N46" s="246"/>
      <c r="O46" s="246"/>
      <c r="P46" s="246"/>
      <c r="Q46" s="246"/>
    </row>
    <row r="47" spans="1:24" ht="65.25" customHeight="1">
      <c r="A47" s="2611" t="s">
        <v>2487</v>
      </c>
      <c r="B47" s="2528" t="s">
        <v>2488</v>
      </c>
      <c r="C47" s="1701" t="s">
        <v>943</v>
      </c>
      <c r="D47" s="441"/>
      <c r="E47" s="1696"/>
      <c r="F47" s="1697"/>
      <c r="G47" s="1697"/>
      <c r="H47" s="1700"/>
      <c r="I47" s="1700"/>
      <c r="J47" s="1700"/>
      <c r="K47" s="1700"/>
      <c r="L47" s="1696"/>
      <c r="M47" s="1697"/>
      <c r="N47" s="245"/>
      <c r="O47" s="245"/>
      <c r="P47" s="245"/>
      <c r="Q47" s="245"/>
      <c r="R47" s="245"/>
      <c r="S47" s="245"/>
      <c r="T47" s="245"/>
      <c r="U47" s="245"/>
      <c r="V47" s="440"/>
    </row>
    <row r="48" spans="1:24" ht="14.25" customHeight="1">
      <c r="A48" s="2539"/>
      <c r="B48" s="2528"/>
      <c r="C48" s="1701" t="s">
        <v>944</v>
      </c>
      <c r="D48" s="441"/>
      <c r="E48" s="1696"/>
      <c r="F48" s="1697"/>
      <c r="G48" s="1697"/>
      <c r="H48" s="1700"/>
      <c r="I48" s="1700"/>
      <c r="J48" s="1700"/>
      <c r="K48" s="1700"/>
      <c r="L48" s="1696"/>
      <c r="M48" s="1697"/>
      <c r="N48" s="245"/>
      <c r="O48" s="245"/>
      <c r="P48" s="245"/>
      <c r="Q48" s="245"/>
      <c r="R48" s="245"/>
      <c r="S48" s="245"/>
      <c r="T48" s="245"/>
      <c r="U48" s="245"/>
      <c r="V48" s="440"/>
    </row>
    <row r="49" spans="1:22" ht="79.5" customHeight="1">
      <c r="A49" s="2539"/>
      <c r="B49" s="2528" t="s">
        <v>3953</v>
      </c>
      <c r="C49" s="1701" t="s">
        <v>945</v>
      </c>
      <c r="D49" s="441"/>
      <c r="E49" s="1696"/>
      <c r="F49" s="1697"/>
      <c r="G49" s="1697"/>
      <c r="H49" s="1700"/>
      <c r="I49" s="1700"/>
      <c r="J49" s="1700"/>
      <c r="K49" s="1700"/>
      <c r="L49" s="1696"/>
      <c r="M49" s="1697"/>
      <c r="N49" s="245"/>
      <c r="O49" s="245"/>
      <c r="P49" s="245"/>
      <c r="Q49" s="245"/>
      <c r="R49" s="245"/>
      <c r="S49" s="245"/>
      <c r="T49" s="245"/>
      <c r="U49" s="245"/>
      <c r="V49" s="440"/>
    </row>
    <row r="50" spans="1:22" ht="13.5" customHeight="1">
      <c r="A50" s="2539"/>
      <c r="B50" s="2528"/>
      <c r="C50" s="1701"/>
      <c r="D50" s="441"/>
      <c r="E50" s="1696"/>
      <c r="F50" s="1697"/>
      <c r="G50" s="1697"/>
      <c r="H50" s="1700"/>
      <c r="I50" s="1700"/>
      <c r="J50" s="1700"/>
      <c r="K50" s="1700"/>
      <c r="L50" s="1696"/>
      <c r="M50" s="1697"/>
      <c r="N50" s="245"/>
      <c r="O50" s="245"/>
      <c r="P50" s="245"/>
      <c r="Q50" s="245"/>
      <c r="R50" s="245"/>
      <c r="S50" s="245"/>
      <c r="T50" s="245"/>
      <c r="U50" s="245"/>
      <c r="V50" s="440"/>
    </row>
    <row r="51" spans="1:22" ht="90" customHeight="1">
      <c r="A51" s="2539"/>
      <c r="B51" s="2528" t="s">
        <v>3954</v>
      </c>
      <c r="C51" s="1701"/>
      <c r="D51" s="441"/>
      <c r="E51" s="1696"/>
      <c r="F51" s="1697"/>
      <c r="G51" s="1697"/>
      <c r="H51" s="1700"/>
      <c r="I51" s="1700"/>
      <c r="J51" s="1700"/>
      <c r="K51" s="1700"/>
      <c r="L51" s="1696"/>
      <c r="M51" s="1697"/>
      <c r="N51" s="245"/>
      <c r="O51" s="245"/>
      <c r="P51" s="245"/>
      <c r="Q51" s="245"/>
      <c r="R51" s="245"/>
      <c r="S51" s="245"/>
      <c r="T51" s="245"/>
      <c r="U51" s="245"/>
      <c r="V51" s="440"/>
    </row>
    <row r="52" spans="1:22" ht="14.25" customHeight="1">
      <c r="A52" s="2539"/>
      <c r="B52" s="2528"/>
      <c r="C52" s="1701"/>
      <c r="D52" s="441"/>
      <c r="E52" s="1696"/>
      <c r="F52" s="1696"/>
      <c r="G52" s="1697"/>
      <c r="H52" s="1698"/>
      <c r="I52" s="1696"/>
      <c r="J52" s="1699"/>
      <c r="K52" s="1700"/>
      <c r="L52" s="1696"/>
      <c r="M52" s="1697"/>
      <c r="N52" s="245"/>
      <c r="O52" s="245"/>
      <c r="P52" s="245"/>
      <c r="Q52" s="245"/>
      <c r="R52" s="245"/>
      <c r="S52" s="245"/>
      <c r="T52" s="245"/>
      <c r="U52" s="245"/>
      <c r="V52" s="440"/>
    </row>
    <row r="53" spans="1:22" ht="96">
      <c r="A53" s="2539"/>
      <c r="B53" s="2528" t="s">
        <v>2489</v>
      </c>
      <c r="C53" s="1701"/>
      <c r="D53" s="441"/>
      <c r="E53" s="1696"/>
      <c r="F53" s="1696"/>
      <c r="G53" s="1697"/>
      <c r="H53" s="1698"/>
      <c r="I53" s="1696"/>
      <c r="J53" s="1699"/>
      <c r="K53" s="1700"/>
      <c r="L53" s="1696"/>
      <c r="M53" s="1697"/>
      <c r="N53" s="245"/>
      <c r="O53" s="245"/>
      <c r="P53" s="245"/>
      <c r="Q53" s="245"/>
      <c r="R53" s="245"/>
      <c r="S53" s="245"/>
      <c r="T53" s="245"/>
      <c r="U53" s="245"/>
    </row>
    <row r="54" spans="1:22" ht="12">
      <c r="A54" s="2580"/>
      <c r="B54" s="2527"/>
      <c r="C54" s="1701"/>
      <c r="D54" s="441"/>
      <c r="E54" s="1696"/>
      <c r="F54" s="1696"/>
      <c r="G54" s="1697"/>
      <c r="H54" s="1698"/>
      <c r="I54" s="1696"/>
      <c r="J54" s="1699"/>
      <c r="K54" s="1700"/>
      <c r="L54" s="1696"/>
      <c r="M54" s="1697"/>
      <c r="N54" s="245"/>
      <c r="O54" s="245"/>
      <c r="P54" s="245"/>
      <c r="Q54" s="245"/>
      <c r="R54" s="245"/>
      <c r="S54" s="245"/>
      <c r="T54" s="245"/>
      <c r="U54" s="245"/>
    </row>
    <row r="55" spans="1:22" ht="60">
      <c r="A55" s="2533" t="s">
        <v>2490</v>
      </c>
      <c r="B55" s="2527" t="s">
        <v>2491</v>
      </c>
      <c r="C55" s="1701">
        <v>0</v>
      </c>
      <c r="D55" s="441"/>
      <c r="E55" s="1696"/>
      <c r="F55" s="1696"/>
      <c r="G55" s="1697"/>
      <c r="H55" s="1698"/>
      <c r="I55" s="1696"/>
      <c r="J55" s="1699"/>
      <c r="K55" s="1700"/>
      <c r="L55" s="1696"/>
      <c r="M55" s="1697"/>
      <c r="N55" s="245"/>
      <c r="O55" s="245"/>
      <c r="P55" s="245"/>
      <c r="Q55" s="245"/>
      <c r="R55" s="245"/>
      <c r="S55" s="245"/>
      <c r="T55" s="245"/>
      <c r="U55" s="245"/>
    </row>
    <row r="56" spans="1:22" ht="12">
      <c r="A56" s="2539"/>
      <c r="B56" s="2527"/>
      <c r="C56" s="1701" t="s">
        <v>947</v>
      </c>
      <c r="D56" s="441"/>
      <c r="E56" s="1696"/>
      <c r="F56" s="1696"/>
      <c r="G56" s="1697"/>
      <c r="H56" s="1698"/>
      <c r="I56" s="1696"/>
      <c r="J56" s="1699"/>
      <c r="K56" s="1700"/>
      <c r="L56" s="1696"/>
      <c r="M56" s="1697"/>
      <c r="N56" s="245"/>
      <c r="O56" s="245"/>
      <c r="P56" s="245"/>
      <c r="Q56" s="245"/>
      <c r="R56" s="245"/>
      <c r="S56" s="245"/>
      <c r="T56" s="245"/>
      <c r="U56" s="245"/>
    </row>
    <row r="57" spans="1:22" ht="67.5" customHeight="1">
      <c r="A57" s="2526" t="s">
        <v>2535</v>
      </c>
      <c r="B57" s="2527" t="s">
        <v>2496</v>
      </c>
      <c r="C57" s="1701"/>
      <c r="D57" s="441"/>
      <c r="E57" s="1696">
        <v>1336103127</v>
      </c>
      <c r="F57" s="1696">
        <v>1598003415</v>
      </c>
      <c r="G57" s="1697">
        <v>1729413104</v>
      </c>
      <c r="H57" s="1698">
        <v>2257117558</v>
      </c>
      <c r="I57" s="1696">
        <v>2230922317</v>
      </c>
      <c r="J57" s="1699">
        <v>2230922317</v>
      </c>
      <c r="K57" s="1700">
        <v>2101836530</v>
      </c>
      <c r="L57" s="1696">
        <v>2284716853</v>
      </c>
      <c r="M57" s="1697">
        <v>2567005770</v>
      </c>
      <c r="N57" s="245"/>
      <c r="O57" s="245"/>
      <c r="P57" s="245"/>
      <c r="Q57" s="245"/>
      <c r="R57" s="245"/>
      <c r="S57" s="245"/>
      <c r="T57" s="245"/>
      <c r="U57" s="245"/>
    </row>
    <row r="58" spans="1:22" ht="12">
      <c r="A58" s="2539"/>
      <c r="B58" s="2527"/>
      <c r="C58" s="1701"/>
      <c r="D58" s="441"/>
      <c r="E58" s="1696"/>
      <c r="F58" s="1696"/>
      <c r="G58" s="1697"/>
      <c r="H58" s="1698"/>
      <c r="I58" s="1696"/>
      <c r="J58" s="1699"/>
      <c r="K58" s="1700"/>
      <c r="L58" s="1696"/>
      <c r="M58" s="1697"/>
      <c r="N58" s="245"/>
      <c r="O58" s="245"/>
      <c r="P58" s="245"/>
      <c r="Q58" s="245"/>
      <c r="R58" s="245"/>
      <c r="S58" s="245"/>
      <c r="T58" s="245"/>
      <c r="U58" s="245"/>
    </row>
    <row r="59" spans="1:22" ht="93" customHeight="1">
      <c r="A59" s="2539"/>
      <c r="B59" s="2527" t="s">
        <v>2497</v>
      </c>
      <c r="C59" s="1701"/>
      <c r="D59" s="441"/>
      <c r="E59" s="1696">
        <v>3023148</v>
      </c>
      <c r="F59" s="1696">
        <v>1812492</v>
      </c>
      <c r="G59" s="1697">
        <v>122167</v>
      </c>
      <c r="H59" s="1698">
        <v>276512</v>
      </c>
      <c r="I59" s="1696">
        <v>271545</v>
      </c>
      <c r="J59" s="1699">
        <v>271545</v>
      </c>
      <c r="K59" s="1700">
        <v>290545</v>
      </c>
      <c r="L59" s="1696">
        <v>305073</v>
      </c>
      <c r="M59" s="1697">
        <v>322157</v>
      </c>
      <c r="N59" s="245"/>
      <c r="O59" s="245"/>
      <c r="P59" s="245"/>
      <c r="Q59" s="245"/>
      <c r="R59" s="245"/>
      <c r="S59" s="245"/>
      <c r="T59" s="245"/>
      <c r="U59" s="245"/>
    </row>
    <row r="60" spans="1:22" ht="12">
      <c r="A60" s="2539"/>
      <c r="B60" s="2528"/>
      <c r="C60" s="1701"/>
      <c r="D60" s="441"/>
      <c r="E60" s="1696"/>
      <c r="F60" s="1696"/>
      <c r="G60" s="1697"/>
      <c r="H60" s="1698"/>
      <c r="I60" s="1696"/>
      <c r="J60" s="1699"/>
      <c r="K60" s="1700"/>
      <c r="L60" s="1696"/>
      <c r="M60" s="1697"/>
      <c r="N60" s="245"/>
      <c r="O60" s="245"/>
      <c r="P60" s="245"/>
      <c r="Q60" s="245"/>
      <c r="R60" s="245"/>
      <c r="S60" s="245"/>
      <c r="T60" s="245"/>
      <c r="U60" s="245"/>
    </row>
    <row r="61" spans="1:22" ht="53.25" customHeight="1">
      <c r="A61" s="2539"/>
      <c r="B61" s="2527" t="s">
        <v>2498</v>
      </c>
      <c r="C61" s="1701"/>
      <c r="D61" s="441"/>
      <c r="E61" s="1696"/>
      <c r="F61" s="1696"/>
      <c r="G61" s="1697"/>
      <c r="H61" s="1698"/>
      <c r="I61" s="1696"/>
      <c r="J61" s="1699"/>
      <c r="K61" s="1700">
        <v>0</v>
      </c>
      <c r="L61" s="1696">
        <v>0</v>
      </c>
      <c r="M61" s="1697">
        <v>0</v>
      </c>
      <c r="N61" s="245"/>
      <c r="O61" s="245"/>
      <c r="P61" s="245"/>
      <c r="Q61" s="245"/>
      <c r="R61" s="245"/>
      <c r="S61" s="245"/>
      <c r="T61" s="245"/>
      <c r="U61" s="245"/>
    </row>
    <row r="62" spans="1:22" ht="12">
      <c r="A62" s="2539"/>
      <c r="B62" s="2528"/>
      <c r="C62" s="1701"/>
      <c r="D62" s="441"/>
      <c r="E62" s="1696"/>
      <c r="F62" s="1696"/>
      <c r="G62" s="1697"/>
      <c r="H62" s="1698"/>
      <c r="I62" s="1696"/>
      <c r="J62" s="1699"/>
      <c r="K62" s="1700"/>
      <c r="L62" s="1696"/>
      <c r="M62" s="1697"/>
      <c r="N62" s="245"/>
      <c r="O62" s="245"/>
      <c r="P62" s="245"/>
      <c r="Q62" s="245"/>
      <c r="R62" s="245"/>
      <c r="S62" s="245"/>
      <c r="T62" s="245"/>
      <c r="U62" s="245"/>
    </row>
    <row r="63" spans="1:22" ht="48">
      <c r="A63" s="2539"/>
      <c r="B63" s="2527" t="s">
        <v>2499</v>
      </c>
      <c r="C63" s="1701"/>
      <c r="D63" s="441"/>
      <c r="E63" s="1696"/>
      <c r="F63" s="1696"/>
      <c r="G63" s="1697"/>
      <c r="H63" s="1698"/>
      <c r="I63" s="1696"/>
      <c r="J63" s="1699"/>
      <c r="K63" s="1700">
        <v>0</v>
      </c>
      <c r="L63" s="1696">
        <v>0</v>
      </c>
      <c r="M63" s="1697">
        <v>0</v>
      </c>
      <c r="N63" s="245"/>
      <c r="O63" s="245"/>
      <c r="P63" s="245"/>
      <c r="Q63" s="245"/>
      <c r="R63" s="245"/>
      <c r="S63" s="245"/>
      <c r="T63" s="245"/>
      <c r="U63" s="245"/>
    </row>
    <row r="64" spans="1:22" ht="12">
      <c r="A64" s="2539"/>
      <c r="B64" s="2528"/>
      <c r="C64" s="1701"/>
      <c r="D64" s="441"/>
      <c r="E64" s="1696"/>
      <c r="F64" s="1696"/>
      <c r="G64" s="1697"/>
      <c r="H64" s="1698"/>
      <c r="I64" s="1696"/>
      <c r="J64" s="1699"/>
      <c r="K64" s="1700"/>
      <c r="L64" s="1696"/>
      <c r="M64" s="1697"/>
      <c r="N64" s="245"/>
      <c r="O64" s="245"/>
      <c r="P64" s="245"/>
      <c r="Q64" s="245"/>
      <c r="R64" s="245"/>
      <c r="S64" s="245"/>
      <c r="T64" s="245"/>
      <c r="U64" s="245"/>
    </row>
    <row r="65" spans="1:21" ht="24">
      <c r="A65" s="2539"/>
      <c r="B65" s="2527" t="s">
        <v>2500</v>
      </c>
      <c r="C65" s="1701"/>
      <c r="D65" s="441"/>
      <c r="E65" s="1696">
        <v>102013165</v>
      </c>
      <c r="F65" s="1696">
        <v>52468598</v>
      </c>
      <c r="G65" s="1697">
        <v>1098498</v>
      </c>
      <c r="H65" s="1698">
        <v>3829053</v>
      </c>
      <c r="I65" s="1696">
        <v>14513996</v>
      </c>
      <c r="J65" s="1699">
        <v>14513996</v>
      </c>
      <c r="K65" s="1700">
        <v>27403205</v>
      </c>
      <c r="L65" s="1696">
        <v>18347620</v>
      </c>
      <c r="M65" s="1697">
        <v>19088053</v>
      </c>
      <c r="N65" s="245"/>
      <c r="O65" s="245"/>
      <c r="P65" s="245"/>
      <c r="Q65" s="245"/>
      <c r="R65" s="245"/>
      <c r="S65" s="245"/>
      <c r="T65" s="245"/>
      <c r="U65" s="245"/>
    </row>
    <row r="66" spans="1:21" ht="12">
      <c r="A66" s="2580"/>
      <c r="B66" s="2527"/>
      <c r="C66" s="1701"/>
      <c r="D66" s="441"/>
      <c r="E66" s="1696"/>
      <c r="F66" s="1696"/>
      <c r="G66" s="1697"/>
      <c r="H66" s="1698"/>
      <c r="I66" s="1696"/>
      <c r="J66" s="1699"/>
      <c r="K66" s="1700"/>
      <c r="L66" s="1696"/>
      <c r="M66" s="1697"/>
      <c r="N66" s="245"/>
      <c r="O66" s="245"/>
      <c r="P66" s="245"/>
      <c r="Q66" s="245"/>
      <c r="R66" s="245"/>
      <c r="S66" s="245"/>
      <c r="T66" s="245"/>
      <c r="U66" s="245"/>
    </row>
    <row r="67" spans="1:21" ht="60">
      <c r="A67" s="2533" t="s">
        <v>2501</v>
      </c>
      <c r="B67" s="2527" t="s">
        <v>2502</v>
      </c>
      <c r="C67" s="1701"/>
      <c r="D67" s="441"/>
      <c r="E67" s="1696"/>
      <c r="F67" s="1696"/>
      <c r="G67" s="1697"/>
      <c r="H67" s="1698"/>
      <c r="I67" s="1696"/>
      <c r="J67" s="1699"/>
      <c r="K67" s="1700">
        <v>0</v>
      </c>
      <c r="L67" s="1696">
        <v>0</v>
      </c>
      <c r="M67" s="1697">
        <v>0</v>
      </c>
      <c r="N67" s="245"/>
      <c r="O67" s="245"/>
      <c r="P67" s="245"/>
      <c r="Q67" s="245"/>
      <c r="R67" s="245"/>
      <c r="S67" s="245"/>
      <c r="T67" s="245"/>
      <c r="U67" s="245"/>
    </row>
    <row r="68" spans="1:21" ht="12">
      <c r="A68" s="2539"/>
      <c r="B68" s="2528"/>
      <c r="C68" s="1701"/>
      <c r="D68" s="441"/>
      <c r="E68" s="1696"/>
      <c r="F68" s="1696"/>
      <c r="G68" s="1697"/>
      <c r="H68" s="1698"/>
      <c r="I68" s="1696"/>
      <c r="J68" s="1699"/>
      <c r="K68" s="1700"/>
      <c r="L68" s="1696"/>
      <c r="M68" s="1697"/>
      <c r="N68" s="245"/>
      <c r="O68" s="245"/>
      <c r="P68" s="245"/>
      <c r="Q68" s="245"/>
      <c r="R68" s="245"/>
      <c r="S68" s="245"/>
      <c r="T68" s="245"/>
      <c r="U68" s="245"/>
    </row>
    <row r="69" spans="1:21" ht="84">
      <c r="A69" s="2539"/>
      <c r="B69" s="2527" t="s">
        <v>2503</v>
      </c>
      <c r="C69" s="1701"/>
      <c r="D69" s="441"/>
      <c r="E69" s="1696"/>
      <c r="F69" s="1696"/>
      <c r="G69" s="1697"/>
      <c r="H69" s="1698"/>
      <c r="I69" s="1696"/>
      <c r="J69" s="1699"/>
      <c r="K69" s="1700">
        <v>0</v>
      </c>
      <c r="L69" s="1696">
        <v>0</v>
      </c>
      <c r="M69" s="1697">
        <v>0</v>
      </c>
      <c r="N69" s="245"/>
      <c r="O69" s="245"/>
      <c r="P69" s="245"/>
      <c r="Q69" s="245"/>
      <c r="R69" s="245"/>
      <c r="S69" s="245"/>
      <c r="T69" s="245"/>
      <c r="U69" s="245"/>
    </row>
    <row r="70" spans="1:21" ht="12">
      <c r="A70" s="2539"/>
      <c r="B70" s="2528"/>
      <c r="C70" s="1701"/>
      <c r="D70" s="441"/>
      <c r="E70" s="1696"/>
      <c r="F70" s="1696"/>
      <c r="G70" s="1697"/>
      <c r="H70" s="1698"/>
      <c r="I70" s="1696"/>
      <c r="J70" s="1699"/>
      <c r="K70" s="1700"/>
      <c r="L70" s="1696"/>
      <c r="M70" s="1697"/>
      <c r="N70" s="245"/>
      <c r="O70" s="245"/>
      <c r="P70" s="245"/>
      <c r="Q70" s="245"/>
      <c r="R70" s="245"/>
      <c r="S70" s="245"/>
      <c r="T70" s="245"/>
      <c r="U70" s="245"/>
    </row>
    <row r="71" spans="1:21" ht="84">
      <c r="A71" s="2539"/>
      <c r="B71" s="2527" t="s">
        <v>2504</v>
      </c>
      <c r="C71" s="1701"/>
      <c r="D71" s="441"/>
      <c r="E71" s="1696">
        <v>14035</v>
      </c>
      <c r="F71" s="1696">
        <v>3509</v>
      </c>
      <c r="G71" s="1697">
        <v>19298</v>
      </c>
      <c r="H71" s="1698">
        <v>365075</v>
      </c>
      <c r="I71" s="1696">
        <v>365075</v>
      </c>
      <c r="J71" s="1699">
        <v>365075</v>
      </c>
      <c r="K71" s="1700">
        <v>407910</v>
      </c>
      <c r="L71" s="1696">
        <v>431910</v>
      </c>
      <c r="M71" s="1697">
        <v>410637</v>
      </c>
      <c r="N71" s="245"/>
      <c r="O71" s="245"/>
      <c r="P71" s="245"/>
      <c r="Q71" s="245"/>
      <c r="R71" s="245"/>
      <c r="S71" s="245"/>
      <c r="T71" s="245"/>
      <c r="U71" s="245"/>
    </row>
    <row r="72" spans="1:21" ht="12">
      <c r="A72" s="2539"/>
      <c r="B72" s="2528"/>
      <c r="C72" s="1701"/>
      <c r="D72" s="441"/>
      <c r="E72" s="1696"/>
      <c r="F72" s="1696"/>
      <c r="G72" s="1697"/>
      <c r="H72" s="1698"/>
      <c r="I72" s="1696"/>
      <c r="J72" s="1699"/>
      <c r="K72" s="1700"/>
      <c r="L72" s="1696"/>
      <c r="M72" s="1697"/>
      <c r="N72" s="245"/>
      <c r="O72" s="245"/>
      <c r="P72" s="245"/>
      <c r="Q72" s="245"/>
      <c r="R72" s="245"/>
      <c r="S72" s="245"/>
      <c r="T72" s="245"/>
      <c r="U72" s="245"/>
    </row>
    <row r="73" spans="1:21" ht="60">
      <c r="A73" s="2539"/>
      <c r="B73" s="2527" t="s">
        <v>2505</v>
      </c>
      <c r="C73" s="1701"/>
      <c r="D73" s="441"/>
      <c r="E73" s="1696"/>
      <c r="F73" s="1696"/>
      <c r="G73" s="1697"/>
      <c r="H73" s="1698"/>
      <c r="I73" s="1696"/>
      <c r="J73" s="1699"/>
      <c r="K73" s="1700">
        <v>0</v>
      </c>
      <c r="L73" s="1696">
        <v>0</v>
      </c>
      <c r="M73" s="1697">
        <v>0</v>
      </c>
      <c r="N73" s="245"/>
      <c r="O73" s="245"/>
      <c r="P73" s="245"/>
      <c r="Q73" s="245"/>
      <c r="R73" s="245"/>
      <c r="S73" s="245"/>
      <c r="T73" s="245"/>
      <c r="U73" s="245"/>
    </row>
    <row r="74" spans="1:21" ht="12">
      <c r="A74" s="2539"/>
      <c r="B74" s="2528"/>
      <c r="C74" s="1701"/>
      <c r="D74" s="441"/>
      <c r="E74" s="1696"/>
      <c r="F74" s="1696"/>
      <c r="G74" s="1697"/>
      <c r="H74" s="1698"/>
      <c r="I74" s="1696"/>
      <c r="J74" s="1699"/>
      <c r="K74" s="1700"/>
      <c r="L74" s="1696"/>
      <c r="M74" s="1697"/>
      <c r="N74" s="245"/>
      <c r="O74" s="245"/>
      <c r="P74" s="245"/>
      <c r="Q74" s="245"/>
      <c r="R74" s="245"/>
      <c r="S74" s="245"/>
      <c r="T74" s="245"/>
      <c r="U74" s="245"/>
    </row>
    <row r="75" spans="1:21" ht="60">
      <c r="A75" s="2539"/>
      <c r="B75" s="2527" t="s">
        <v>2506</v>
      </c>
      <c r="C75" s="1701"/>
      <c r="D75" s="441"/>
      <c r="E75" s="1696"/>
      <c r="F75" s="1696"/>
      <c r="G75" s="1697"/>
      <c r="H75" s="1698"/>
      <c r="I75" s="1696"/>
      <c r="J75" s="1699"/>
      <c r="K75" s="1700">
        <v>0</v>
      </c>
      <c r="L75" s="1696">
        <v>0</v>
      </c>
      <c r="M75" s="1697">
        <v>0</v>
      </c>
      <c r="N75" s="245"/>
      <c r="O75" s="245"/>
      <c r="P75" s="245"/>
      <c r="Q75" s="245"/>
      <c r="R75" s="245"/>
      <c r="S75" s="245"/>
      <c r="T75" s="245"/>
      <c r="U75" s="245"/>
    </row>
    <row r="76" spans="1:21" ht="12">
      <c r="A76" s="2539"/>
      <c r="B76" s="2528"/>
      <c r="C76" s="1701"/>
      <c r="D76" s="441"/>
      <c r="E76" s="1696"/>
      <c r="F76" s="1696"/>
      <c r="G76" s="1697"/>
      <c r="H76" s="1698"/>
      <c r="I76" s="1696"/>
      <c r="J76" s="1699"/>
      <c r="K76" s="1700"/>
      <c r="L76" s="1696"/>
      <c r="M76" s="1697"/>
      <c r="N76" s="245"/>
      <c r="O76" s="245"/>
      <c r="P76" s="245"/>
      <c r="Q76" s="245"/>
      <c r="R76" s="245"/>
      <c r="S76" s="245"/>
      <c r="T76" s="245"/>
      <c r="U76" s="245"/>
    </row>
    <row r="77" spans="1:21" ht="48">
      <c r="A77" s="2539"/>
      <c r="B77" s="2527" t="s">
        <v>2507</v>
      </c>
      <c r="C77" s="1701"/>
      <c r="D77" s="441"/>
      <c r="E77" s="1696"/>
      <c r="F77" s="1696"/>
      <c r="G77" s="1697"/>
      <c r="H77" s="1698"/>
      <c r="I77" s="1696"/>
      <c r="J77" s="1699"/>
      <c r="K77" s="1700">
        <v>0</v>
      </c>
      <c r="L77" s="1696">
        <v>0</v>
      </c>
      <c r="M77" s="1697">
        <v>0</v>
      </c>
      <c r="N77" s="245"/>
      <c r="O77" s="245"/>
      <c r="P77" s="245"/>
      <c r="Q77" s="245"/>
      <c r="R77" s="245"/>
      <c r="S77" s="245"/>
      <c r="T77" s="245"/>
      <c r="U77" s="245"/>
    </row>
    <row r="78" spans="1:21" ht="12">
      <c r="A78" s="2539"/>
      <c r="B78" s="2528"/>
      <c r="C78" s="1701"/>
      <c r="D78" s="441"/>
      <c r="E78" s="1696"/>
      <c r="F78" s="1696"/>
      <c r="G78" s="1697"/>
      <c r="H78" s="1698"/>
      <c r="I78" s="1696"/>
      <c r="J78" s="1699"/>
      <c r="K78" s="1700"/>
      <c r="L78" s="1696"/>
      <c r="M78" s="1697"/>
      <c r="N78" s="245"/>
      <c r="O78" s="245"/>
      <c r="P78" s="245"/>
      <c r="Q78" s="245"/>
      <c r="R78" s="245"/>
      <c r="S78" s="245"/>
      <c r="T78" s="245"/>
      <c r="U78" s="245"/>
    </row>
    <row r="79" spans="1:21" ht="60">
      <c r="A79" s="2539"/>
      <c r="B79" s="2527" t="s">
        <v>2508</v>
      </c>
      <c r="C79" s="1701"/>
      <c r="D79" s="441"/>
      <c r="E79" s="1696">
        <v>1809545</v>
      </c>
      <c r="F79" s="1696">
        <v>1443561</v>
      </c>
      <c r="G79" s="1697">
        <v>743820</v>
      </c>
      <c r="H79" s="1698">
        <v>1987390</v>
      </c>
      <c r="I79" s="1696">
        <v>2103091</v>
      </c>
      <c r="J79" s="1699">
        <v>2103091</v>
      </c>
      <c r="K79" s="1700">
        <v>2191650</v>
      </c>
      <c r="L79" s="1696">
        <v>2299246</v>
      </c>
      <c r="M79" s="1697">
        <v>2358896</v>
      </c>
      <c r="N79" s="245"/>
      <c r="O79" s="245"/>
      <c r="P79" s="245"/>
      <c r="Q79" s="245"/>
      <c r="R79" s="245"/>
      <c r="S79" s="245"/>
      <c r="T79" s="245"/>
      <c r="U79" s="245"/>
    </row>
    <row r="80" spans="1:21" ht="12">
      <c r="A80" s="2580"/>
      <c r="B80" s="2527"/>
      <c r="C80" s="1701"/>
      <c r="D80" s="441"/>
      <c r="E80" s="1696"/>
      <c r="F80" s="1696"/>
      <c r="G80" s="1697"/>
      <c r="H80" s="1698"/>
      <c r="I80" s="1696"/>
      <c r="J80" s="1699"/>
      <c r="K80" s="1700"/>
      <c r="L80" s="1696"/>
      <c r="M80" s="1697"/>
      <c r="N80" s="245"/>
      <c r="O80" s="245"/>
      <c r="P80" s="245"/>
      <c r="Q80" s="245"/>
      <c r="R80" s="245"/>
      <c r="S80" s="245"/>
      <c r="T80" s="245"/>
      <c r="U80" s="245"/>
    </row>
    <row r="81" spans="1:21" ht="84">
      <c r="A81" s="2533" t="s">
        <v>2509</v>
      </c>
      <c r="B81" s="2527" t="s">
        <v>2510</v>
      </c>
      <c r="C81" s="1701"/>
      <c r="D81" s="441"/>
      <c r="E81" s="1696"/>
      <c r="F81" s="1696"/>
      <c r="G81" s="1697"/>
      <c r="H81" s="1698"/>
      <c r="I81" s="1696"/>
      <c r="J81" s="1699"/>
      <c r="K81" s="1700">
        <v>0</v>
      </c>
      <c r="L81" s="1696">
        <v>0</v>
      </c>
      <c r="M81" s="1697">
        <v>0</v>
      </c>
      <c r="N81" s="245"/>
      <c r="O81" s="245"/>
      <c r="P81" s="245"/>
      <c r="Q81" s="245"/>
      <c r="R81" s="245"/>
      <c r="S81" s="245"/>
      <c r="T81" s="245"/>
      <c r="U81" s="245"/>
    </row>
    <row r="82" spans="1:21" ht="12">
      <c r="A82" s="2539"/>
      <c r="B82" s="2528"/>
      <c r="C82" s="1701"/>
      <c r="D82" s="441"/>
      <c r="E82" s="1696"/>
      <c r="F82" s="1696"/>
      <c r="G82" s="1697"/>
      <c r="H82" s="1698"/>
      <c r="I82" s="1696"/>
      <c r="J82" s="1699"/>
      <c r="K82" s="1700"/>
      <c r="L82" s="1696"/>
      <c r="M82" s="1697"/>
      <c r="N82" s="245"/>
      <c r="O82" s="245"/>
      <c r="P82" s="245"/>
      <c r="Q82" s="245"/>
      <c r="R82" s="245"/>
      <c r="S82" s="245"/>
      <c r="T82" s="245"/>
      <c r="U82" s="245"/>
    </row>
    <row r="83" spans="1:21" ht="48">
      <c r="A83" s="2539"/>
      <c r="B83" s="2527" t="s">
        <v>2511</v>
      </c>
      <c r="C83" s="1701"/>
      <c r="D83" s="441"/>
      <c r="E83" s="1696">
        <v>25753407</v>
      </c>
      <c r="F83" s="1696">
        <v>27507496</v>
      </c>
      <c r="G83" s="1697">
        <v>24298246</v>
      </c>
      <c r="H83" s="1698">
        <v>206490002</v>
      </c>
      <c r="I83" s="1696">
        <v>219368435</v>
      </c>
      <c r="J83" s="1699">
        <v>219368435</v>
      </c>
      <c r="K83" s="1700">
        <v>242386618</v>
      </c>
      <c r="L83" s="1696">
        <v>248769351</v>
      </c>
      <c r="M83" s="1697">
        <v>263383428</v>
      </c>
      <c r="N83" s="245"/>
      <c r="O83" s="245"/>
      <c r="P83" s="245"/>
      <c r="Q83" s="245"/>
      <c r="R83" s="245"/>
      <c r="S83" s="245"/>
      <c r="T83" s="245"/>
      <c r="U83" s="245"/>
    </row>
    <row r="84" spans="1:21" ht="12">
      <c r="A84" s="2539"/>
      <c r="B84" s="2528"/>
      <c r="C84" s="1701"/>
      <c r="D84" s="441"/>
      <c r="E84" s="1696"/>
      <c r="F84" s="1696"/>
      <c r="G84" s="1697"/>
      <c r="H84" s="1698"/>
      <c r="I84" s="1696"/>
      <c r="J84" s="1699"/>
      <c r="K84" s="1700"/>
      <c r="L84" s="1696"/>
      <c r="M84" s="1697"/>
      <c r="N84" s="245"/>
      <c r="O84" s="245"/>
      <c r="P84" s="245"/>
      <c r="Q84" s="245"/>
      <c r="R84" s="245"/>
      <c r="S84" s="245"/>
      <c r="T84" s="245"/>
      <c r="U84" s="245"/>
    </row>
    <row r="85" spans="1:21" ht="48">
      <c r="A85" s="2539"/>
      <c r="B85" s="2527" t="s">
        <v>2512</v>
      </c>
      <c r="C85" s="1701"/>
      <c r="D85" s="441"/>
      <c r="E85" s="1696">
        <v>1478020</v>
      </c>
      <c r="F85" s="1696">
        <v>3010719</v>
      </c>
      <c r="G85" s="1697">
        <v>1920675</v>
      </c>
      <c r="H85" s="1698">
        <v>2520600</v>
      </c>
      <c r="I85" s="1696">
        <v>4404345</v>
      </c>
      <c r="J85" s="1699">
        <v>4404345</v>
      </c>
      <c r="K85" s="1700">
        <v>4593769</v>
      </c>
      <c r="L85" s="1696">
        <v>4783208</v>
      </c>
      <c r="M85" s="1697">
        <v>4973018</v>
      </c>
      <c r="N85" s="245"/>
      <c r="O85" s="245"/>
      <c r="P85" s="245"/>
      <c r="Q85" s="245"/>
      <c r="R85" s="245"/>
      <c r="S85" s="245"/>
      <c r="T85" s="245"/>
      <c r="U85" s="245"/>
    </row>
    <row r="86" spans="1:21" ht="12">
      <c r="A86" s="2539"/>
      <c r="B86" s="2528"/>
      <c r="C86" s="1701"/>
      <c r="D86" s="441"/>
      <c r="E86" s="1696"/>
      <c r="F86" s="1696"/>
      <c r="G86" s="1697"/>
      <c r="H86" s="1698"/>
      <c r="I86" s="1696"/>
      <c r="J86" s="1699"/>
      <c r="K86" s="1700"/>
      <c r="L86" s="1696"/>
      <c r="M86" s="1697"/>
      <c r="N86" s="245"/>
      <c r="O86" s="245"/>
      <c r="P86" s="245"/>
      <c r="Q86" s="245"/>
      <c r="R86" s="245"/>
      <c r="S86" s="245"/>
      <c r="T86" s="245"/>
      <c r="U86" s="245"/>
    </row>
    <row r="87" spans="1:21" ht="84">
      <c r="A87" s="2539"/>
      <c r="B87" s="2527" t="s">
        <v>2513</v>
      </c>
      <c r="C87" s="1701"/>
      <c r="D87" s="441"/>
      <c r="E87" s="1696"/>
      <c r="F87" s="1696"/>
      <c r="G87" s="1697"/>
      <c r="H87" s="1698"/>
      <c r="I87" s="1696"/>
      <c r="J87" s="1699"/>
      <c r="K87" s="1700">
        <v>0</v>
      </c>
      <c r="L87" s="1696">
        <v>0</v>
      </c>
      <c r="M87" s="1697">
        <v>0</v>
      </c>
      <c r="N87" s="245"/>
      <c r="O87" s="245"/>
      <c r="P87" s="245"/>
      <c r="Q87" s="245"/>
      <c r="R87" s="245"/>
      <c r="S87" s="245"/>
      <c r="T87" s="245"/>
      <c r="U87" s="245"/>
    </row>
    <row r="88" spans="1:21" ht="12">
      <c r="A88" s="2580"/>
      <c r="B88" s="2527"/>
      <c r="C88" s="1701"/>
      <c r="D88" s="441"/>
      <c r="E88" s="1696"/>
      <c r="F88" s="1696"/>
      <c r="G88" s="1697"/>
      <c r="H88" s="1698"/>
      <c r="I88" s="1696"/>
      <c r="J88" s="1699"/>
      <c r="K88" s="1700"/>
      <c r="L88" s="1696"/>
      <c r="M88" s="1697"/>
      <c r="N88" s="245"/>
      <c r="O88" s="245"/>
      <c r="P88" s="245"/>
      <c r="Q88" s="245"/>
      <c r="R88" s="245"/>
      <c r="S88" s="245"/>
      <c r="T88" s="245"/>
      <c r="U88" s="245"/>
    </row>
    <row r="89" spans="1:21" ht="48">
      <c r="A89" s="2533" t="s">
        <v>2514</v>
      </c>
      <c r="B89" s="2527" t="s">
        <v>2515</v>
      </c>
      <c r="C89" s="1701"/>
      <c r="D89" s="441"/>
      <c r="E89" s="1696">
        <v>13080598</v>
      </c>
      <c r="F89" s="1696">
        <v>20235724</v>
      </c>
      <c r="G89" s="1697">
        <v>7618739</v>
      </c>
      <c r="H89" s="1698">
        <v>3445688</v>
      </c>
      <c r="I89" s="1696">
        <v>3084632</v>
      </c>
      <c r="J89" s="1699">
        <v>3084632</v>
      </c>
      <c r="K89" s="1700">
        <v>3599743</v>
      </c>
      <c r="L89" s="1696">
        <v>3759315</v>
      </c>
      <c r="M89" s="1697">
        <v>3795611</v>
      </c>
      <c r="N89" s="245"/>
      <c r="O89" s="245"/>
      <c r="P89" s="245"/>
      <c r="Q89" s="245"/>
      <c r="R89" s="245"/>
      <c r="S89" s="245"/>
      <c r="T89" s="245"/>
      <c r="U89" s="245"/>
    </row>
    <row r="90" spans="1:21" ht="12">
      <c r="A90" s="2539"/>
      <c r="B90" s="2528"/>
      <c r="C90" s="1701"/>
      <c r="D90" s="441"/>
      <c r="E90" s="1696"/>
      <c r="F90" s="1696"/>
      <c r="G90" s="1697"/>
      <c r="H90" s="1698"/>
      <c r="I90" s="1696"/>
      <c r="J90" s="1699"/>
      <c r="K90" s="1700"/>
      <c r="L90" s="1696"/>
      <c r="M90" s="1697"/>
      <c r="N90" s="245"/>
      <c r="O90" s="245"/>
      <c r="P90" s="245"/>
      <c r="Q90" s="245"/>
      <c r="R90" s="245"/>
      <c r="S90" s="245"/>
      <c r="T90" s="245"/>
      <c r="U90" s="245"/>
    </row>
    <row r="91" spans="1:21" ht="48">
      <c r="A91" s="2539"/>
      <c r="B91" s="2527" t="s">
        <v>2516</v>
      </c>
      <c r="C91" s="1701"/>
      <c r="D91" s="441"/>
      <c r="E91" s="1696">
        <v>1301922</v>
      </c>
      <c r="F91" s="1696">
        <v>2851</v>
      </c>
      <c r="G91" s="1697">
        <v>673889</v>
      </c>
      <c r="H91" s="1698">
        <v>3000</v>
      </c>
      <c r="I91" s="1696">
        <v>363636</v>
      </c>
      <c r="J91" s="1699">
        <v>363636</v>
      </c>
      <c r="K91" s="1700">
        <v>3150</v>
      </c>
      <c r="L91" s="1696">
        <v>3308</v>
      </c>
      <c r="M91" s="1697">
        <v>3493</v>
      </c>
      <c r="N91" s="245"/>
      <c r="O91" s="245"/>
      <c r="P91" s="245"/>
      <c r="Q91" s="245"/>
      <c r="R91" s="245"/>
      <c r="S91" s="245"/>
      <c r="T91" s="245"/>
      <c r="U91" s="245"/>
    </row>
    <row r="92" spans="1:21" ht="12">
      <c r="A92" s="2580"/>
      <c r="B92" s="2527"/>
      <c r="C92" s="1701"/>
      <c r="D92" s="441"/>
      <c r="E92" s="1696"/>
      <c r="F92" s="1696"/>
      <c r="G92" s="1697"/>
      <c r="H92" s="1698"/>
      <c r="I92" s="1696"/>
      <c r="J92" s="1699"/>
      <c r="K92" s="1700"/>
      <c r="L92" s="1696"/>
      <c r="M92" s="1697"/>
      <c r="N92" s="245"/>
      <c r="O92" s="245"/>
      <c r="P92" s="245"/>
      <c r="Q92" s="245"/>
      <c r="R92" s="245"/>
      <c r="S92" s="245"/>
      <c r="T92" s="245"/>
      <c r="U92" s="245"/>
    </row>
    <row r="93" spans="1:21" ht="48">
      <c r="A93" s="2580"/>
      <c r="B93" s="2527" t="s">
        <v>2517</v>
      </c>
      <c r="C93" s="1701"/>
      <c r="D93" s="441"/>
      <c r="E93" s="1696">
        <v>3542421</v>
      </c>
      <c r="F93" s="1696">
        <v>5308764</v>
      </c>
      <c r="G93" s="1697">
        <v>7213232</v>
      </c>
      <c r="H93" s="1698">
        <v>10460929</v>
      </c>
      <c r="I93" s="1696">
        <v>11019577</v>
      </c>
      <c r="J93" s="1699">
        <v>11019577</v>
      </c>
      <c r="K93" s="1700">
        <v>9464254</v>
      </c>
      <c r="L93" s="1696">
        <v>10042910</v>
      </c>
      <c r="M93" s="1697">
        <v>10608443</v>
      </c>
      <c r="N93" s="245"/>
      <c r="O93" s="245"/>
      <c r="P93" s="245"/>
      <c r="Q93" s="245"/>
      <c r="R93" s="245"/>
      <c r="S93" s="245"/>
      <c r="T93" s="245"/>
      <c r="U93" s="245"/>
    </row>
    <row r="94" spans="1:21" ht="12">
      <c r="A94" s="2580"/>
      <c r="B94" s="2527"/>
      <c r="C94" s="1701"/>
      <c r="D94" s="441"/>
      <c r="E94" s="1696"/>
      <c r="F94" s="1696"/>
      <c r="G94" s="1697"/>
      <c r="H94" s="1698"/>
      <c r="I94" s="1696"/>
      <c r="J94" s="1699"/>
      <c r="K94" s="1700"/>
      <c r="L94" s="1696"/>
      <c r="M94" s="1697"/>
      <c r="N94" s="245"/>
      <c r="O94" s="245"/>
      <c r="P94" s="245"/>
      <c r="Q94" s="245"/>
      <c r="R94" s="245"/>
      <c r="S94" s="245"/>
      <c r="T94" s="245"/>
      <c r="U94" s="245"/>
    </row>
    <row r="95" spans="1:21" ht="36">
      <c r="A95" s="2580"/>
      <c r="B95" s="2527" t="s">
        <v>2518</v>
      </c>
      <c r="C95" s="1701"/>
      <c r="D95" s="441"/>
      <c r="E95" s="1696">
        <v>294045</v>
      </c>
      <c r="F95" s="1696">
        <v>352764</v>
      </c>
      <c r="G95" s="1697">
        <v>393398</v>
      </c>
      <c r="H95" s="1698">
        <v>347998</v>
      </c>
      <c r="I95" s="1696">
        <v>727883</v>
      </c>
      <c r="J95" s="1699">
        <v>727883</v>
      </c>
      <c r="K95" s="1700">
        <v>749703</v>
      </c>
      <c r="L95" s="1696">
        <v>788188</v>
      </c>
      <c r="M95" s="1697">
        <v>827729</v>
      </c>
      <c r="N95" s="245"/>
      <c r="O95" s="245"/>
      <c r="P95" s="245"/>
      <c r="Q95" s="245"/>
      <c r="R95" s="245"/>
      <c r="S95" s="245"/>
      <c r="T95" s="245"/>
      <c r="U95" s="245"/>
    </row>
    <row r="96" spans="1:21" ht="12">
      <c r="A96" s="2580"/>
      <c r="B96" s="2527"/>
      <c r="C96" s="1701"/>
      <c r="D96" s="441"/>
      <c r="E96" s="1696"/>
      <c r="F96" s="1696"/>
      <c r="G96" s="1697"/>
      <c r="H96" s="1698"/>
      <c r="I96" s="1696"/>
      <c r="J96" s="1699"/>
      <c r="K96" s="1700"/>
      <c r="L96" s="1696"/>
      <c r="M96" s="1697"/>
      <c r="N96" s="245"/>
      <c r="O96" s="245"/>
      <c r="P96" s="245"/>
      <c r="Q96" s="245"/>
      <c r="R96" s="245"/>
      <c r="S96" s="245"/>
      <c r="T96" s="245"/>
      <c r="U96" s="245"/>
    </row>
    <row r="97" spans="1:21" ht="48">
      <c r="A97" s="2581" t="s">
        <v>2519</v>
      </c>
      <c r="B97" s="2527" t="s">
        <v>2520</v>
      </c>
      <c r="C97" s="1701"/>
      <c r="D97" s="441"/>
      <c r="E97" s="1696">
        <v>35622953</v>
      </c>
      <c r="F97" s="1696">
        <v>30113770</v>
      </c>
      <c r="G97" s="1697">
        <v>42544200</v>
      </c>
      <c r="H97" s="1698">
        <v>143312110</v>
      </c>
      <c r="I97" s="1696">
        <v>87435290</v>
      </c>
      <c r="J97" s="1699">
        <v>87435290</v>
      </c>
      <c r="K97" s="1700">
        <v>121866816</v>
      </c>
      <c r="L97" s="1696">
        <v>65745388</v>
      </c>
      <c r="M97" s="1697">
        <v>16515882</v>
      </c>
      <c r="N97" s="245"/>
      <c r="O97" s="245"/>
      <c r="P97" s="245"/>
      <c r="Q97" s="245"/>
      <c r="R97" s="245"/>
      <c r="S97" s="245"/>
      <c r="T97" s="245"/>
      <c r="U97" s="245"/>
    </row>
    <row r="98" spans="1:21" ht="12">
      <c r="A98" s="2580"/>
      <c r="B98" s="2527"/>
      <c r="C98" s="1701"/>
      <c r="D98" s="441"/>
      <c r="E98" s="1696"/>
      <c r="F98" s="1696"/>
      <c r="G98" s="1697"/>
      <c r="H98" s="1698"/>
      <c r="I98" s="1696"/>
      <c r="J98" s="1699"/>
      <c r="K98" s="1700"/>
      <c r="L98" s="1696"/>
      <c r="M98" s="1697"/>
      <c r="N98" s="245"/>
      <c r="O98" s="245"/>
      <c r="P98" s="245"/>
      <c r="Q98" s="245"/>
      <c r="R98" s="245"/>
      <c r="S98" s="245"/>
      <c r="T98" s="245"/>
      <c r="U98" s="245"/>
    </row>
    <row r="99" spans="1:21" ht="60">
      <c r="A99" s="2580"/>
      <c r="B99" s="2527" t="s">
        <v>2521</v>
      </c>
      <c r="C99" s="1701"/>
      <c r="D99" s="441"/>
      <c r="E99" s="1696"/>
      <c r="F99" s="1696"/>
      <c r="G99" s="1697"/>
      <c r="H99" s="1698"/>
      <c r="I99" s="1696"/>
      <c r="J99" s="1699"/>
      <c r="K99" s="1700">
        <v>0</v>
      </c>
      <c r="L99" s="1696">
        <v>0</v>
      </c>
      <c r="M99" s="1697">
        <v>0</v>
      </c>
      <c r="N99" s="245"/>
      <c r="O99" s="245"/>
      <c r="P99" s="245"/>
      <c r="Q99" s="245"/>
      <c r="R99" s="245"/>
      <c r="S99" s="245"/>
      <c r="T99" s="245"/>
      <c r="U99" s="245"/>
    </row>
    <row r="100" spans="1:21" ht="12">
      <c r="A100" s="2580"/>
      <c r="B100" s="2527"/>
      <c r="C100" s="1701"/>
      <c r="D100" s="441"/>
      <c r="E100" s="1696"/>
      <c r="F100" s="1696"/>
      <c r="G100" s="1697"/>
      <c r="H100" s="1698"/>
      <c r="I100" s="1696"/>
      <c r="J100" s="1699"/>
      <c r="K100" s="1700"/>
      <c r="L100" s="1696"/>
      <c r="M100" s="1697"/>
      <c r="N100" s="245"/>
      <c r="O100" s="245"/>
      <c r="P100" s="245"/>
      <c r="Q100" s="245"/>
      <c r="R100" s="245"/>
      <c r="S100" s="245"/>
      <c r="T100" s="245"/>
      <c r="U100" s="245"/>
    </row>
    <row r="101" spans="1:21" ht="36">
      <c r="A101" s="2581" t="s">
        <v>2522</v>
      </c>
      <c r="B101" s="2527" t="s">
        <v>2523</v>
      </c>
      <c r="C101" s="1701"/>
      <c r="D101" s="441"/>
      <c r="E101" s="1696"/>
      <c r="F101" s="1696">
        <v>0</v>
      </c>
      <c r="G101" s="1697">
        <v>0</v>
      </c>
      <c r="H101" s="1698"/>
      <c r="I101" s="1696"/>
      <c r="J101" s="1699"/>
      <c r="K101" s="1700">
        <v>0</v>
      </c>
      <c r="L101" s="1696">
        <v>0</v>
      </c>
      <c r="M101" s="1697">
        <v>0</v>
      </c>
      <c r="N101" s="245"/>
      <c r="O101" s="245"/>
      <c r="P101" s="245"/>
      <c r="Q101" s="245"/>
      <c r="R101" s="245"/>
      <c r="S101" s="245"/>
      <c r="T101" s="245"/>
      <c r="U101" s="245"/>
    </row>
    <row r="102" spans="1:21" ht="12">
      <c r="A102" s="2580"/>
      <c r="B102" s="2527"/>
      <c r="C102" s="1701"/>
      <c r="D102" s="441"/>
      <c r="E102" s="1696"/>
      <c r="F102" s="1696"/>
      <c r="G102" s="1697"/>
      <c r="H102" s="1698"/>
      <c r="I102" s="1696"/>
      <c r="J102" s="1699"/>
      <c r="K102" s="1700"/>
      <c r="L102" s="1696"/>
      <c r="M102" s="1697"/>
      <c r="N102" s="245"/>
      <c r="O102" s="245"/>
      <c r="P102" s="245"/>
      <c r="Q102" s="245"/>
      <c r="R102" s="245"/>
      <c r="S102" s="245"/>
      <c r="T102" s="245"/>
      <c r="U102" s="245"/>
    </row>
    <row r="103" spans="1:21" ht="48">
      <c r="A103" s="2580"/>
      <c r="B103" s="2527" t="s">
        <v>2524</v>
      </c>
      <c r="C103" s="1701"/>
      <c r="D103" s="441"/>
      <c r="E103" s="1696">
        <v>444028814</v>
      </c>
      <c r="F103" s="1696">
        <v>468447502</v>
      </c>
      <c r="G103" s="1697">
        <v>357707349</v>
      </c>
      <c r="H103" s="1698">
        <v>177173848</v>
      </c>
      <c r="I103" s="1696">
        <v>157390311</v>
      </c>
      <c r="J103" s="1699">
        <v>157390311</v>
      </c>
      <c r="K103" s="1700">
        <v>209554386</v>
      </c>
      <c r="L103" s="1696">
        <v>189051728</v>
      </c>
      <c r="M103" s="1697">
        <v>177375004</v>
      </c>
      <c r="N103" s="245"/>
      <c r="O103" s="245"/>
      <c r="P103" s="245"/>
      <c r="Q103" s="245"/>
      <c r="R103" s="245"/>
      <c r="S103" s="245"/>
      <c r="T103" s="245"/>
      <c r="U103" s="245"/>
    </row>
    <row r="104" spans="1:21" ht="12">
      <c r="A104" s="2580"/>
      <c r="B104" s="2527"/>
      <c r="C104" s="1701"/>
      <c r="D104" s="441"/>
      <c r="E104" s="1696"/>
      <c r="F104" s="1696"/>
      <c r="G104" s="1697"/>
      <c r="H104" s="1698"/>
      <c r="I104" s="1696"/>
      <c r="J104" s="1699"/>
      <c r="K104" s="1700"/>
      <c r="L104" s="1696"/>
      <c r="M104" s="1697"/>
      <c r="N104" s="245"/>
      <c r="O104" s="245"/>
      <c r="P104" s="245"/>
      <c r="Q104" s="245"/>
      <c r="R104" s="245"/>
      <c r="S104" s="245"/>
      <c r="T104" s="245"/>
      <c r="U104" s="245"/>
    </row>
    <row r="105" spans="1:21" ht="84">
      <c r="A105" s="2580"/>
      <c r="B105" s="2527" t="s">
        <v>2525</v>
      </c>
      <c r="C105" s="1701"/>
      <c r="D105" s="441"/>
      <c r="E105" s="1696"/>
      <c r="F105" s="1696"/>
      <c r="G105" s="1697"/>
      <c r="H105" s="1698"/>
      <c r="I105" s="1696"/>
      <c r="J105" s="1699"/>
      <c r="K105" s="1700">
        <v>0</v>
      </c>
      <c r="L105" s="1696">
        <v>0</v>
      </c>
      <c r="M105" s="1697">
        <v>0</v>
      </c>
      <c r="N105" s="245"/>
      <c r="O105" s="245"/>
      <c r="P105" s="245"/>
      <c r="Q105" s="245"/>
      <c r="R105" s="245"/>
      <c r="S105" s="245"/>
      <c r="T105" s="245"/>
      <c r="U105" s="245"/>
    </row>
    <row r="106" spans="1:21" ht="12">
      <c r="A106" s="2580"/>
      <c r="B106" s="2527"/>
      <c r="C106" s="1701"/>
      <c r="D106" s="441"/>
      <c r="E106" s="1696"/>
      <c r="F106" s="1696"/>
      <c r="G106" s="1697"/>
      <c r="H106" s="1698"/>
      <c r="I106" s="1696"/>
      <c r="J106" s="1699"/>
      <c r="K106" s="1700"/>
      <c r="L106" s="1696"/>
      <c r="M106" s="1697"/>
      <c r="N106" s="245"/>
      <c r="O106" s="245"/>
      <c r="P106" s="245"/>
      <c r="Q106" s="245"/>
      <c r="R106" s="245"/>
      <c r="S106" s="245"/>
      <c r="T106" s="245"/>
      <c r="U106" s="245"/>
    </row>
    <row r="107" spans="1:21" ht="48">
      <c r="A107" s="2533" t="s">
        <v>2526</v>
      </c>
      <c r="B107" s="2527" t="s">
        <v>2527</v>
      </c>
      <c r="C107" s="1701"/>
      <c r="D107" s="441"/>
      <c r="E107" s="1696">
        <v>439</v>
      </c>
      <c r="F107" s="1696">
        <v>6798</v>
      </c>
      <c r="G107" s="1697">
        <v>55483</v>
      </c>
      <c r="H107" s="1698">
        <v>0</v>
      </c>
      <c r="I107" s="1696">
        <v>37369</v>
      </c>
      <c r="J107" s="1699">
        <v>37369</v>
      </c>
      <c r="K107" s="1700">
        <v>39237</v>
      </c>
      <c r="L107" s="1696">
        <v>41199</v>
      </c>
      <c r="M107" s="1697">
        <v>43259</v>
      </c>
      <c r="N107" s="245"/>
      <c r="O107" s="245"/>
      <c r="P107" s="245"/>
      <c r="Q107" s="245"/>
      <c r="R107" s="245"/>
      <c r="S107" s="245"/>
      <c r="T107" s="245"/>
      <c r="U107" s="245"/>
    </row>
    <row r="108" spans="1:21" ht="12">
      <c r="A108" s="2539"/>
      <c r="B108" s="2527"/>
      <c r="C108" s="1701"/>
      <c r="D108" s="441"/>
      <c r="E108" s="1696"/>
      <c r="F108" s="1696"/>
      <c r="G108" s="1697"/>
      <c r="H108" s="1698"/>
      <c r="I108" s="1696"/>
      <c r="J108" s="1699"/>
      <c r="K108" s="1700"/>
      <c r="L108" s="1696"/>
      <c r="M108" s="1697"/>
      <c r="N108" s="245"/>
      <c r="O108" s="245"/>
      <c r="P108" s="245"/>
      <c r="Q108" s="245"/>
      <c r="R108" s="245"/>
      <c r="S108" s="245"/>
      <c r="T108" s="245"/>
      <c r="U108" s="245"/>
    </row>
    <row r="109" spans="1:21" ht="36">
      <c r="A109" s="2539"/>
      <c r="B109" s="2527" t="s">
        <v>2528</v>
      </c>
      <c r="C109" s="1701"/>
      <c r="D109" s="441"/>
      <c r="E109" s="1696">
        <v>941560</v>
      </c>
      <c r="F109" s="1696">
        <v>9625466</v>
      </c>
      <c r="G109" s="1697">
        <v>1288945</v>
      </c>
      <c r="H109" s="1698">
        <v>1737054</v>
      </c>
      <c r="I109" s="1696">
        <v>23394953</v>
      </c>
      <c r="J109" s="1699">
        <v>23394953</v>
      </c>
      <c r="K109" s="1700">
        <v>4888019</v>
      </c>
      <c r="L109" s="1696">
        <v>5136655</v>
      </c>
      <c r="M109" s="1697">
        <v>5395954</v>
      </c>
      <c r="N109" s="245"/>
      <c r="O109" s="245"/>
      <c r="P109" s="245"/>
      <c r="Q109" s="245"/>
      <c r="R109" s="245"/>
      <c r="S109" s="245"/>
      <c r="T109" s="245"/>
      <c r="U109" s="245"/>
    </row>
    <row r="110" spans="1:21" ht="12">
      <c r="A110" s="2539"/>
      <c r="B110" s="2527"/>
      <c r="C110" s="1701"/>
      <c r="D110" s="441"/>
      <c r="E110" s="1696"/>
      <c r="F110" s="1696"/>
      <c r="G110" s="1697"/>
      <c r="H110" s="1698"/>
      <c r="I110" s="1696"/>
      <c r="J110" s="1699"/>
      <c r="K110" s="1700"/>
      <c r="L110" s="1696"/>
      <c r="M110" s="1697"/>
      <c r="N110" s="245"/>
      <c r="O110" s="245"/>
      <c r="P110" s="245"/>
      <c r="Q110" s="245"/>
      <c r="R110" s="245"/>
      <c r="S110" s="245"/>
      <c r="T110" s="245"/>
      <c r="U110" s="245"/>
    </row>
    <row r="111" spans="1:21" ht="24">
      <c r="A111" s="2539"/>
      <c r="B111" s="2527" t="s">
        <v>2529</v>
      </c>
      <c r="C111" s="1701"/>
      <c r="D111" s="441"/>
      <c r="E111" s="1696"/>
      <c r="F111" s="1696"/>
      <c r="G111" s="1697"/>
      <c r="H111" s="1698"/>
      <c r="I111" s="1696"/>
      <c r="J111" s="1699"/>
      <c r="K111" s="1700">
        <v>0</v>
      </c>
      <c r="L111" s="1696">
        <v>0</v>
      </c>
      <c r="M111" s="1697">
        <v>0</v>
      </c>
      <c r="N111" s="245"/>
      <c r="O111" s="245"/>
      <c r="P111" s="245"/>
      <c r="Q111" s="245"/>
      <c r="R111" s="245"/>
      <c r="S111" s="245"/>
      <c r="T111" s="245"/>
      <c r="U111" s="245"/>
    </row>
    <row r="112" spans="1:21" ht="12">
      <c r="A112" s="2539"/>
      <c r="B112" s="2527"/>
      <c r="C112" s="1701"/>
      <c r="D112" s="441"/>
      <c r="E112" s="1696"/>
      <c r="F112" s="1696"/>
      <c r="G112" s="1697"/>
      <c r="H112" s="1698"/>
      <c r="I112" s="1696"/>
      <c r="J112" s="1699"/>
      <c r="K112" s="1700"/>
      <c r="L112" s="1696"/>
      <c r="M112" s="1697"/>
      <c r="N112" s="245"/>
      <c r="O112" s="245"/>
      <c r="P112" s="245"/>
      <c r="Q112" s="245"/>
      <c r="R112" s="245"/>
      <c r="S112" s="245"/>
      <c r="T112" s="245"/>
      <c r="U112" s="245"/>
    </row>
    <row r="113" spans="1:21" ht="36">
      <c r="A113" s="2539"/>
      <c r="B113" s="2527" t="s">
        <v>2530</v>
      </c>
      <c r="C113" s="1701"/>
      <c r="D113" s="441"/>
      <c r="E113" s="1696">
        <v>0</v>
      </c>
      <c r="F113" s="1696"/>
      <c r="G113" s="1697">
        <v>0</v>
      </c>
      <c r="H113" s="1698"/>
      <c r="I113" s="1696"/>
      <c r="J113" s="1699"/>
      <c r="K113" s="1700">
        <v>0</v>
      </c>
      <c r="L113" s="1696">
        <v>0</v>
      </c>
      <c r="M113" s="1697">
        <v>0</v>
      </c>
      <c r="N113" s="245"/>
      <c r="O113" s="245"/>
      <c r="P113" s="245"/>
      <c r="Q113" s="245"/>
      <c r="R113" s="245"/>
      <c r="S113" s="245"/>
      <c r="T113" s="245"/>
      <c r="U113" s="245"/>
    </row>
    <row r="114" spans="1:21" ht="12">
      <c r="A114" s="2539"/>
      <c r="B114" s="2527"/>
      <c r="C114" s="1701"/>
      <c r="D114" s="441"/>
      <c r="E114" s="1696"/>
      <c r="F114" s="1696"/>
      <c r="G114" s="1697"/>
      <c r="H114" s="1698"/>
      <c r="I114" s="1696"/>
      <c r="J114" s="1699"/>
      <c r="K114" s="1700"/>
      <c r="L114" s="1696"/>
      <c r="M114" s="1697"/>
      <c r="N114" s="245"/>
      <c r="O114" s="245"/>
      <c r="P114" s="245"/>
      <c r="Q114" s="245"/>
      <c r="R114" s="245"/>
      <c r="S114" s="245"/>
      <c r="T114" s="245"/>
      <c r="U114" s="245"/>
    </row>
    <row r="115" spans="1:21" ht="36">
      <c r="A115" s="2539"/>
      <c r="B115" s="2527" t="s">
        <v>2531</v>
      </c>
      <c r="C115" s="1701"/>
      <c r="D115" s="441"/>
      <c r="E115" s="1696"/>
      <c r="F115" s="1696"/>
      <c r="G115" s="1697"/>
      <c r="H115" s="1698"/>
      <c r="I115" s="1696"/>
      <c r="J115" s="1699"/>
      <c r="K115" s="1700">
        <v>0</v>
      </c>
      <c r="L115" s="1696">
        <v>0</v>
      </c>
      <c r="M115" s="1697">
        <v>0</v>
      </c>
      <c r="N115" s="245"/>
      <c r="O115" s="245"/>
      <c r="P115" s="245"/>
      <c r="Q115" s="245"/>
      <c r="R115" s="245"/>
      <c r="S115" s="245"/>
      <c r="T115" s="245"/>
      <c r="U115" s="245"/>
    </row>
    <row r="116" spans="1:21" ht="12">
      <c r="A116" s="2539"/>
      <c r="B116" s="2527"/>
      <c r="C116" s="1701"/>
      <c r="D116" s="441"/>
      <c r="E116" s="1696"/>
      <c r="F116" s="1696"/>
      <c r="G116" s="1697"/>
      <c r="H116" s="1698"/>
      <c r="I116" s="1696"/>
      <c r="J116" s="1699"/>
      <c r="K116" s="1700"/>
      <c r="L116" s="1696"/>
      <c r="M116" s="1697"/>
      <c r="N116" s="245"/>
      <c r="O116" s="245"/>
      <c r="P116" s="245"/>
      <c r="Q116" s="245"/>
      <c r="R116" s="245"/>
      <c r="S116" s="245"/>
      <c r="T116" s="245"/>
      <c r="U116" s="245"/>
    </row>
    <row r="117" spans="1:21" ht="36">
      <c r="A117" s="2539"/>
      <c r="B117" s="2527" t="s">
        <v>2532</v>
      </c>
      <c r="C117" s="1701"/>
      <c r="D117" s="441"/>
      <c r="E117" s="1696"/>
      <c r="F117" s="1696"/>
      <c r="G117" s="1697"/>
      <c r="H117" s="1698"/>
      <c r="I117" s="1696"/>
      <c r="J117" s="1699"/>
      <c r="K117" s="1700">
        <v>0</v>
      </c>
      <c r="L117" s="1696">
        <v>0</v>
      </c>
      <c r="M117" s="1697">
        <v>0</v>
      </c>
      <c r="N117" s="245"/>
      <c r="O117" s="245"/>
      <c r="P117" s="245"/>
      <c r="Q117" s="245"/>
      <c r="R117" s="245"/>
      <c r="S117" s="245"/>
      <c r="T117" s="245"/>
      <c r="U117" s="245"/>
    </row>
    <row r="118" spans="1:21" ht="12">
      <c r="A118" s="2539"/>
      <c r="B118" s="2527"/>
      <c r="C118" s="1701"/>
      <c r="D118" s="441"/>
      <c r="E118" s="1696"/>
      <c r="F118" s="1697"/>
      <c r="G118" s="1697"/>
      <c r="H118" s="1700"/>
      <c r="I118" s="1696"/>
      <c r="J118" s="1699"/>
      <c r="K118" s="1700"/>
      <c r="L118" s="1696"/>
      <c r="M118" s="1697"/>
      <c r="N118" s="245"/>
      <c r="O118" s="245"/>
      <c r="P118" s="245"/>
      <c r="Q118" s="245"/>
      <c r="R118" s="245"/>
      <c r="S118" s="245"/>
      <c r="T118" s="245"/>
      <c r="U118" s="245"/>
    </row>
    <row r="119" spans="1:21" ht="108">
      <c r="A119" s="2539"/>
      <c r="B119" s="2527" t="s">
        <v>2533</v>
      </c>
      <c r="C119" s="1701"/>
      <c r="D119" s="441"/>
      <c r="E119" s="1696"/>
      <c r="F119" s="1697">
        <v>15000</v>
      </c>
      <c r="G119" s="1697">
        <v>0</v>
      </c>
      <c r="H119" s="1700"/>
      <c r="I119" s="1696"/>
      <c r="J119" s="1699"/>
      <c r="K119" s="1700">
        <v>0</v>
      </c>
      <c r="L119" s="1696">
        <v>0</v>
      </c>
      <c r="M119" s="1697">
        <v>0</v>
      </c>
      <c r="N119" s="245"/>
      <c r="O119" s="245"/>
      <c r="P119" s="245"/>
      <c r="Q119" s="245"/>
      <c r="R119" s="245"/>
      <c r="S119" s="245"/>
      <c r="T119" s="245"/>
      <c r="U119" s="245"/>
    </row>
    <row r="120" spans="1:21" ht="12">
      <c r="A120" s="2539"/>
      <c r="B120" s="2527"/>
      <c r="C120" s="1701"/>
      <c r="D120" s="441"/>
      <c r="E120" s="1696"/>
      <c r="F120" s="1697"/>
      <c r="G120" s="1697"/>
      <c r="H120" s="1700"/>
      <c r="I120" s="1696"/>
      <c r="J120" s="1699"/>
      <c r="K120" s="1700"/>
      <c r="L120" s="1696"/>
      <c r="M120" s="1697"/>
      <c r="N120" s="245"/>
      <c r="O120" s="245"/>
      <c r="P120" s="245"/>
      <c r="Q120" s="245"/>
      <c r="R120" s="245"/>
      <c r="S120" s="245"/>
      <c r="T120" s="245"/>
      <c r="U120" s="245"/>
    </row>
    <row r="121" spans="1:21" ht="12">
      <c r="A121" s="2539"/>
      <c r="B121" s="2527"/>
      <c r="C121" s="1701"/>
      <c r="D121" s="441"/>
      <c r="E121" s="1696"/>
      <c r="F121" s="1697"/>
      <c r="G121" s="1697"/>
      <c r="H121" s="1700"/>
      <c r="I121" s="1696"/>
      <c r="J121" s="1699"/>
      <c r="K121" s="1700">
        <v>0</v>
      </c>
      <c r="L121" s="1696">
        <v>0</v>
      </c>
      <c r="M121" s="1697">
        <v>0</v>
      </c>
      <c r="N121" s="245"/>
      <c r="O121" s="245"/>
      <c r="P121" s="245"/>
      <c r="Q121" s="245"/>
      <c r="R121" s="245"/>
      <c r="S121" s="245"/>
      <c r="T121" s="245"/>
      <c r="U121" s="245"/>
    </row>
    <row r="122" spans="1:21" ht="12.75" customHeight="1">
      <c r="A122" s="346" t="str">
        <f>'A4-FinPerf RE'!A22</f>
        <v>Total Revenue (excluding capital transfers and contributions)</v>
      </c>
      <c r="B122" s="442"/>
      <c r="C122" s="442"/>
      <c r="D122" s="347">
        <v>1</v>
      </c>
      <c r="E122" s="230">
        <f t="shared" ref="E122:M122" si="0">SUM(E4:E121)</f>
        <v>1969007199</v>
      </c>
      <c r="F122" s="230">
        <f t="shared" si="0"/>
        <v>2218358429</v>
      </c>
      <c r="G122" s="228">
        <f t="shared" si="0"/>
        <v>2175111043</v>
      </c>
      <c r="H122" s="229">
        <f t="shared" si="0"/>
        <v>2809066817</v>
      </c>
      <c r="I122" s="230">
        <f t="shared" si="0"/>
        <v>2755402455</v>
      </c>
      <c r="J122" s="231">
        <f t="shared" si="0"/>
        <v>2755402455</v>
      </c>
      <c r="K122" s="231">
        <f t="shared" si="0"/>
        <v>2729275535</v>
      </c>
      <c r="L122" s="231">
        <f t="shared" si="0"/>
        <v>2834221952</v>
      </c>
      <c r="M122" s="231">
        <f t="shared" si="0"/>
        <v>3072107334</v>
      </c>
    </row>
    <row r="123" spans="1:21" s="709" customFormat="1">
      <c r="A123" s="1233" t="str">
        <f>head27a</f>
        <v>References</v>
      </c>
      <c r="B123" s="1041"/>
      <c r="C123" s="1041"/>
      <c r="D123" s="1038"/>
      <c r="E123" s="1042"/>
      <c r="F123" s="1042"/>
      <c r="G123" s="1042"/>
      <c r="H123" s="1042"/>
      <c r="I123" s="1042"/>
      <c r="J123" s="1042"/>
      <c r="K123" s="1042"/>
      <c r="L123" s="1042"/>
      <c r="M123" s="1042"/>
    </row>
    <row r="124" spans="1:21" s="709" customFormat="1">
      <c r="A124" s="1195" t="str">
        <f>"1. Total revenue must reconcile to "&amp;'Template names'!F103</f>
        <v>1. Total revenue must reconcile to Table A4 Budgeted Financial Performance (revenue and expenditure)</v>
      </c>
      <c r="B124" s="1062"/>
      <c r="C124" s="1062"/>
      <c r="D124" s="1038"/>
      <c r="E124" s="1042"/>
      <c r="F124" s="1041"/>
      <c r="G124" s="1042"/>
      <c r="H124" s="1042"/>
      <c r="I124" s="1042"/>
      <c r="J124" s="1042"/>
      <c r="K124" s="1042"/>
      <c r="L124" s="1042"/>
      <c r="M124" s="1042"/>
    </row>
    <row r="125" spans="1:21">
      <c r="A125" s="149" t="s">
        <v>2072</v>
      </c>
    </row>
    <row r="126" spans="1:21">
      <c r="A126" s="288" t="s">
        <v>979</v>
      </c>
      <c r="B126" s="246"/>
      <c r="C126" s="246"/>
      <c r="D126" s="236"/>
      <c r="E126" s="202">
        <f>E122-'A4-FinPerf RE'!C60</f>
        <v>183505181.50000024</v>
      </c>
      <c r="F126" s="202">
        <f>F122-'A4-FinPerf RE'!D60</f>
        <v>-12575332</v>
      </c>
      <c r="G126" s="255">
        <f>G122-'A4-FinPerf RE'!E60</f>
        <v>-23959327</v>
      </c>
      <c r="H126" s="255">
        <f>H122-'A4-FinPerf RE'!F60</f>
        <v>101275786.75600004</v>
      </c>
      <c r="I126" s="255">
        <f>I122-'A4-FinPerf RE'!G60</f>
        <v>38188328</v>
      </c>
      <c r="J126" s="255">
        <f>J122-'A4-FinPerf RE'!H60</f>
        <v>38188328</v>
      </c>
      <c r="K126" s="255">
        <f>K122-'A4-FinPerf RE'!J60</f>
        <v>18481336</v>
      </c>
      <c r="L126" s="255">
        <f>L122-'A4-FinPerf RE'!K60</f>
        <v>35673305</v>
      </c>
      <c r="M126" s="255">
        <f>M122-'A4-FinPerf RE'!L60</f>
        <v>91466656</v>
      </c>
    </row>
    <row r="127" spans="1:21">
      <c r="E127" s="449"/>
    </row>
    <row r="128" spans="1:21">
      <c r="E128" s="449"/>
    </row>
  </sheetData>
  <mergeCells count="3">
    <mergeCell ref="H2:J2"/>
    <mergeCell ref="K2:M2"/>
    <mergeCell ref="D2:D3"/>
  </mergeCells>
  <phoneticPr fontId="5" type="noConversion"/>
  <printOptions horizontalCentered="1"/>
  <pageMargins left="0" right="0" top="0.78740157480314998" bottom="0.59055118110236204" header="0.511811023622047" footer="0.39370078740157499"/>
  <headerFooter alignWithMargins="0"/>
  <rowBreaks count="1" manualBreakCount="1">
    <brk id="18" max="12" man="1"/>
  </rowBreaks>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enableFormatConditionsCalculation="0">
    <tabColor indexed="42"/>
  </sheetPr>
  <dimension ref="A1:Y131"/>
  <sheetViews>
    <sheetView showGridLines="0" workbookViewId="0">
      <pane xSplit="4" ySplit="3" topLeftCell="E121" activePane="bottomRight" state="frozen"/>
      <selection pane="topRight"/>
      <selection pane="bottomLeft"/>
      <selection pane="bottomRight" activeCell="E126" sqref="E126"/>
    </sheetView>
  </sheetViews>
  <sheetFormatPr baseColWidth="10" defaultColWidth="8.83203125" defaultRowHeight="10" x14ac:dyDescent="0"/>
  <cols>
    <col min="1" max="2" width="18.6640625" style="149" customWidth="1"/>
    <col min="3" max="3" width="5.33203125" style="149" customWidth="1"/>
    <col min="4" max="4" width="3" style="247" customWidth="1"/>
    <col min="5" max="13" width="9.33203125" style="149" customWidth="1"/>
    <col min="14" max="14" width="32.6640625" style="149" bestFit="1" customWidth="1"/>
    <col min="15" max="15" width="1.5" style="149" customWidth="1"/>
    <col min="16" max="17" width="8" style="149" bestFit="1" customWidth="1"/>
    <col min="18" max="18" width="8.5" style="149" bestFit="1" customWidth="1"/>
    <col min="19" max="20" width="8" style="149" bestFit="1" customWidth="1"/>
    <col min="21" max="24" width="8.83203125" style="149" bestFit="1" customWidth="1"/>
    <col min="25" max="26" width="9.83203125" style="149" customWidth="1"/>
    <col min="27" max="16384" width="8.83203125" style="149"/>
  </cols>
  <sheetData>
    <row r="1" spans="1:24" ht="12">
      <c r="A1" s="147" t="str">
        <f>muni&amp;" - "&amp;TableA5</f>
        <v>NW373 Rustenburg - Supporting Table SA5 Reconciliation of IDP strategic objectives and budget (operating expenditure)</v>
      </c>
      <c r="B1" s="147"/>
      <c r="C1" s="147"/>
      <c r="D1" s="147"/>
      <c r="E1" s="147"/>
      <c r="F1" s="147"/>
      <c r="G1" s="147"/>
      <c r="H1" s="147"/>
      <c r="I1" s="147"/>
      <c r="J1" s="147"/>
      <c r="K1" s="147"/>
      <c r="L1" s="147"/>
      <c r="M1" s="147"/>
      <c r="N1" s="246"/>
      <c r="O1" s="246"/>
      <c r="P1" s="246"/>
      <c r="Q1" s="246"/>
    </row>
    <row r="2" spans="1:24" ht="28.5" customHeight="1">
      <c r="A2" s="975" t="s">
        <v>976</v>
      </c>
      <c r="B2" s="984" t="s">
        <v>1351</v>
      </c>
      <c r="C2" s="632" t="s">
        <v>2065</v>
      </c>
      <c r="D2" s="2791" t="str">
        <f>head27</f>
        <v>Ref</v>
      </c>
      <c r="E2" s="145" t="str">
        <f>head1b</f>
        <v>2009/10</v>
      </c>
      <c r="F2" s="150" t="str">
        <f>head1A</f>
        <v>2010/11</v>
      </c>
      <c r="G2" s="146" t="str">
        <f>Head1</f>
        <v>2011/12</v>
      </c>
      <c r="H2" s="2765" t="str">
        <f>Head2</f>
        <v>Current Year 2012/13</v>
      </c>
      <c r="I2" s="2766"/>
      <c r="J2" s="2770"/>
      <c r="K2" s="2762" t="str">
        <f>Head3</f>
        <v>2013/14 Medium Term Revenue &amp; Expenditure Framework</v>
      </c>
      <c r="L2" s="2763"/>
      <c r="M2" s="2764"/>
      <c r="N2" s="246"/>
      <c r="O2" s="246"/>
      <c r="P2" s="246"/>
      <c r="Q2" s="246"/>
    </row>
    <row r="3" spans="1:24" ht="20">
      <c r="A3" s="991" t="s">
        <v>667</v>
      </c>
      <c r="B3" s="990"/>
      <c r="C3" s="990"/>
      <c r="D3" s="2797"/>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4" ht="93" customHeight="1">
      <c r="A4" s="2610" t="s">
        <v>2413</v>
      </c>
      <c r="B4" s="2528" t="s">
        <v>2414</v>
      </c>
      <c r="C4" s="1701" t="s">
        <v>408</v>
      </c>
      <c r="D4" s="441"/>
      <c r="E4" s="1696"/>
      <c r="F4" s="1697"/>
      <c r="G4" s="1697"/>
      <c r="H4" s="1700"/>
      <c r="I4" s="1700"/>
      <c r="J4" s="1700"/>
      <c r="K4" s="1700"/>
      <c r="L4" s="1696"/>
      <c r="M4" s="1697"/>
      <c r="N4" s="446"/>
      <c r="O4" s="446"/>
      <c r="P4" s="255"/>
      <c r="Q4" s="255"/>
      <c r="R4" s="255"/>
      <c r="S4" s="255"/>
      <c r="T4" s="255"/>
      <c r="U4" s="255"/>
      <c r="V4" s="255"/>
      <c r="W4" s="255"/>
      <c r="X4" s="255"/>
    </row>
    <row r="5" spans="1:24" ht="13.5" customHeight="1">
      <c r="A5" s="2539"/>
      <c r="B5" s="2528"/>
      <c r="C5" s="1701"/>
      <c r="D5" s="441"/>
      <c r="E5" s="1696"/>
      <c r="F5" s="1697"/>
      <c r="G5" s="1697"/>
      <c r="H5" s="1700"/>
      <c r="I5" s="1700"/>
      <c r="J5" s="1700"/>
      <c r="K5" s="1700"/>
      <c r="L5" s="1696"/>
      <c r="M5" s="1697"/>
      <c r="N5" s="446"/>
      <c r="O5" s="446"/>
      <c r="P5" s="255"/>
      <c r="Q5" s="255"/>
      <c r="R5" s="255"/>
      <c r="S5" s="255"/>
      <c r="T5" s="255"/>
      <c r="U5" s="255"/>
      <c r="V5" s="255"/>
      <c r="W5" s="255"/>
      <c r="X5" s="255"/>
    </row>
    <row r="6" spans="1:24" ht="106.5" customHeight="1">
      <c r="A6" s="2539"/>
      <c r="B6" s="2528" t="s">
        <v>3951</v>
      </c>
      <c r="C6" s="1701"/>
      <c r="D6" s="441"/>
      <c r="E6" s="1696"/>
      <c r="F6" s="1697"/>
      <c r="G6" s="1697"/>
      <c r="H6" s="1700"/>
      <c r="I6" s="1700"/>
      <c r="J6" s="1700"/>
      <c r="K6" s="1700"/>
      <c r="L6" s="1696"/>
      <c r="M6" s="1697"/>
      <c r="N6" s="446"/>
      <c r="O6" s="446"/>
      <c r="P6" s="255"/>
      <c r="Q6" s="255"/>
      <c r="R6" s="255"/>
      <c r="S6" s="255"/>
      <c r="T6" s="255"/>
      <c r="U6" s="255"/>
      <c r="V6" s="255"/>
      <c r="W6" s="255"/>
      <c r="X6" s="255"/>
    </row>
    <row r="7" spans="1:24" ht="13.5" customHeight="1">
      <c r="A7" s="2539"/>
      <c r="B7" s="2580"/>
      <c r="C7" s="1701"/>
      <c r="D7" s="441"/>
      <c r="E7" s="1696"/>
      <c r="F7" s="1697"/>
      <c r="G7" s="1697"/>
      <c r="H7" s="1700"/>
      <c r="I7" s="1700"/>
      <c r="J7" s="1700"/>
      <c r="K7" s="1700"/>
      <c r="L7" s="1696"/>
      <c r="M7" s="1697"/>
      <c r="N7" s="446"/>
      <c r="O7" s="446"/>
      <c r="P7" s="255"/>
      <c r="Q7" s="255"/>
      <c r="R7" s="255"/>
      <c r="S7" s="255"/>
      <c r="T7" s="255"/>
      <c r="U7" s="255"/>
      <c r="V7" s="255"/>
      <c r="W7" s="255"/>
      <c r="X7" s="255"/>
    </row>
    <row r="8" spans="1:24" ht="102.75" customHeight="1">
      <c r="A8" s="2539"/>
      <c r="B8" s="2528" t="s">
        <v>2415</v>
      </c>
      <c r="C8" s="1701"/>
      <c r="D8" s="441"/>
      <c r="E8" s="1696"/>
      <c r="F8" s="1697"/>
      <c r="G8" s="1697"/>
      <c r="H8" s="1700"/>
      <c r="I8" s="1700"/>
      <c r="J8" s="1700"/>
      <c r="K8" s="1700"/>
      <c r="L8" s="1696"/>
      <c r="M8" s="1697"/>
      <c r="N8" s="446"/>
      <c r="O8" s="446"/>
      <c r="P8" s="255"/>
      <c r="Q8" s="255"/>
      <c r="R8" s="255"/>
      <c r="S8" s="255"/>
      <c r="T8" s="255"/>
      <c r="U8" s="255"/>
      <c r="V8" s="255"/>
      <c r="W8" s="255"/>
      <c r="X8" s="255"/>
    </row>
    <row r="9" spans="1:24" ht="12.75" customHeight="1">
      <c r="A9" s="2539"/>
      <c r="B9" s="2528"/>
      <c r="C9" s="1701"/>
      <c r="D9" s="441"/>
      <c r="E9" s="1696"/>
      <c r="F9" s="1697"/>
      <c r="G9" s="1697"/>
      <c r="H9" s="1700"/>
      <c r="I9" s="1700"/>
      <c r="J9" s="1700"/>
      <c r="K9" s="1700"/>
      <c r="L9" s="1696"/>
      <c r="M9" s="1697"/>
      <c r="N9" s="309"/>
      <c r="O9" s="309"/>
      <c r="P9" s="255"/>
      <c r="Q9" s="255"/>
      <c r="R9" s="255"/>
      <c r="S9" s="255"/>
      <c r="T9" s="255"/>
      <c r="U9" s="255"/>
      <c r="V9" s="255"/>
      <c r="W9" s="255"/>
      <c r="X9" s="255"/>
    </row>
    <row r="10" spans="1:24" ht="142.5" customHeight="1">
      <c r="A10" s="2539"/>
      <c r="B10" s="2528" t="s">
        <v>3952</v>
      </c>
      <c r="C10" s="1701"/>
      <c r="D10" s="441"/>
      <c r="E10" s="1696"/>
      <c r="F10" s="1697"/>
      <c r="G10" s="1697"/>
      <c r="H10" s="1700"/>
      <c r="I10" s="1700"/>
      <c r="J10" s="1700"/>
      <c r="K10" s="1700"/>
      <c r="L10" s="1696"/>
      <c r="M10" s="1697"/>
      <c r="N10" s="246"/>
      <c r="O10" s="246"/>
      <c r="P10" s="255"/>
      <c r="Q10" s="255"/>
      <c r="R10" s="255"/>
      <c r="S10" s="255"/>
      <c r="T10" s="255"/>
      <c r="U10" s="255"/>
      <c r="V10" s="255"/>
      <c r="W10" s="255"/>
      <c r="X10" s="255"/>
    </row>
    <row r="11" spans="1:24" ht="12.75" customHeight="1">
      <c r="A11" s="2539"/>
      <c r="B11" s="2528"/>
      <c r="C11" s="1701"/>
      <c r="D11" s="441"/>
      <c r="E11" s="1696"/>
      <c r="F11" s="1697"/>
      <c r="G11" s="1697"/>
      <c r="H11" s="1700"/>
      <c r="I11" s="1700"/>
      <c r="J11" s="1700"/>
      <c r="K11" s="1700"/>
      <c r="L11" s="1696"/>
      <c r="M11" s="1697"/>
      <c r="N11" s="246"/>
      <c r="O11" s="246"/>
      <c r="P11" s="255"/>
      <c r="Q11" s="255"/>
      <c r="R11" s="255"/>
      <c r="S11" s="255"/>
      <c r="T11" s="255"/>
      <c r="U11" s="255"/>
      <c r="V11" s="255"/>
      <c r="W11" s="255"/>
      <c r="X11" s="255"/>
    </row>
    <row r="12" spans="1:24" ht="104.25" customHeight="1">
      <c r="A12" s="2539"/>
      <c r="B12" s="2528" t="s">
        <v>2416</v>
      </c>
      <c r="C12" s="1701"/>
      <c r="D12" s="441"/>
      <c r="E12" s="1696"/>
      <c r="F12" s="1697"/>
      <c r="G12" s="1697"/>
      <c r="H12" s="1700"/>
      <c r="I12" s="1700"/>
      <c r="J12" s="1700"/>
      <c r="K12" s="1700"/>
      <c r="L12" s="1696"/>
      <c r="M12" s="1697"/>
      <c r="N12" s="246"/>
      <c r="O12" s="246"/>
      <c r="P12" s="255"/>
      <c r="Q12" s="255"/>
      <c r="R12" s="255"/>
      <c r="S12" s="255"/>
      <c r="T12" s="255"/>
      <c r="U12" s="255"/>
      <c r="V12" s="255"/>
      <c r="W12" s="255"/>
      <c r="X12" s="255"/>
    </row>
    <row r="13" spans="1:24" ht="16.5" customHeight="1">
      <c r="A13" s="2539"/>
      <c r="B13" s="2528"/>
      <c r="C13" s="1701"/>
      <c r="D13" s="441"/>
      <c r="E13" s="1696"/>
      <c r="F13" s="1697"/>
      <c r="G13" s="1697"/>
      <c r="H13" s="1700"/>
      <c r="I13" s="1700"/>
      <c r="J13" s="1700"/>
      <c r="K13" s="1700"/>
      <c r="L13" s="1696"/>
      <c r="M13" s="1697"/>
      <c r="N13" s="246"/>
      <c r="O13" s="246"/>
      <c r="P13" s="255"/>
      <c r="Q13" s="255"/>
      <c r="R13" s="255"/>
      <c r="S13" s="255"/>
      <c r="T13" s="255"/>
      <c r="U13" s="255"/>
      <c r="V13" s="255"/>
      <c r="W13" s="255"/>
      <c r="X13" s="255"/>
    </row>
    <row r="14" spans="1:24" ht="129.75" customHeight="1">
      <c r="A14" s="2539"/>
      <c r="B14" s="2528" t="s">
        <v>2417</v>
      </c>
      <c r="C14" s="1701"/>
      <c r="D14" s="441"/>
      <c r="E14" s="1696"/>
      <c r="F14" s="1697"/>
      <c r="G14" s="1697"/>
      <c r="H14" s="1700"/>
      <c r="I14" s="1700"/>
      <c r="J14" s="1700"/>
      <c r="K14" s="1700"/>
      <c r="L14" s="1696"/>
      <c r="M14" s="1697"/>
      <c r="N14" s="246"/>
      <c r="O14" s="246"/>
      <c r="P14" s="255"/>
      <c r="Q14" s="255"/>
      <c r="R14" s="255"/>
      <c r="S14" s="255"/>
      <c r="T14" s="255"/>
      <c r="U14" s="255"/>
      <c r="V14" s="255"/>
      <c r="W14" s="255"/>
      <c r="X14" s="255"/>
    </row>
    <row r="15" spans="1:24" ht="12.75" customHeight="1">
      <c r="A15" s="2539"/>
      <c r="B15" s="2528"/>
      <c r="C15" s="1701"/>
      <c r="D15" s="441"/>
      <c r="E15" s="1696"/>
      <c r="F15" s="1697"/>
      <c r="G15" s="1697"/>
      <c r="H15" s="1700"/>
      <c r="I15" s="1700"/>
      <c r="J15" s="1700"/>
      <c r="K15" s="1700"/>
      <c r="L15" s="1696"/>
      <c r="M15" s="1697"/>
      <c r="N15" s="246"/>
      <c r="O15" s="246"/>
      <c r="P15" s="255"/>
      <c r="Q15" s="255"/>
      <c r="R15" s="255"/>
      <c r="S15" s="255"/>
      <c r="T15" s="255"/>
      <c r="U15" s="255"/>
      <c r="V15" s="255"/>
      <c r="W15" s="255"/>
      <c r="X15" s="255"/>
    </row>
    <row r="16" spans="1:24" ht="66.75" customHeight="1">
      <c r="A16" s="2539"/>
      <c r="B16" s="2528" t="s">
        <v>2418</v>
      </c>
      <c r="C16" s="1701"/>
      <c r="D16" s="441"/>
      <c r="E16" s="1696"/>
      <c r="F16" s="1697"/>
      <c r="G16" s="1697"/>
      <c r="H16" s="1700"/>
      <c r="I16" s="1700"/>
      <c r="J16" s="1700"/>
      <c r="K16" s="1700"/>
      <c r="L16" s="1696"/>
      <c r="M16" s="1697"/>
      <c r="N16" s="246"/>
      <c r="O16" s="246"/>
      <c r="P16" s="255"/>
      <c r="Q16" s="255"/>
      <c r="R16" s="255"/>
      <c r="S16" s="255"/>
      <c r="T16" s="255"/>
      <c r="U16" s="255"/>
      <c r="V16" s="255"/>
      <c r="W16" s="255"/>
      <c r="X16" s="255"/>
    </row>
    <row r="17" spans="1:24" ht="13.5" customHeight="1">
      <c r="A17" s="2580"/>
      <c r="B17" s="2527"/>
      <c r="C17" s="1701"/>
      <c r="D17" s="441"/>
      <c r="E17" s="1696"/>
      <c r="F17" s="1697"/>
      <c r="G17" s="1697"/>
      <c r="H17" s="1700"/>
      <c r="I17" s="1700"/>
      <c r="J17" s="1700"/>
      <c r="K17" s="1700"/>
      <c r="L17" s="1696"/>
      <c r="M17" s="1697"/>
      <c r="N17" s="246"/>
      <c r="O17" s="246"/>
      <c r="P17" s="255"/>
      <c r="Q17" s="255"/>
      <c r="R17" s="255"/>
      <c r="S17" s="255"/>
      <c r="T17" s="255"/>
      <c r="U17" s="255"/>
      <c r="V17" s="255"/>
      <c r="W17" s="255"/>
      <c r="X17" s="255"/>
    </row>
    <row r="18" spans="1:24" ht="68.25" customHeight="1">
      <c r="A18" s="2580"/>
      <c r="B18" s="2527"/>
      <c r="C18" s="1701"/>
      <c r="D18" s="441"/>
      <c r="E18" s="1696"/>
      <c r="F18" s="1697"/>
      <c r="G18" s="1697"/>
      <c r="H18" s="1700"/>
      <c r="I18" s="1700"/>
      <c r="J18" s="1700"/>
      <c r="K18" s="1700"/>
      <c r="L18" s="1696"/>
      <c r="M18" s="1697"/>
      <c r="N18" s="246"/>
      <c r="O18" s="246"/>
      <c r="P18" s="255"/>
      <c r="Q18" s="255"/>
      <c r="R18" s="255"/>
      <c r="S18" s="255"/>
      <c r="T18" s="255"/>
      <c r="U18" s="255"/>
      <c r="V18" s="255"/>
      <c r="W18" s="255"/>
      <c r="X18" s="255"/>
    </row>
    <row r="19" spans="1:24" ht="12.75" customHeight="1">
      <c r="A19" s="2533" t="s">
        <v>2419</v>
      </c>
      <c r="B19" s="2527" t="s">
        <v>2420</v>
      </c>
      <c r="C19" s="1701" t="s">
        <v>1340</v>
      </c>
      <c r="D19" s="441"/>
      <c r="E19" s="1696"/>
      <c r="F19" s="1697"/>
      <c r="G19" s="1697"/>
      <c r="H19" s="1700"/>
      <c r="I19" s="1700"/>
      <c r="J19" s="1700"/>
      <c r="K19" s="1700"/>
      <c r="L19" s="1696"/>
      <c r="M19" s="1697"/>
      <c r="N19" s="246"/>
      <c r="O19" s="246"/>
      <c r="P19" s="255"/>
      <c r="Q19" s="255"/>
      <c r="R19" s="255"/>
      <c r="S19" s="255"/>
      <c r="T19" s="255"/>
      <c r="U19" s="255"/>
      <c r="V19" s="255"/>
      <c r="W19" s="255"/>
      <c r="X19" s="255"/>
    </row>
    <row r="20" spans="1:24" ht="103.5" customHeight="1">
      <c r="A20" s="2539"/>
      <c r="B20" s="2528"/>
      <c r="C20" s="1701"/>
      <c r="D20" s="441"/>
      <c r="E20" s="1696"/>
      <c r="F20" s="1697"/>
      <c r="G20" s="1697"/>
      <c r="H20" s="1700"/>
      <c r="I20" s="1700"/>
      <c r="J20" s="1700"/>
      <c r="K20" s="1700"/>
      <c r="L20" s="1696"/>
      <c r="M20" s="1697"/>
      <c r="N20" s="246"/>
      <c r="O20" s="246"/>
      <c r="P20" s="255"/>
      <c r="Q20" s="255"/>
      <c r="R20" s="255"/>
      <c r="S20" s="255"/>
      <c r="T20" s="255"/>
      <c r="U20" s="255"/>
      <c r="V20" s="255"/>
      <c r="W20" s="255"/>
      <c r="X20" s="255"/>
    </row>
    <row r="21" spans="1:24" ht="14.25" customHeight="1">
      <c r="A21" s="2539"/>
      <c r="B21" s="2527" t="s">
        <v>2421</v>
      </c>
      <c r="C21" s="1701"/>
      <c r="D21" s="441"/>
      <c r="E21" s="1696"/>
      <c r="F21" s="1697"/>
      <c r="G21" s="1697"/>
      <c r="H21" s="1700"/>
      <c r="I21" s="1700"/>
      <c r="J21" s="1700"/>
      <c r="K21" s="1700"/>
      <c r="L21" s="1696"/>
      <c r="M21" s="1697"/>
      <c r="N21" s="246"/>
      <c r="O21" s="246"/>
      <c r="P21" s="255"/>
      <c r="Q21" s="255"/>
      <c r="R21" s="255"/>
      <c r="S21" s="255"/>
      <c r="T21" s="255"/>
      <c r="U21" s="255"/>
      <c r="V21" s="255"/>
      <c r="W21" s="255"/>
      <c r="X21" s="255"/>
    </row>
    <row r="22" spans="1:24" ht="105" customHeight="1">
      <c r="A22" s="2539"/>
      <c r="B22" s="2528"/>
      <c r="C22" s="1701"/>
      <c r="D22" s="441"/>
      <c r="E22" s="1696"/>
      <c r="F22" s="1697"/>
      <c r="G22" s="1697"/>
      <c r="H22" s="1700"/>
      <c r="I22" s="1700"/>
      <c r="J22" s="1700"/>
      <c r="K22" s="1700"/>
      <c r="L22" s="1696"/>
      <c r="M22" s="1697"/>
      <c r="N22" s="246"/>
      <c r="O22" s="246"/>
      <c r="P22" s="255"/>
      <c r="Q22" s="255"/>
      <c r="R22" s="255"/>
      <c r="S22" s="255"/>
      <c r="T22" s="255"/>
      <c r="U22" s="255"/>
      <c r="V22" s="255"/>
      <c r="W22" s="255"/>
      <c r="X22" s="255"/>
    </row>
    <row r="23" spans="1:24" ht="12.75" customHeight="1">
      <c r="A23" s="2539"/>
      <c r="B23" s="2527" t="s">
        <v>2474</v>
      </c>
      <c r="C23" s="1701"/>
      <c r="D23" s="441"/>
      <c r="E23" s="1696"/>
      <c r="F23" s="1697"/>
      <c r="G23" s="1697"/>
      <c r="H23" s="1700"/>
      <c r="I23" s="1700"/>
      <c r="J23" s="1700"/>
      <c r="K23" s="1700"/>
      <c r="L23" s="1696"/>
      <c r="M23" s="1697"/>
      <c r="N23" s="246"/>
      <c r="O23" s="246"/>
      <c r="P23" s="255"/>
      <c r="Q23" s="255"/>
      <c r="R23" s="255"/>
      <c r="S23" s="255"/>
      <c r="T23" s="255"/>
      <c r="U23" s="255"/>
      <c r="V23" s="255"/>
      <c r="W23" s="255"/>
      <c r="X23" s="255"/>
    </row>
    <row r="24" spans="1:24" ht="155.25" customHeight="1">
      <c r="A24" s="2539"/>
      <c r="B24" s="2528"/>
      <c r="C24" s="1701"/>
      <c r="D24" s="441"/>
      <c r="E24" s="1696"/>
      <c r="F24" s="1697"/>
      <c r="G24" s="1697"/>
      <c r="H24" s="1700"/>
      <c r="I24" s="1700"/>
      <c r="J24" s="1700"/>
      <c r="K24" s="1700"/>
      <c r="L24" s="1696"/>
      <c r="M24" s="1697"/>
      <c r="N24" s="246"/>
      <c r="O24" s="246"/>
      <c r="P24" s="255"/>
      <c r="Q24" s="255"/>
      <c r="R24" s="255"/>
      <c r="S24" s="255"/>
      <c r="T24" s="255"/>
      <c r="U24" s="255"/>
      <c r="V24" s="255"/>
      <c r="W24" s="255"/>
      <c r="X24" s="255"/>
    </row>
    <row r="25" spans="1:24" ht="14.25" customHeight="1">
      <c r="A25" s="2539"/>
      <c r="B25" s="2527" t="s">
        <v>2475</v>
      </c>
      <c r="C25" s="1701"/>
      <c r="D25" s="441"/>
      <c r="E25" s="1696"/>
      <c r="F25" s="1697"/>
      <c r="G25" s="1697"/>
      <c r="H25" s="1700"/>
      <c r="I25" s="1700"/>
      <c r="J25" s="1700"/>
      <c r="K25" s="1700"/>
      <c r="L25" s="1696"/>
      <c r="M25" s="1697"/>
      <c r="N25" s="246"/>
      <c r="O25" s="246"/>
      <c r="P25" s="255"/>
      <c r="Q25" s="255"/>
      <c r="R25" s="255"/>
      <c r="S25" s="255"/>
      <c r="T25" s="255"/>
      <c r="U25" s="255"/>
      <c r="V25" s="255"/>
      <c r="W25" s="255"/>
      <c r="X25" s="255"/>
    </row>
    <row r="26" spans="1:24" ht="66.75" customHeight="1">
      <c r="A26" s="2539"/>
      <c r="B26" s="2528"/>
      <c r="C26" s="1701"/>
      <c r="D26" s="441"/>
      <c r="E26" s="1696"/>
      <c r="F26" s="1697"/>
      <c r="G26" s="1697"/>
      <c r="H26" s="1700"/>
      <c r="I26" s="1700"/>
      <c r="J26" s="1700"/>
      <c r="K26" s="1700"/>
      <c r="L26" s="1696"/>
      <c r="M26" s="1697"/>
      <c r="N26" s="246"/>
      <c r="O26" s="246"/>
      <c r="P26" s="255"/>
      <c r="Q26" s="255"/>
      <c r="R26" s="255"/>
      <c r="S26" s="255"/>
      <c r="T26" s="255"/>
      <c r="U26" s="255"/>
      <c r="V26" s="255"/>
      <c r="W26" s="255"/>
      <c r="X26" s="255"/>
    </row>
    <row r="27" spans="1:24" ht="14.25" customHeight="1">
      <c r="A27" s="2539"/>
      <c r="B27" s="2527" t="s">
        <v>2476</v>
      </c>
      <c r="C27" s="1701"/>
      <c r="D27" s="441"/>
      <c r="E27" s="1696"/>
      <c r="F27" s="1697"/>
      <c r="G27" s="1697"/>
      <c r="H27" s="1700"/>
      <c r="I27" s="1700"/>
      <c r="J27" s="1700"/>
      <c r="K27" s="1700"/>
      <c r="L27" s="1696"/>
      <c r="M27" s="1697"/>
      <c r="N27" s="246"/>
      <c r="O27" s="246"/>
      <c r="P27" s="255"/>
      <c r="Q27" s="255"/>
      <c r="R27" s="255"/>
      <c r="S27" s="255"/>
      <c r="T27" s="255"/>
      <c r="U27" s="255"/>
      <c r="V27" s="255"/>
      <c r="W27" s="255"/>
      <c r="X27" s="255"/>
    </row>
    <row r="28" spans="1:24" ht="43.5" customHeight="1">
      <c r="A28" s="2539"/>
      <c r="B28" s="2528"/>
      <c r="C28" s="1701"/>
      <c r="D28" s="441"/>
      <c r="E28" s="1696"/>
      <c r="F28" s="1697"/>
      <c r="G28" s="1697"/>
      <c r="H28" s="1700"/>
      <c r="I28" s="1700"/>
      <c r="J28" s="1700"/>
      <c r="K28" s="1700"/>
      <c r="L28" s="1696"/>
      <c r="M28" s="1697"/>
      <c r="N28" s="246"/>
      <c r="O28" s="246"/>
      <c r="P28" s="255"/>
      <c r="Q28" s="255"/>
      <c r="R28" s="255"/>
      <c r="S28" s="255"/>
      <c r="T28" s="255"/>
      <c r="U28" s="255"/>
      <c r="V28" s="255"/>
      <c r="W28" s="255"/>
      <c r="X28" s="255"/>
    </row>
    <row r="29" spans="1:24" ht="14.25" customHeight="1">
      <c r="A29" s="2539"/>
      <c r="B29" s="2527" t="s">
        <v>2477</v>
      </c>
      <c r="C29" s="1701"/>
      <c r="D29" s="441"/>
      <c r="E29" s="1696"/>
      <c r="F29" s="1697"/>
      <c r="G29" s="1697"/>
      <c r="H29" s="1700"/>
      <c r="I29" s="1700"/>
      <c r="J29" s="1700"/>
      <c r="K29" s="1700"/>
      <c r="L29" s="1696"/>
      <c r="M29" s="1697"/>
      <c r="N29" s="246"/>
      <c r="O29" s="246"/>
      <c r="P29" s="255"/>
      <c r="Q29" s="255"/>
      <c r="R29" s="255"/>
      <c r="S29" s="255"/>
      <c r="T29" s="255"/>
      <c r="U29" s="255"/>
      <c r="V29" s="255"/>
      <c r="W29" s="255"/>
      <c r="X29" s="255"/>
    </row>
    <row r="30" spans="1:24" ht="129" customHeight="1">
      <c r="A30" s="2539"/>
      <c r="B30" s="2528"/>
      <c r="C30" s="1701"/>
      <c r="D30" s="441"/>
      <c r="E30" s="1696"/>
      <c r="F30" s="1697"/>
      <c r="G30" s="1697"/>
      <c r="H30" s="1700"/>
      <c r="I30" s="1700"/>
      <c r="J30" s="1700"/>
      <c r="K30" s="1700"/>
      <c r="L30" s="1696"/>
      <c r="M30" s="1697"/>
      <c r="N30" s="246"/>
      <c r="O30" s="246"/>
      <c r="P30" s="255"/>
      <c r="Q30" s="255"/>
      <c r="R30" s="255"/>
      <c r="S30" s="255"/>
      <c r="T30" s="255"/>
      <c r="U30" s="255"/>
      <c r="V30" s="255"/>
      <c r="W30" s="255"/>
      <c r="X30" s="255"/>
    </row>
    <row r="31" spans="1:24" ht="14.25" customHeight="1">
      <c r="A31" s="2539"/>
      <c r="B31" s="2527" t="s">
        <v>2478</v>
      </c>
      <c r="C31" s="1701"/>
      <c r="D31" s="441"/>
      <c r="E31" s="1696"/>
      <c r="F31" s="1697"/>
      <c r="G31" s="1697"/>
      <c r="H31" s="1700"/>
      <c r="I31" s="1700"/>
      <c r="J31" s="1700"/>
      <c r="K31" s="1700"/>
      <c r="L31" s="1696"/>
      <c r="M31" s="1697"/>
      <c r="N31" s="246"/>
      <c r="O31" s="246"/>
      <c r="P31" s="255"/>
      <c r="Q31" s="255"/>
      <c r="R31" s="255"/>
      <c r="S31" s="255"/>
      <c r="T31" s="255"/>
      <c r="U31" s="255"/>
      <c r="V31" s="255"/>
      <c r="W31" s="255"/>
      <c r="X31" s="255"/>
    </row>
    <row r="32" spans="1:24" ht="90" customHeight="1">
      <c r="A32" s="2580"/>
      <c r="B32" s="2527"/>
      <c r="C32" s="1701"/>
      <c r="D32" s="441"/>
      <c r="E32" s="1696"/>
      <c r="F32" s="1697"/>
      <c r="G32" s="1697"/>
      <c r="H32" s="1700"/>
      <c r="I32" s="1700"/>
      <c r="J32" s="1700"/>
      <c r="K32" s="1700"/>
      <c r="L32" s="1696"/>
      <c r="M32" s="1697"/>
      <c r="N32" s="246"/>
      <c r="O32" s="246"/>
      <c r="P32" s="255"/>
      <c r="Q32" s="255"/>
      <c r="R32" s="255"/>
      <c r="S32" s="255"/>
      <c r="T32" s="255"/>
      <c r="U32" s="255"/>
      <c r="V32" s="255"/>
      <c r="W32" s="255"/>
      <c r="X32" s="255"/>
    </row>
    <row r="33" spans="1:25" ht="13.5" customHeight="1">
      <c r="A33" s="2533" t="s">
        <v>2479</v>
      </c>
      <c r="B33" s="2527" t="s">
        <v>2480</v>
      </c>
      <c r="C33" s="1701"/>
      <c r="D33" s="441"/>
      <c r="E33" s="1696"/>
      <c r="F33" s="1697"/>
      <c r="G33" s="1697"/>
      <c r="H33" s="1700"/>
      <c r="I33" s="1700"/>
      <c r="J33" s="1700"/>
      <c r="K33" s="1700"/>
      <c r="L33" s="1696"/>
      <c r="M33" s="1697"/>
      <c r="N33" s="246"/>
      <c r="O33" s="246"/>
      <c r="P33" s="202"/>
      <c r="Q33" s="202"/>
      <c r="R33" s="202"/>
      <c r="S33" s="202"/>
      <c r="T33" s="202"/>
      <c r="U33" s="202"/>
      <c r="V33" s="202"/>
      <c r="W33" s="202"/>
      <c r="X33" s="202"/>
    </row>
    <row r="34" spans="1:25" ht="41.25" customHeight="1">
      <c r="A34" s="2539"/>
      <c r="B34" s="2528"/>
      <c r="C34" s="1701"/>
      <c r="D34" s="441"/>
      <c r="E34" s="1696"/>
      <c r="F34" s="1697"/>
      <c r="G34" s="1697"/>
      <c r="H34" s="1700"/>
      <c r="I34" s="1700"/>
      <c r="J34" s="1700"/>
      <c r="K34" s="1700"/>
      <c r="L34" s="1696"/>
      <c r="M34" s="1697"/>
      <c r="N34" s="246"/>
      <c r="O34" s="246"/>
      <c r="P34" s="255"/>
      <c r="Q34" s="255"/>
      <c r="R34" s="255"/>
      <c r="S34" s="255"/>
      <c r="T34" s="255"/>
      <c r="U34" s="255"/>
      <c r="V34" s="255"/>
      <c r="W34" s="255"/>
      <c r="X34" s="255"/>
    </row>
    <row r="35" spans="1:25" ht="14.25" customHeight="1">
      <c r="A35" s="2539"/>
      <c r="B35" s="2527" t="s">
        <v>2481</v>
      </c>
      <c r="C35" s="1701"/>
      <c r="D35" s="441"/>
      <c r="E35" s="1696"/>
      <c r="F35" s="1697"/>
      <c r="G35" s="1697"/>
      <c r="H35" s="1700"/>
      <c r="I35" s="1700"/>
      <c r="J35" s="1700"/>
      <c r="K35" s="1700"/>
      <c r="L35" s="1696"/>
      <c r="M35" s="1697"/>
      <c r="N35" s="246"/>
      <c r="O35" s="246"/>
      <c r="P35" s="246"/>
      <c r="Q35" s="246"/>
    </row>
    <row r="36" spans="1:25" ht="103.5" customHeight="1">
      <c r="A36" s="2539"/>
      <c r="B36" s="2528"/>
      <c r="C36" s="1701"/>
      <c r="D36" s="441"/>
      <c r="E36" s="1696"/>
      <c r="F36" s="1697"/>
      <c r="G36" s="1697"/>
      <c r="H36" s="1700"/>
      <c r="I36" s="1700"/>
      <c r="J36" s="1700"/>
      <c r="K36" s="1700"/>
      <c r="L36" s="1696"/>
      <c r="M36" s="1697"/>
      <c r="N36" s="246"/>
      <c r="O36" s="246"/>
      <c r="P36" s="246"/>
      <c r="Q36" s="246"/>
    </row>
    <row r="37" spans="1:25" ht="12.75" customHeight="1">
      <c r="A37" s="2539"/>
      <c r="B37" s="2527" t="s">
        <v>2482</v>
      </c>
      <c r="C37" s="1701"/>
      <c r="D37" s="441"/>
      <c r="E37" s="1696"/>
      <c r="F37" s="1697"/>
      <c r="G37" s="1697"/>
      <c r="H37" s="1700"/>
      <c r="I37" s="1700"/>
      <c r="J37" s="1700"/>
      <c r="K37" s="1700"/>
      <c r="L37" s="1696"/>
      <c r="M37" s="1697"/>
      <c r="N37" s="246"/>
      <c r="O37" s="246"/>
      <c r="P37" s="246"/>
      <c r="Q37" s="246"/>
    </row>
    <row r="38" spans="1:25" ht="55.5" customHeight="1">
      <c r="A38" s="2539"/>
      <c r="B38" s="2528"/>
      <c r="C38" s="1701" t="s">
        <v>1340</v>
      </c>
      <c r="D38" s="441"/>
      <c r="E38" s="1696"/>
      <c r="F38" s="1697"/>
      <c r="G38" s="1697"/>
      <c r="H38" s="1700"/>
      <c r="I38" s="1700"/>
      <c r="J38" s="1700"/>
      <c r="K38" s="1700"/>
      <c r="L38" s="1696"/>
      <c r="M38" s="1697"/>
      <c r="N38" s="246"/>
      <c r="O38" s="246"/>
      <c r="P38" s="246"/>
      <c r="Q38" s="246"/>
    </row>
    <row r="39" spans="1:25" ht="15" customHeight="1">
      <c r="A39" s="2539"/>
      <c r="B39" s="2527" t="s">
        <v>2483</v>
      </c>
      <c r="C39" s="1701" t="s">
        <v>497</v>
      </c>
      <c r="D39" s="441"/>
      <c r="E39" s="1696"/>
      <c r="F39" s="1697"/>
      <c r="G39" s="1697"/>
      <c r="H39" s="1700"/>
      <c r="I39" s="1700"/>
      <c r="J39" s="1700"/>
      <c r="K39" s="1700"/>
      <c r="L39" s="1696"/>
      <c r="M39" s="1697"/>
      <c r="N39" s="246"/>
      <c r="O39" s="246"/>
      <c r="P39" s="246"/>
      <c r="Q39" s="246"/>
    </row>
    <row r="40" spans="1:25" ht="129.75" customHeight="1">
      <c r="A40" s="2539"/>
      <c r="B40" s="2528"/>
      <c r="C40" s="1701" t="s">
        <v>547</v>
      </c>
      <c r="D40" s="441"/>
      <c r="E40" s="1696"/>
      <c r="F40" s="1697"/>
      <c r="G40" s="1697"/>
      <c r="H40" s="1700"/>
      <c r="I40" s="1700"/>
      <c r="J40" s="1700"/>
      <c r="K40" s="1700"/>
      <c r="L40" s="1696"/>
      <c r="M40" s="1697"/>
      <c r="N40" s="246"/>
      <c r="O40" s="246"/>
      <c r="P40" s="246"/>
      <c r="Q40" s="246"/>
    </row>
    <row r="41" spans="1:25" ht="12.75" customHeight="1">
      <c r="A41" s="2539"/>
      <c r="B41" s="2527" t="s">
        <v>2484</v>
      </c>
      <c r="C41" s="1701" t="s">
        <v>1554</v>
      </c>
      <c r="D41" s="441"/>
      <c r="E41" s="1696"/>
      <c r="F41" s="1697"/>
      <c r="G41" s="1697"/>
      <c r="H41" s="1700"/>
      <c r="I41" s="1700"/>
      <c r="J41" s="1700"/>
      <c r="K41" s="1700"/>
      <c r="L41" s="1696"/>
      <c r="M41" s="1697"/>
      <c r="N41" s="246"/>
      <c r="O41" s="246"/>
      <c r="P41" s="246"/>
      <c r="Q41" s="246"/>
    </row>
    <row r="42" spans="1:25" ht="116.25" customHeight="1">
      <c r="A42" s="2539"/>
      <c r="B42" s="2528"/>
      <c r="C42" s="1701" t="s">
        <v>1555</v>
      </c>
      <c r="D42" s="441"/>
      <c r="E42" s="1696"/>
      <c r="F42" s="1697"/>
      <c r="G42" s="1697"/>
      <c r="H42" s="1700"/>
      <c r="I42" s="1700"/>
      <c r="J42" s="1700"/>
      <c r="K42" s="1700"/>
      <c r="L42" s="1696"/>
      <c r="M42" s="1697"/>
      <c r="N42" s="246"/>
      <c r="O42" s="246"/>
      <c r="P42" s="246"/>
      <c r="Q42" s="246"/>
    </row>
    <row r="43" spans="1:25" ht="12.75" customHeight="1">
      <c r="A43" s="2539"/>
      <c r="B43" s="2527" t="s">
        <v>2485</v>
      </c>
      <c r="C43" s="1701" t="s">
        <v>1556</v>
      </c>
      <c r="D43" s="441"/>
      <c r="E43" s="1696"/>
      <c r="F43" s="1697"/>
      <c r="G43" s="1697"/>
      <c r="H43" s="1700"/>
      <c r="I43" s="1700"/>
      <c r="J43" s="1700"/>
      <c r="K43" s="1700"/>
      <c r="L43" s="1696"/>
      <c r="M43" s="1697"/>
      <c r="N43" s="246"/>
      <c r="O43" s="246"/>
      <c r="P43" s="246"/>
      <c r="Q43" s="246"/>
    </row>
    <row r="44" spans="1:25" ht="104.25" customHeight="1">
      <c r="A44" s="2539"/>
      <c r="B44" s="2528"/>
      <c r="C44" s="1701" t="s">
        <v>561</v>
      </c>
      <c r="D44" s="441"/>
      <c r="E44" s="1696"/>
      <c r="F44" s="1697"/>
      <c r="G44" s="1697"/>
      <c r="H44" s="1700"/>
      <c r="I44" s="1700"/>
      <c r="J44" s="1700"/>
      <c r="K44" s="1700"/>
      <c r="L44" s="1696"/>
      <c r="M44" s="1697"/>
      <c r="N44" s="246"/>
      <c r="O44" s="246"/>
      <c r="P44" s="246"/>
      <c r="Q44" s="246"/>
    </row>
    <row r="45" spans="1:25" ht="13.5" customHeight="1">
      <c r="A45" s="2539"/>
      <c r="B45" s="2527" t="s">
        <v>2486</v>
      </c>
      <c r="C45" s="1701" t="s">
        <v>562</v>
      </c>
      <c r="D45" s="441"/>
      <c r="E45" s="1696"/>
      <c r="F45" s="1697"/>
      <c r="G45" s="1697"/>
      <c r="H45" s="1700"/>
      <c r="I45" s="1700"/>
      <c r="J45" s="1700"/>
      <c r="K45" s="1700"/>
      <c r="L45" s="1696"/>
      <c r="M45" s="1697"/>
      <c r="N45" s="246"/>
      <c r="O45" s="246"/>
      <c r="P45" s="246"/>
      <c r="Q45" s="246"/>
    </row>
    <row r="46" spans="1:25" ht="64.5" customHeight="1">
      <c r="A46" s="2580"/>
      <c r="B46" s="2527"/>
      <c r="C46" s="1701" t="s">
        <v>942</v>
      </c>
      <c r="D46" s="441"/>
      <c r="E46" s="1696"/>
      <c r="F46" s="1697"/>
      <c r="G46" s="1697"/>
      <c r="H46" s="1700"/>
      <c r="I46" s="1700"/>
      <c r="J46" s="1700"/>
      <c r="K46" s="1700"/>
      <c r="L46" s="1696"/>
      <c r="M46" s="1697"/>
      <c r="N46" s="246"/>
      <c r="O46" s="246"/>
      <c r="P46" s="246"/>
      <c r="Q46" s="246"/>
    </row>
    <row r="47" spans="1:25" ht="14.25" customHeight="1">
      <c r="A47" s="2611" t="s">
        <v>2487</v>
      </c>
      <c r="B47" s="2528" t="s">
        <v>2488</v>
      </c>
      <c r="C47" s="1701" t="s">
        <v>943</v>
      </c>
      <c r="D47" s="441"/>
      <c r="E47" s="1696"/>
      <c r="F47" s="1697"/>
      <c r="G47" s="1697"/>
      <c r="H47" s="1700"/>
      <c r="I47" s="1700"/>
      <c r="J47" s="1700"/>
      <c r="K47" s="1700"/>
      <c r="L47" s="1696"/>
      <c r="M47" s="1697"/>
      <c r="N47" s="246"/>
      <c r="O47" s="246"/>
      <c r="P47" s="246"/>
      <c r="Q47" s="246"/>
    </row>
    <row r="48" spans="1:25" ht="69" customHeight="1">
      <c r="A48" s="2539"/>
      <c r="B48" s="2528"/>
      <c r="C48" s="1701" t="s">
        <v>944</v>
      </c>
      <c r="D48" s="441"/>
      <c r="E48" s="1696"/>
      <c r="F48" s="1697"/>
      <c r="G48" s="1697"/>
      <c r="H48" s="1700"/>
      <c r="I48" s="1700"/>
      <c r="J48" s="1700"/>
      <c r="K48" s="1700"/>
      <c r="L48" s="1696"/>
      <c r="M48" s="1697"/>
      <c r="N48" s="444"/>
      <c r="O48" s="444"/>
      <c r="P48" s="255"/>
      <c r="Q48" s="255"/>
      <c r="R48" s="255"/>
      <c r="S48" s="255"/>
      <c r="T48" s="255"/>
      <c r="U48" s="255"/>
      <c r="V48" s="255"/>
      <c r="W48" s="255"/>
      <c r="X48" s="255"/>
      <c r="Y48" s="445"/>
    </row>
    <row r="49" spans="1:24" ht="120">
      <c r="A49" s="2539"/>
      <c r="B49" s="2528" t="s">
        <v>3953</v>
      </c>
      <c r="C49" s="1701" t="s">
        <v>945</v>
      </c>
      <c r="D49" s="441"/>
      <c r="E49" s="1696"/>
      <c r="F49" s="1697"/>
      <c r="G49" s="1697"/>
      <c r="H49" s="1700"/>
      <c r="I49" s="1700"/>
      <c r="J49" s="1700"/>
      <c r="K49" s="1700"/>
      <c r="L49" s="1696"/>
      <c r="M49" s="1697"/>
      <c r="N49" s="446"/>
      <c r="O49" s="446"/>
      <c r="P49" s="255"/>
      <c r="Q49" s="255"/>
      <c r="R49" s="255"/>
      <c r="S49" s="255"/>
      <c r="T49" s="255"/>
      <c r="U49" s="255"/>
      <c r="V49" s="255"/>
      <c r="W49" s="255"/>
      <c r="X49" s="255"/>
    </row>
    <row r="50" spans="1:24" ht="12">
      <c r="A50" s="2539"/>
      <c r="B50" s="2528"/>
      <c r="C50" s="1701"/>
      <c r="D50" s="441"/>
      <c r="E50" s="1696"/>
      <c r="F50" s="1697"/>
      <c r="G50" s="1697"/>
      <c r="H50" s="1700"/>
      <c r="I50" s="1700"/>
      <c r="J50" s="1700"/>
      <c r="K50" s="1700"/>
      <c r="L50" s="1696"/>
      <c r="M50" s="1697"/>
      <c r="N50" s="446"/>
      <c r="O50" s="446"/>
      <c r="P50" s="255"/>
      <c r="Q50" s="255"/>
      <c r="R50" s="255"/>
      <c r="S50" s="255"/>
      <c r="T50" s="255"/>
      <c r="U50" s="255"/>
      <c r="V50" s="255"/>
      <c r="W50" s="255"/>
      <c r="X50" s="255"/>
    </row>
    <row r="51" spans="1:24" ht="48">
      <c r="A51" s="2539"/>
      <c r="B51" s="2528" t="s">
        <v>3954</v>
      </c>
      <c r="C51" s="1701"/>
      <c r="D51" s="441"/>
      <c r="E51" s="1696"/>
      <c r="F51" s="1697"/>
      <c r="G51" s="1697"/>
      <c r="H51" s="1700"/>
      <c r="I51" s="1700"/>
      <c r="J51" s="1700"/>
      <c r="K51" s="1700"/>
      <c r="L51" s="1696"/>
      <c r="M51" s="1697"/>
      <c r="N51" s="446"/>
      <c r="O51" s="446"/>
      <c r="P51" s="255"/>
      <c r="Q51" s="255"/>
      <c r="R51" s="255"/>
      <c r="S51" s="255"/>
      <c r="T51" s="255"/>
      <c r="U51" s="255"/>
      <c r="V51" s="255"/>
      <c r="W51" s="255"/>
      <c r="X51" s="255"/>
    </row>
    <row r="52" spans="1:24" ht="12">
      <c r="A52" s="2539"/>
      <c r="B52" s="2528"/>
      <c r="C52" s="1701"/>
      <c r="D52" s="441"/>
      <c r="E52" s="1696"/>
      <c r="F52" s="1697"/>
      <c r="G52" s="1697"/>
      <c r="H52" s="1700"/>
      <c r="I52" s="1700"/>
      <c r="J52" s="1700"/>
      <c r="K52" s="1700"/>
      <c r="L52" s="1696"/>
      <c r="M52" s="1697"/>
      <c r="N52" s="446"/>
      <c r="O52" s="446"/>
      <c r="P52" s="255"/>
      <c r="Q52" s="255"/>
      <c r="R52" s="255"/>
      <c r="S52" s="255"/>
      <c r="T52" s="255"/>
      <c r="U52" s="255"/>
      <c r="V52" s="255"/>
      <c r="W52" s="255"/>
      <c r="X52" s="255"/>
    </row>
    <row r="53" spans="1:24" ht="96">
      <c r="A53" s="2539"/>
      <c r="B53" s="2528" t="s">
        <v>2489</v>
      </c>
      <c r="C53" s="1701"/>
      <c r="D53" s="441"/>
      <c r="E53" s="1696"/>
      <c r="F53" s="1697"/>
      <c r="G53" s="1697"/>
      <c r="H53" s="1700"/>
      <c r="I53" s="1700"/>
      <c r="J53" s="1700"/>
      <c r="K53" s="1700"/>
      <c r="L53" s="1696"/>
      <c r="M53" s="1697"/>
      <c r="N53" s="446"/>
      <c r="O53" s="446"/>
      <c r="P53" s="255"/>
      <c r="Q53" s="255"/>
      <c r="R53" s="255"/>
      <c r="S53" s="255"/>
      <c r="T53" s="255"/>
      <c r="U53" s="255"/>
      <c r="V53" s="255"/>
      <c r="W53" s="255"/>
      <c r="X53" s="255"/>
    </row>
    <row r="54" spans="1:24" ht="12">
      <c r="A54" s="2580"/>
      <c r="B54" s="2527"/>
      <c r="C54" s="1701"/>
      <c r="D54" s="441"/>
      <c r="E54" s="1696"/>
      <c r="F54" s="1697"/>
      <c r="G54" s="1697"/>
      <c r="H54" s="1700"/>
      <c r="I54" s="1700"/>
      <c r="J54" s="1700"/>
      <c r="K54" s="1700"/>
      <c r="L54" s="1696"/>
      <c r="M54" s="1697"/>
      <c r="N54" s="446"/>
      <c r="O54" s="446"/>
      <c r="P54" s="255"/>
      <c r="Q54" s="255"/>
      <c r="R54" s="255"/>
      <c r="S54" s="255"/>
      <c r="T54" s="255"/>
      <c r="U54" s="255"/>
      <c r="V54" s="255"/>
      <c r="W54" s="255"/>
      <c r="X54" s="255"/>
    </row>
    <row r="55" spans="1:24" ht="60">
      <c r="A55" s="2533" t="s">
        <v>2490</v>
      </c>
      <c r="B55" s="2527" t="s">
        <v>2491</v>
      </c>
      <c r="C55" s="1701">
        <v>0</v>
      </c>
      <c r="D55" s="441"/>
      <c r="E55" s="1696"/>
      <c r="F55" s="1697"/>
      <c r="G55" s="1697"/>
      <c r="H55" s="1700"/>
      <c r="I55" s="1700"/>
      <c r="J55" s="1700"/>
      <c r="K55" s="1700"/>
      <c r="L55" s="1696"/>
      <c r="M55" s="1697"/>
      <c r="N55" s="446"/>
      <c r="O55" s="446"/>
      <c r="P55" s="255"/>
      <c r="Q55" s="255"/>
      <c r="R55" s="255"/>
      <c r="S55" s="255"/>
      <c r="T55" s="255"/>
      <c r="U55" s="255"/>
      <c r="V55" s="255"/>
      <c r="W55" s="255"/>
      <c r="X55" s="255"/>
    </row>
    <row r="56" spans="1:24" ht="12">
      <c r="A56" s="2539"/>
      <c r="B56" s="2527"/>
      <c r="C56" s="1701" t="s">
        <v>947</v>
      </c>
      <c r="D56" s="441"/>
      <c r="E56" s="1696"/>
      <c r="F56" s="1696"/>
      <c r="G56" s="1697"/>
      <c r="H56" s="1698"/>
      <c r="I56" s="1696"/>
      <c r="J56" s="1699"/>
      <c r="K56" s="1700"/>
      <c r="L56" s="1696"/>
      <c r="M56" s="1697"/>
      <c r="N56" s="446"/>
      <c r="O56" s="446"/>
      <c r="P56" s="255"/>
      <c r="Q56" s="255"/>
      <c r="R56" s="255"/>
      <c r="S56" s="255"/>
      <c r="T56" s="255"/>
      <c r="U56" s="255"/>
      <c r="V56" s="255"/>
      <c r="W56" s="255"/>
      <c r="X56" s="255"/>
    </row>
    <row r="57" spans="1:24" ht="48">
      <c r="A57" s="2526" t="s">
        <v>2535</v>
      </c>
      <c r="B57" s="2527" t="s">
        <v>2496</v>
      </c>
      <c r="C57" s="1701"/>
      <c r="D57" s="441"/>
      <c r="E57" s="1696">
        <v>1175729704</v>
      </c>
      <c r="F57" s="1697">
        <v>1483316978</v>
      </c>
      <c r="G57" s="1697">
        <v>1410716129</v>
      </c>
      <c r="H57" s="1700">
        <v>1939375441</v>
      </c>
      <c r="I57" s="1696">
        <v>1836615473</v>
      </c>
      <c r="J57" s="1699">
        <v>1836615473</v>
      </c>
      <c r="K57" s="1700">
        <v>1666433965</v>
      </c>
      <c r="L57" s="1696">
        <v>1743667251</v>
      </c>
      <c r="M57" s="1697">
        <v>1879298002</v>
      </c>
      <c r="N57" s="446"/>
      <c r="O57" s="446"/>
      <c r="P57" s="255"/>
      <c r="Q57" s="255"/>
      <c r="R57" s="255"/>
      <c r="S57" s="255"/>
      <c r="T57" s="255"/>
      <c r="U57" s="255"/>
      <c r="V57" s="255"/>
      <c r="W57" s="255"/>
      <c r="X57" s="255"/>
    </row>
    <row r="58" spans="1:24" ht="69" customHeight="1">
      <c r="A58" s="2539"/>
      <c r="B58" s="2527"/>
      <c r="C58" s="1701"/>
      <c r="D58" s="441"/>
      <c r="E58" s="1696"/>
      <c r="F58" s="1697"/>
      <c r="G58" s="1697"/>
      <c r="H58" s="1700"/>
      <c r="I58" s="1696"/>
      <c r="J58" s="1699"/>
      <c r="K58" s="1700"/>
      <c r="L58" s="1696"/>
      <c r="M58" s="1697"/>
      <c r="N58" s="446"/>
      <c r="O58" s="446"/>
      <c r="P58" s="255"/>
      <c r="Q58" s="255"/>
      <c r="R58" s="255"/>
      <c r="S58" s="255"/>
      <c r="T58" s="255"/>
      <c r="U58" s="255"/>
      <c r="V58" s="255"/>
      <c r="W58" s="255"/>
      <c r="X58" s="255"/>
    </row>
    <row r="59" spans="1:24" ht="72">
      <c r="A59" s="2539"/>
      <c r="B59" s="2527" t="s">
        <v>2497</v>
      </c>
      <c r="C59" s="1701"/>
      <c r="D59" s="441"/>
      <c r="E59" s="1696">
        <v>18714545</v>
      </c>
      <c r="F59" s="1697">
        <v>19398958</v>
      </c>
      <c r="G59" s="1697">
        <v>22312037</v>
      </c>
      <c r="H59" s="1700">
        <v>57228676</v>
      </c>
      <c r="I59" s="1696">
        <v>53193027</v>
      </c>
      <c r="J59" s="1699">
        <v>53193027</v>
      </c>
      <c r="K59" s="1700">
        <v>70013068</v>
      </c>
      <c r="L59" s="1696">
        <v>73559344</v>
      </c>
      <c r="M59" s="1697">
        <v>77669032</v>
      </c>
      <c r="N59" s="446"/>
      <c r="O59" s="446"/>
      <c r="P59" s="255"/>
      <c r="Q59" s="255"/>
      <c r="R59" s="255"/>
      <c r="S59" s="255"/>
      <c r="T59" s="255"/>
      <c r="U59" s="255"/>
      <c r="V59" s="255"/>
      <c r="W59" s="255"/>
      <c r="X59" s="255"/>
    </row>
    <row r="60" spans="1:24" ht="94.5" customHeight="1">
      <c r="A60" s="2539"/>
      <c r="B60" s="2528"/>
      <c r="C60" s="1701"/>
      <c r="D60" s="441"/>
      <c r="E60" s="1696"/>
      <c r="F60" s="1697"/>
      <c r="G60" s="1697"/>
      <c r="H60" s="1700"/>
      <c r="I60" s="1696"/>
      <c r="J60" s="1699"/>
      <c r="K60" s="1700"/>
      <c r="L60" s="1696"/>
      <c r="M60" s="1697"/>
      <c r="N60" s="446"/>
      <c r="O60" s="446"/>
      <c r="P60" s="255"/>
      <c r="Q60" s="255"/>
      <c r="R60" s="255"/>
      <c r="S60" s="255"/>
      <c r="T60" s="255"/>
      <c r="U60" s="255"/>
      <c r="V60" s="255"/>
      <c r="W60" s="255"/>
      <c r="X60" s="255"/>
    </row>
    <row r="61" spans="1:24" ht="84">
      <c r="A61" s="2539"/>
      <c r="B61" s="2527" t="s">
        <v>2498</v>
      </c>
      <c r="C61" s="1701"/>
      <c r="D61" s="441"/>
      <c r="E61" s="1696"/>
      <c r="F61" s="1697"/>
      <c r="G61" s="1697"/>
      <c r="H61" s="1700"/>
      <c r="I61" s="1696"/>
      <c r="J61" s="1699"/>
      <c r="K61" s="1700">
        <v>0</v>
      </c>
      <c r="L61" s="1696">
        <v>0</v>
      </c>
      <c r="M61" s="1697">
        <v>0</v>
      </c>
      <c r="N61" s="446"/>
      <c r="O61" s="446"/>
      <c r="P61" s="255"/>
      <c r="Q61" s="255"/>
      <c r="R61" s="255"/>
      <c r="S61" s="255"/>
      <c r="T61" s="255"/>
      <c r="U61" s="255"/>
      <c r="V61" s="255"/>
      <c r="W61" s="255"/>
      <c r="X61" s="255"/>
    </row>
    <row r="62" spans="1:24" ht="12">
      <c r="A62" s="2539"/>
      <c r="B62" s="2528"/>
      <c r="C62" s="1701"/>
      <c r="D62" s="441"/>
      <c r="E62" s="1696"/>
      <c r="F62" s="1697"/>
      <c r="G62" s="1697"/>
      <c r="H62" s="1700"/>
      <c r="I62" s="1696"/>
      <c r="J62" s="1699"/>
      <c r="K62" s="1700"/>
      <c r="L62" s="1696"/>
      <c r="M62" s="1697"/>
      <c r="N62" s="446"/>
      <c r="O62" s="446"/>
      <c r="P62" s="255"/>
      <c r="Q62" s="255"/>
      <c r="R62" s="255"/>
      <c r="S62" s="255"/>
      <c r="T62" s="255"/>
      <c r="U62" s="255"/>
      <c r="V62" s="255"/>
      <c r="W62" s="255"/>
      <c r="X62" s="255"/>
    </row>
    <row r="63" spans="1:24" ht="48">
      <c r="A63" s="2539"/>
      <c r="B63" s="2527" t="s">
        <v>2499</v>
      </c>
      <c r="C63" s="1701"/>
      <c r="D63" s="441"/>
      <c r="E63" s="1696"/>
      <c r="F63" s="1697"/>
      <c r="G63" s="1697"/>
      <c r="H63" s="1700"/>
      <c r="I63" s="1696"/>
      <c r="J63" s="1699"/>
      <c r="K63" s="1700">
        <v>0</v>
      </c>
      <c r="L63" s="1696">
        <v>0</v>
      </c>
      <c r="M63" s="1697">
        <v>0</v>
      </c>
      <c r="N63" s="446"/>
      <c r="O63" s="446"/>
      <c r="P63" s="255"/>
      <c r="Q63" s="255"/>
      <c r="R63" s="255"/>
      <c r="S63" s="255"/>
      <c r="T63" s="255"/>
      <c r="U63" s="255"/>
      <c r="V63" s="255"/>
      <c r="W63" s="255"/>
      <c r="X63" s="255"/>
    </row>
    <row r="64" spans="1:24" ht="12">
      <c r="A64" s="2539"/>
      <c r="B64" s="2528"/>
      <c r="C64" s="1701"/>
      <c r="D64" s="441"/>
      <c r="E64" s="1696"/>
      <c r="F64" s="1697"/>
      <c r="G64" s="1697"/>
      <c r="H64" s="1700"/>
      <c r="I64" s="1696"/>
      <c r="J64" s="1699"/>
      <c r="K64" s="1700"/>
      <c r="L64" s="1696"/>
      <c r="M64" s="1697"/>
      <c r="N64" s="446"/>
      <c r="O64" s="446"/>
      <c r="P64" s="255"/>
      <c r="Q64" s="255"/>
      <c r="R64" s="255"/>
      <c r="S64" s="255"/>
      <c r="T64" s="255"/>
      <c r="U64" s="255"/>
      <c r="V64" s="255"/>
      <c r="W64" s="255"/>
      <c r="X64" s="255"/>
    </row>
    <row r="65" spans="1:24" ht="13.5" customHeight="1">
      <c r="A65" s="2539"/>
      <c r="B65" s="2527" t="s">
        <v>2500</v>
      </c>
      <c r="C65" s="1701"/>
      <c r="D65" s="441"/>
      <c r="E65" s="1696">
        <v>228008206</v>
      </c>
      <c r="F65" s="1697">
        <v>120175605</v>
      </c>
      <c r="G65" s="1697">
        <v>82432050</v>
      </c>
      <c r="H65" s="1700">
        <v>85476909</v>
      </c>
      <c r="I65" s="1696">
        <v>114971730</v>
      </c>
      <c r="J65" s="1699">
        <v>114971730</v>
      </c>
      <c r="K65" s="1700">
        <v>180955299</v>
      </c>
      <c r="L65" s="1696">
        <v>182831008</v>
      </c>
      <c r="M65" s="1697">
        <v>194968715</v>
      </c>
      <c r="N65" s="446"/>
      <c r="O65" s="446"/>
      <c r="P65" s="255"/>
      <c r="Q65" s="255"/>
      <c r="R65" s="255"/>
      <c r="S65" s="255"/>
      <c r="T65" s="255"/>
      <c r="U65" s="255"/>
      <c r="V65" s="255"/>
      <c r="W65" s="255"/>
      <c r="X65" s="255"/>
    </row>
    <row r="66" spans="1:24" ht="12">
      <c r="A66" s="2580"/>
      <c r="B66" s="2527"/>
      <c r="C66" s="1701"/>
      <c r="D66" s="441"/>
      <c r="E66" s="1696"/>
      <c r="F66" s="1697"/>
      <c r="G66" s="1697"/>
      <c r="H66" s="1700"/>
      <c r="I66" s="1696"/>
      <c r="J66" s="1699"/>
      <c r="K66" s="1700"/>
      <c r="L66" s="1696"/>
      <c r="M66" s="1697"/>
      <c r="N66" s="446"/>
      <c r="O66" s="446"/>
      <c r="P66" s="255"/>
      <c r="Q66" s="255"/>
      <c r="R66" s="255"/>
      <c r="S66" s="255"/>
      <c r="T66" s="255"/>
      <c r="U66" s="255"/>
      <c r="V66" s="255"/>
      <c r="W66" s="255"/>
      <c r="X66" s="255"/>
    </row>
    <row r="67" spans="1:24" ht="60">
      <c r="A67" s="2533" t="s">
        <v>2501</v>
      </c>
      <c r="B67" s="2527" t="s">
        <v>2502</v>
      </c>
      <c r="C67" s="1701"/>
      <c r="D67" s="441"/>
      <c r="E67" s="1696"/>
      <c r="F67" s="1697"/>
      <c r="G67" s="1697"/>
      <c r="H67" s="1700"/>
      <c r="I67" s="1696"/>
      <c r="J67" s="1699"/>
      <c r="K67" s="1700">
        <v>0</v>
      </c>
      <c r="L67" s="1696">
        <v>0</v>
      </c>
      <c r="M67" s="1697">
        <v>0</v>
      </c>
      <c r="N67" s="446"/>
      <c r="O67" s="446"/>
      <c r="P67" s="255"/>
      <c r="Q67" s="255"/>
      <c r="R67" s="255"/>
      <c r="S67" s="255"/>
      <c r="T67" s="255"/>
      <c r="U67" s="255"/>
      <c r="V67" s="255"/>
      <c r="W67" s="255"/>
      <c r="X67" s="255"/>
    </row>
    <row r="68" spans="1:24" ht="12">
      <c r="A68" s="2539"/>
      <c r="B68" s="2528"/>
      <c r="C68" s="1701"/>
      <c r="D68" s="441"/>
      <c r="E68" s="1696"/>
      <c r="F68" s="1697"/>
      <c r="G68" s="1697"/>
      <c r="H68" s="1700"/>
      <c r="I68" s="1696"/>
      <c r="J68" s="1699"/>
      <c r="K68" s="1700"/>
      <c r="L68" s="1696"/>
      <c r="M68" s="1697"/>
      <c r="N68" s="446"/>
      <c r="O68" s="446"/>
      <c r="P68" s="255"/>
      <c r="Q68" s="255"/>
      <c r="R68" s="255"/>
      <c r="S68" s="255"/>
      <c r="T68" s="255"/>
      <c r="U68" s="255"/>
      <c r="V68" s="255"/>
      <c r="W68" s="255"/>
      <c r="X68" s="255"/>
    </row>
    <row r="69" spans="1:24" ht="84">
      <c r="A69" s="2539"/>
      <c r="B69" s="2527" t="s">
        <v>2503</v>
      </c>
      <c r="C69" s="1701"/>
      <c r="D69" s="441"/>
      <c r="E69" s="1696"/>
      <c r="F69" s="1697"/>
      <c r="G69" s="1697"/>
      <c r="H69" s="1700"/>
      <c r="I69" s="1696"/>
      <c r="J69" s="1699"/>
      <c r="K69" s="1700">
        <v>0</v>
      </c>
      <c r="L69" s="1696">
        <v>0</v>
      </c>
      <c r="M69" s="1697">
        <v>0</v>
      </c>
      <c r="N69" s="446"/>
      <c r="O69" s="446"/>
      <c r="P69" s="255"/>
      <c r="Q69" s="255"/>
      <c r="R69" s="255"/>
      <c r="S69" s="255"/>
      <c r="T69" s="255"/>
      <c r="U69" s="255"/>
      <c r="V69" s="255"/>
      <c r="W69" s="255"/>
      <c r="X69" s="255"/>
    </row>
    <row r="70" spans="1:24" ht="12">
      <c r="A70" s="2539"/>
      <c r="B70" s="2528"/>
      <c r="C70" s="1701"/>
      <c r="D70" s="441"/>
      <c r="E70" s="1696"/>
      <c r="F70" s="1697"/>
      <c r="G70" s="1697"/>
      <c r="H70" s="1700"/>
      <c r="I70" s="1696"/>
      <c r="J70" s="1699"/>
      <c r="K70" s="1700"/>
      <c r="L70" s="1696"/>
      <c r="M70" s="1697"/>
      <c r="N70" s="446"/>
      <c r="O70" s="446"/>
      <c r="P70" s="255"/>
      <c r="Q70" s="255"/>
      <c r="R70" s="255"/>
      <c r="S70" s="255"/>
      <c r="T70" s="255"/>
      <c r="U70" s="255"/>
      <c r="V70" s="255"/>
      <c r="W70" s="255"/>
      <c r="X70" s="255"/>
    </row>
    <row r="71" spans="1:24" ht="84">
      <c r="A71" s="2539"/>
      <c r="B71" s="2527" t="s">
        <v>2504</v>
      </c>
      <c r="C71" s="1701"/>
      <c r="D71" s="441"/>
      <c r="E71" s="1696">
        <v>3667882</v>
      </c>
      <c r="F71" s="1697">
        <v>4526455</v>
      </c>
      <c r="G71" s="1697">
        <v>4452506</v>
      </c>
      <c r="H71" s="1700">
        <v>21443293.43</v>
      </c>
      <c r="I71" s="1696">
        <v>21108139</v>
      </c>
      <c r="J71" s="1699">
        <v>21108139</v>
      </c>
      <c r="K71" s="1700">
        <v>17706218</v>
      </c>
      <c r="L71" s="1696">
        <v>13499106</v>
      </c>
      <c r="M71" s="1697">
        <v>15377756</v>
      </c>
      <c r="N71" s="446"/>
      <c r="O71" s="446"/>
      <c r="P71" s="255"/>
      <c r="Q71" s="255"/>
      <c r="R71" s="255"/>
      <c r="S71" s="255"/>
      <c r="T71" s="255"/>
      <c r="U71" s="255"/>
      <c r="V71" s="255"/>
      <c r="W71" s="255"/>
      <c r="X71" s="255"/>
    </row>
    <row r="72" spans="1:24" ht="94.5" customHeight="1">
      <c r="A72" s="2539"/>
      <c r="B72" s="2528"/>
      <c r="C72" s="1701"/>
      <c r="D72" s="441"/>
      <c r="E72" s="1696"/>
      <c r="F72" s="1697"/>
      <c r="G72" s="1697"/>
      <c r="H72" s="1700"/>
      <c r="I72" s="1696"/>
      <c r="J72" s="1699"/>
      <c r="K72" s="1700"/>
      <c r="L72" s="1696"/>
      <c r="M72" s="1697"/>
      <c r="N72" s="447"/>
      <c r="O72" s="447"/>
      <c r="P72" s="255"/>
      <c r="Q72" s="255"/>
      <c r="R72" s="255"/>
      <c r="S72" s="255"/>
      <c r="T72" s="255"/>
      <c r="U72" s="255"/>
      <c r="V72" s="255"/>
      <c r="W72" s="255"/>
      <c r="X72" s="255"/>
    </row>
    <row r="73" spans="1:24" ht="15" customHeight="1">
      <c r="A73" s="2539"/>
      <c r="B73" s="2527" t="s">
        <v>2505</v>
      </c>
      <c r="C73" s="1701"/>
      <c r="D73" s="441"/>
      <c r="E73" s="1696"/>
      <c r="F73" s="1697"/>
      <c r="G73" s="1697"/>
      <c r="H73" s="1700"/>
      <c r="I73" s="1696"/>
      <c r="J73" s="1699"/>
      <c r="K73" s="1700">
        <v>0</v>
      </c>
      <c r="L73" s="1696">
        <v>0</v>
      </c>
      <c r="M73" s="1697">
        <v>0</v>
      </c>
      <c r="N73" s="447"/>
      <c r="O73" s="447"/>
      <c r="P73" s="255"/>
      <c r="Q73" s="255"/>
      <c r="R73" s="255"/>
      <c r="S73" s="255"/>
      <c r="T73" s="255"/>
      <c r="U73" s="255"/>
      <c r="V73" s="255"/>
      <c r="W73" s="255"/>
      <c r="X73" s="255"/>
    </row>
    <row r="74" spans="1:24" ht="12">
      <c r="A74" s="2539"/>
      <c r="B74" s="2528"/>
      <c r="C74" s="1701"/>
      <c r="D74" s="441"/>
      <c r="E74" s="1696"/>
      <c r="F74" s="1697"/>
      <c r="G74" s="1697"/>
      <c r="H74" s="1700"/>
      <c r="I74" s="1696"/>
      <c r="J74" s="1699"/>
      <c r="K74" s="1700"/>
      <c r="L74" s="1696"/>
      <c r="M74" s="1697"/>
      <c r="N74" s="447"/>
      <c r="O74" s="447"/>
      <c r="P74" s="255"/>
      <c r="Q74" s="255"/>
      <c r="R74" s="255"/>
      <c r="S74" s="255"/>
      <c r="T74" s="255"/>
      <c r="U74" s="255"/>
      <c r="V74" s="255"/>
      <c r="W74" s="255"/>
      <c r="X74" s="255"/>
    </row>
    <row r="75" spans="1:24" ht="60">
      <c r="A75" s="2539"/>
      <c r="B75" s="2527" t="s">
        <v>2506</v>
      </c>
      <c r="C75" s="1701"/>
      <c r="D75" s="441"/>
      <c r="E75" s="1696"/>
      <c r="F75" s="1697"/>
      <c r="G75" s="1697"/>
      <c r="H75" s="1700"/>
      <c r="I75" s="1696"/>
      <c r="J75" s="1699"/>
      <c r="K75" s="1700">
        <v>0</v>
      </c>
      <c r="L75" s="1696">
        <v>0</v>
      </c>
      <c r="M75" s="1697">
        <v>0</v>
      </c>
      <c r="N75" s="246"/>
      <c r="O75" s="246"/>
      <c r="P75" s="255"/>
      <c r="Q75" s="255"/>
      <c r="R75" s="255"/>
      <c r="S75" s="255"/>
      <c r="T75" s="255"/>
      <c r="U75" s="255"/>
      <c r="V75" s="255"/>
      <c r="W75" s="255"/>
      <c r="X75" s="255"/>
    </row>
    <row r="76" spans="1:24" ht="12">
      <c r="A76" s="2539"/>
      <c r="B76" s="2528"/>
      <c r="C76" s="1701"/>
      <c r="D76" s="441"/>
      <c r="E76" s="1696"/>
      <c r="F76" s="1697"/>
      <c r="G76" s="1697"/>
      <c r="H76" s="1700"/>
      <c r="I76" s="1696"/>
      <c r="J76" s="1699"/>
      <c r="K76" s="1700"/>
      <c r="L76" s="1696"/>
      <c r="M76" s="1697"/>
      <c r="N76" s="246"/>
      <c r="O76" s="246"/>
      <c r="P76" s="255"/>
      <c r="Q76" s="255"/>
      <c r="R76" s="255"/>
      <c r="S76" s="255"/>
      <c r="T76" s="255"/>
      <c r="U76" s="255"/>
      <c r="V76" s="255"/>
      <c r="W76" s="255"/>
      <c r="X76" s="255"/>
    </row>
    <row r="77" spans="1:24" ht="21" customHeight="1">
      <c r="A77" s="2539"/>
      <c r="B77" s="2527" t="s">
        <v>2507</v>
      </c>
      <c r="C77" s="1701"/>
      <c r="D77" s="441"/>
      <c r="E77" s="1696"/>
      <c r="F77" s="1697"/>
      <c r="G77" s="1697"/>
      <c r="H77" s="1700"/>
      <c r="I77" s="1696"/>
      <c r="J77" s="1699"/>
      <c r="K77" s="1700">
        <v>0</v>
      </c>
      <c r="L77" s="1696">
        <v>0</v>
      </c>
      <c r="M77" s="1697">
        <v>0</v>
      </c>
      <c r="N77" s="246"/>
      <c r="O77" s="246"/>
      <c r="P77" s="255"/>
      <c r="Q77" s="255"/>
      <c r="R77" s="255"/>
      <c r="S77" s="255"/>
      <c r="T77" s="255"/>
      <c r="U77" s="255"/>
      <c r="V77" s="255"/>
      <c r="W77" s="255"/>
      <c r="X77" s="255"/>
    </row>
    <row r="78" spans="1:24" ht="80.25" customHeight="1">
      <c r="A78" s="2539"/>
      <c r="B78" s="2528"/>
      <c r="C78" s="1701"/>
      <c r="D78" s="441"/>
      <c r="E78" s="1696"/>
      <c r="F78" s="1697"/>
      <c r="G78" s="1697"/>
      <c r="H78" s="1700"/>
      <c r="I78" s="1696"/>
      <c r="J78" s="1699"/>
      <c r="K78" s="1700"/>
      <c r="L78" s="1696"/>
      <c r="M78" s="1697"/>
      <c r="N78" s="246"/>
      <c r="O78" s="246"/>
      <c r="P78" s="202"/>
      <c r="Q78" s="202"/>
      <c r="R78" s="202"/>
      <c r="S78" s="202"/>
      <c r="T78" s="202"/>
      <c r="U78" s="202"/>
      <c r="V78" s="202"/>
      <c r="W78" s="202"/>
      <c r="X78" s="202"/>
    </row>
    <row r="79" spans="1:24" ht="60">
      <c r="A79" s="2539"/>
      <c r="B79" s="2527" t="s">
        <v>2508</v>
      </c>
      <c r="C79" s="1701"/>
      <c r="D79" s="441"/>
      <c r="E79" s="1696">
        <v>26431735</v>
      </c>
      <c r="F79" s="1697">
        <v>30487263</v>
      </c>
      <c r="G79" s="1697">
        <v>44285282</v>
      </c>
      <c r="H79" s="1700">
        <v>38937787.640000001</v>
      </c>
      <c r="I79" s="1696">
        <v>58997627</v>
      </c>
      <c r="J79" s="1699">
        <v>58997627</v>
      </c>
      <c r="K79" s="1700">
        <v>54373794</v>
      </c>
      <c r="L79" s="1696">
        <v>57540108</v>
      </c>
      <c r="M79" s="1697">
        <v>60775535</v>
      </c>
      <c r="N79" s="246"/>
      <c r="O79" s="246"/>
      <c r="P79" s="246"/>
      <c r="Q79" s="246"/>
    </row>
    <row r="80" spans="1:24" ht="12">
      <c r="A80" s="2580"/>
      <c r="B80" s="2527"/>
      <c r="C80" s="1701"/>
      <c r="D80" s="441"/>
      <c r="E80" s="1696"/>
      <c r="F80" s="1697"/>
      <c r="G80" s="1697"/>
      <c r="H80" s="1700"/>
      <c r="I80" s="1696"/>
      <c r="J80" s="1699"/>
      <c r="K80" s="1700"/>
      <c r="L80" s="1696"/>
      <c r="M80" s="1697"/>
      <c r="N80" s="246"/>
      <c r="O80" s="246"/>
      <c r="P80" s="246"/>
      <c r="Q80" s="246"/>
    </row>
    <row r="81" spans="1:17" ht="84">
      <c r="A81" s="2533" t="s">
        <v>2509</v>
      </c>
      <c r="B81" s="2527" t="s">
        <v>2510</v>
      </c>
      <c r="C81" s="1701"/>
      <c r="D81" s="441"/>
      <c r="E81" s="1696"/>
      <c r="F81" s="1697"/>
      <c r="G81" s="1697"/>
      <c r="H81" s="1700"/>
      <c r="I81" s="1696"/>
      <c r="J81" s="1699"/>
      <c r="K81" s="1700">
        <v>0</v>
      </c>
      <c r="L81" s="1696">
        <v>0</v>
      </c>
      <c r="M81" s="1697">
        <v>0</v>
      </c>
      <c r="N81" s="246"/>
      <c r="O81" s="246"/>
      <c r="P81" s="246"/>
      <c r="Q81" s="246"/>
    </row>
    <row r="82" spans="1:17" ht="12">
      <c r="A82" s="2539"/>
      <c r="B82" s="2528"/>
      <c r="C82" s="1701"/>
      <c r="D82" s="441"/>
      <c r="E82" s="1696"/>
      <c r="F82" s="1697"/>
      <c r="G82" s="1697"/>
      <c r="H82" s="1700"/>
      <c r="I82" s="1696"/>
      <c r="J82" s="1699"/>
      <c r="K82" s="1700"/>
      <c r="L82" s="1696"/>
      <c r="M82" s="1697"/>
      <c r="N82" s="246"/>
      <c r="O82" s="246"/>
      <c r="P82" s="246"/>
      <c r="Q82" s="246"/>
    </row>
    <row r="83" spans="1:17" ht="48">
      <c r="A83" s="2539"/>
      <c r="B83" s="2527" t="s">
        <v>2511</v>
      </c>
      <c r="C83" s="1701"/>
      <c r="D83" s="441"/>
      <c r="E83" s="1696">
        <v>67391353</v>
      </c>
      <c r="F83" s="1697">
        <v>80068331</v>
      </c>
      <c r="G83" s="1697">
        <v>87457326</v>
      </c>
      <c r="H83" s="1700">
        <v>131860813.59999999</v>
      </c>
      <c r="I83" s="1696">
        <v>151466186</v>
      </c>
      <c r="J83" s="1699">
        <v>151466186</v>
      </c>
      <c r="K83" s="1700">
        <v>258610283</v>
      </c>
      <c r="L83" s="1696">
        <v>257546186</v>
      </c>
      <c r="M83" s="1697">
        <v>253048904</v>
      </c>
      <c r="N83" s="246"/>
      <c r="O83" s="246"/>
      <c r="P83" s="246"/>
      <c r="Q83" s="246"/>
    </row>
    <row r="84" spans="1:17" ht="54.75" customHeight="1">
      <c r="A84" s="2539"/>
      <c r="B84" s="2528"/>
      <c r="C84" s="1701"/>
      <c r="D84" s="441"/>
      <c r="E84" s="1696"/>
      <c r="F84" s="1697"/>
      <c r="G84" s="1697"/>
      <c r="H84" s="1700"/>
      <c r="I84" s="1696"/>
      <c r="J84" s="1699"/>
      <c r="K84" s="1700"/>
      <c r="L84" s="1696"/>
      <c r="M84" s="1697"/>
      <c r="N84" s="246"/>
      <c r="O84" s="246"/>
      <c r="P84" s="246"/>
      <c r="Q84" s="246"/>
    </row>
    <row r="85" spans="1:17" ht="48">
      <c r="A85" s="2539"/>
      <c r="B85" s="2527" t="s">
        <v>2512</v>
      </c>
      <c r="C85" s="1701"/>
      <c r="D85" s="441"/>
      <c r="E85" s="1696">
        <v>15633649</v>
      </c>
      <c r="F85" s="1697">
        <v>22364501</v>
      </c>
      <c r="G85" s="1697">
        <v>29405432</v>
      </c>
      <c r="H85" s="1700">
        <v>41902991.280000001</v>
      </c>
      <c r="I85" s="1696">
        <v>45262981</v>
      </c>
      <c r="J85" s="1699">
        <v>45262981</v>
      </c>
      <c r="K85" s="1700">
        <v>35766357</v>
      </c>
      <c r="L85" s="1696">
        <v>33195363</v>
      </c>
      <c r="M85" s="1697">
        <v>35112199</v>
      </c>
      <c r="N85" s="246"/>
      <c r="O85" s="246"/>
      <c r="P85" s="246"/>
      <c r="Q85" s="246"/>
    </row>
    <row r="86" spans="1:17" ht="45.75" customHeight="1">
      <c r="A86" s="2539"/>
      <c r="B86" s="2528"/>
      <c r="C86" s="1701"/>
      <c r="D86" s="441"/>
      <c r="E86" s="1696"/>
      <c r="F86" s="1697"/>
      <c r="G86" s="1697"/>
      <c r="H86" s="1700"/>
      <c r="I86" s="1696"/>
      <c r="J86" s="1699"/>
      <c r="K86" s="1700"/>
      <c r="L86" s="1696"/>
      <c r="M86" s="1697"/>
      <c r="N86" s="246"/>
      <c r="O86" s="246"/>
      <c r="P86" s="246"/>
      <c r="Q86" s="246"/>
    </row>
    <row r="87" spans="1:17" ht="84">
      <c r="A87" s="2539"/>
      <c r="B87" s="2527" t="s">
        <v>2513</v>
      </c>
      <c r="C87" s="1701"/>
      <c r="D87" s="441"/>
      <c r="E87" s="1696"/>
      <c r="F87" s="1697"/>
      <c r="G87" s="1697"/>
      <c r="H87" s="1700"/>
      <c r="I87" s="1696"/>
      <c r="J87" s="1699"/>
      <c r="K87" s="1700">
        <v>0</v>
      </c>
      <c r="L87" s="1696">
        <v>0</v>
      </c>
      <c r="M87" s="1697">
        <v>0</v>
      </c>
      <c r="N87" s="246"/>
      <c r="O87" s="246"/>
      <c r="P87" s="246"/>
      <c r="Q87" s="246"/>
    </row>
    <row r="88" spans="1:17" ht="51.75" customHeight="1">
      <c r="A88" s="2580"/>
      <c r="B88" s="2527"/>
      <c r="C88" s="1701"/>
      <c r="D88" s="441"/>
      <c r="E88" s="1696"/>
      <c r="F88" s="1697"/>
      <c r="G88" s="1697"/>
      <c r="H88" s="1700"/>
      <c r="I88" s="1696"/>
      <c r="J88" s="1699"/>
      <c r="K88" s="1700"/>
      <c r="L88" s="1696"/>
      <c r="M88" s="1697"/>
      <c r="N88" s="246"/>
      <c r="O88" s="246"/>
      <c r="P88" s="246"/>
      <c r="Q88" s="246"/>
    </row>
    <row r="89" spans="1:17" ht="48">
      <c r="A89" s="2533" t="s">
        <v>2514</v>
      </c>
      <c r="B89" s="2527" t="s">
        <v>2515</v>
      </c>
      <c r="C89" s="1701"/>
      <c r="D89" s="441"/>
      <c r="E89" s="1696">
        <v>99537002</v>
      </c>
      <c r="F89" s="1697">
        <v>60619621</v>
      </c>
      <c r="G89" s="1697">
        <v>47006843</v>
      </c>
      <c r="H89" s="1700">
        <v>56304034.530000001</v>
      </c>
      <c r="I89" s="1696">
        <v>57278544</v>
      </c>
      <c r="J89" s="1699">
        <v>57278544</v>
      </c>
      <c r="K89" s="1700">
        <v>65894594</v>
      </c>
      <c r="L89" s="1696">
        <v>69862033</v>
      </c>
      <c r="M89" s="1697">
        <v>73775294</v>
      </c>
      <c r="N89" s="246"/>
      <c r="O89" s="246"/>
      <c r="P89" s="246"/>
      <c r="Q89" s="246"/>
    </row>
    <row r="90" spans="1:17" ht="66" customHeight="1">
      <c r="A90" s="2539"/>
      <c r="B90" s="2528"/>
      <c r="C90" s="1701"/>
      <c r="D90" s="441"/>
      <c r="E90" s="1696"/>
      <c r="F90" s="1697"/>
      <c r="G90" s="1697"/>
      <c r="H90" s="1700"/>
      <c r="I90" s="1696"/>
      <c r="J90" s="1699"/>
      <c r="K90" s="1700"/>
      <c r="L90" s="1696"/>
      <c r="M90" s="1697"/>
      <c r="N90" s="246"/>
      <c r="O90" s="246"/>
      <c r="P90" s="246"/>
      <c r="Q90" s="246"/>
    </row>
    <row r="91" spans="1:17" ht="48">
      <c r="A91" s="2539"/>
      <c r="B91" s="2527" t="s">
        <v>2516</v>
      </c>
      <c r="C91" s="1701"/>
      <c r="D91" s="441"/>
      <c r="E91" s="1696">
        <v>5760929</v>
      </c>
      <c r="F91" s="1697">
        <v>4152474</v>
      </c>
      <c r="G91" s="1697">
        <v>5637771</v>
      </c>
      <c r="H91" s="1700">
        <v>12149554.745999999</v>
      </c>
      <c r="I91" s="1696">
        <v>12542522</v>
      </c>
      <c r="J91" s="1699">
        <v>12542522</v>
      </c>
      <c r="K91" s="1700">
        <v>11082162</v>
      </c>
      <c r="L91" s="1696">
        <v>10821260</v>
      </c>
      <c r="M91" s="1697">
        <v>11313801</v>
      </c>
      <c r="N91" s="246"/>
      <c r="O91" s="246"/>
      <c r="P91" s="246"/>
      <c r="Q91" s="246"/>
    </row>
    <row r="92" spans="1:17" ht="44.25" customHeight="1">
      <c r="A92" s="2580"/>
      <c r="B92" s="2527"/>
      <c r="C92" s="1701"/>
      <c r="D92" s="441"/>
      <c r="E92" s="1696"/>
      <c r="F92" s="1697"/>
      <c r="G92" s="1697"/>
      <c r="H92" s="1700"/>
      <c r="I92" s="1696"/>
      <c r="J92" s="1699"/>
      <c r="K92" s="1700"/>
      <c r="L92" s="1696"/>
      <c r="M92" s="1697"/>
      <c r="N92" s="246"/>
      <c r="O92" s="246"/>
      <c r="P92" s="246"/>
      <c r="Q92" s="246"/>
    </row>
    <row r="93" spans="1:17" ht="48">
      <c r="A93" s="2580"/>
      <c r="B93" s="2527" t="s">
        <v>2517</v>
      </c>
      <c r="C93" s="1701"/>
      <c r="D93" s="441"/>
      <c r="E93" s="1696">
        <v>61929051</v>
      </c>
      <c r="F93" s="1697">
        <v>70507532</v>
      </c>
      <c r="G93" s="1697">
        <v>75970171</v>
      </c>
      <c r="H93" s="1700">
        <v>84455709.329999998</v>
      </c>
      <c r="I93" s="1696">
        <v>105434239</v>
      </c>
      <c r="J93" s="1699">
        <v>105434239</v>
      </c>
      <c r="K93" s="1700">
        <v>105483776</v>
      </c>
      <c r="L93" s="1696">
        <v>111805042</v>
      </c>
      <c r="M93" s="1697">
        <v>117590569</v>
      </c>
      <c r="N93" s="246"/>
      <c r="O93" s="246"/>
      <c r="P93" s="246"/>
      <c r="Q93" s="246"/>
    </row>
    <row r="94" spans="1:17" ht="66.75" customHeight="1">
      <c r="A94" s="2580"/>
      <c r="B94" s="2527"/>
      <c r="C94" s="1701"/>
      <c r="D94" s="441"/>
      <c r="E94" s="1696"/>
      <c r="F94" s="1697"/>
      <c r="G94" s="1697"/>
      <c r="H94" s="1700"/>
      <c r="I94" s="1696"/>
      <c r="J94" s="1699"/>
      <c r="K94" s="1700"/>
      <c r="L94" s="1696"/>
      <c r="M94" s="1697"/>
      <c r="N94" s="246"/>
      <c r="O94" s="246"/>
      <c r="P94" s="246"/>
      <c r="Q94" s="246"/>
    </row>
    <row r="95" spans="1:17" ht="36">
      <c r="A95" s="2580"/>
      <c r="B95" s="2527" t="s">
        <v>2518</v>
      </c>
      <c r="C95" s="1701"/>
      <c r="D95" s="441"/>
      <c r="E95" s="1696">
        <v>2627893</v>
      </c>
      <c r="F95" s="1697">
        <v>3011497</v>
      </c>
      <c r="G95" s="1697">
        <v>3059744</v>
      </c>
      <c r="H95" s="1700">
        <v>3323736.3280000002</v>
      </c>
      <c r="I95" s="1696">
        <v>4296113</v>
      </c>
      <c r="J95" s="1699">
        <v>4296113</v>
      </c>
      <c r="K95" s="1700">
        <v>14834927</v>
      </c>
      <c r="L95" s="1696">
        <v>15599856</v>
      </c>
      <c r="M95" s="1697">
        <v>16596723</v>
      </c>
      <c r="N95" s="246"/>
      <c r="O95" s="246"/>
      <c r="P95" s="246"/>
      <c r="Q95" s="246"/>
    </row>
    <row r="96" spans="1:17" ht="96" customHeight="1">
      <c r="A96" s="2580"/>
      <c r="B96" s="2527"/>
      <c r="C96" s="1701"/>
      <c r="D96" s="441"/>
      <c r="E96" s="1696"/>
      <c r="F96" s="1697"/>
      <c r="G96" s="1697"/>
      <c r="H96" s="1700"/>
      <c r="I96" s="1696"/>
      <c r="J96" s="1699"/>
      <c r="K96" s="1700"/>
      <c r="L96" s="1696"/>
      <c r="M96" s="1697"/>
      <c r="N96" s="246"/>
      <c r="O96" s="246"/>
      <c r="P96" s="246"/>
      <c r="Q96" s="246"/>
    </row>
    <row r="97" spans="1:17" ht="48">
      <c r="A97" s="2581" t="s">
        <v>2519</v>
      </c>
      <c r="B97" s="2527" t="s">
        <v>2520</v>
      </c>
      <c r="C97" s="1701"/>
      <c r="D97" s="441"/>
      <c r="E97" s="1696">
        <v>16123527</v>
      </c>
      <c r="F97" s="1697">
        <v>19035418</v>
      </c>
      <c r="G97" s="1697">
        <v>35479081</v>
      </c>
      <c r="H97" s="1700">
        <v>34251608.799999997</v>
      </c>
      <c r="I97" s="1696">
        <v>41565395</v>
      </c>
      <c r="J97" s="1699">
        <v>41565395</v>
      </c>
      <c r="K97" s="1700">
        <v>48694859</v>
      </c>
      <c r="L97" s="1696">
        <v>41173337</v>
      </c>
      <c r="M97" s="1697">
        <v>43592834</v>
      </c>
      <c r="N97" s="246"/>
      <c r="O97" s="246"/>
      <c r="P97" s="246"/>
      <c r="Q97" s="246"/>
    </row>
    <row r="98" spans="1:17" ht="12">
      <c r="A98" s="2580"/>
      <c r="B98" s="2527"/>
      <c r="C98" s="1701"/>
      <c r="D98" s="441"/>
      <c r="E98" s="1696"/>
      <c r="F98" s="1697"/>
      <c r="G98" s="1697"/>
      <c r="H98" s="1700"/>
      <c r="I98" s="1696"/>
      <c r="J98" s="1699"/>
      <c r="K98" s="1700"/>
      <c r="L98" s="1696"/>
      <c r="M98" s="1697"/>
      <c r="N98" s="246"/>
      <c r="O98" s="246"/>
      <c r="P98" s="246"/>
      <c r="Q98" s="246"/>
    </row>
    <row r="99" spans="1:17" ht="60">
      <c r="A99" s="2580"/>
      <c r="B99" s="2527" t="s">
        <v>2521</v>
      </c>
      <c r="C99" s="1701"/>
      <c r="D99" s="441"/>
      <c r="E99" s="1696"/>
      <c r="F99" s="1697"/>
      <c r="G99" s="1697"/>
      <c r="H99" s="1700"/>
      <c r="I99" s="1696"/>
      <c r="J99" s="1699"/>
      <c r="K99" s="1700">
        <v>0</v>
      </c>
      <c r="L99" s="1696">
        <v>0</v>
      </c>
      <c r="M99" s="1697">
        <v>0</v>
      </c>
      <c r="N99" s="246"/>
      <c r="O99" s="246"/>
      <c r="P99" s="246"/>
      <c r="Q99" s="246"/>
    </row>
    <row r="100" spans="1:17" ht="56.25" customHeight="1">
      <c r="A100" s="2580"/>
      <c r="B100" s="2527"/>
      <c r="C100" s="1701"/>
      <c r="D100" s="441"/>
      <c r="E100" s="1696"/>
      <c r="F100" s="1697"/>
      <c r="G100" s="1697"/>
      <c r="H100" s="1700"/>
      <c r="I100" s="1696"/>
      <c r="J100" s="1699"/>
      <c r="K100" s="1700"/>
      <c r="L100" s="1696"/>
      <c r="M100" s="1697"/>
      <c r="N100" s="246"/>
      <c r="O100" s="246"/>
      <c r="P100" s="246"/>
      <c r="Q100" s="246"/>
    </row>
    <row r="101" spans="1:17" ht="36">
      <c r="A101" s="2581" t="s">
        <v>2522</v>
      </c>
      <c r="B101" s="2527" t="s">
        <v>2523</v>
      </c>
      <c r="C101" s="1701"/>
      <c r="D101" s="441"/>
      <c r="E101" s="1696">
        <v>2379803</v>
      </c>
      <c r="F101" s="1697">
        <v>2213003</v>
      </c>
      <c r="G101" s="1697">
        <v>2921814</v>
      </c>
      <c r="H101" s="1700">
        <v>3980735.6839999999</v>
      </c>
      <c r="I101" s="1696">
        <v>5665984</v>
      </c>
      <c r="J101" s="1699">
        <v>5665984</v>
      </c>
      <c r="K101" s="1700">
        <v>4360799</v>
      </c>
      <c r="L101" s="1696">
        <v>2700518</v>
      </c>
      <c r="M101" s="1697">
        <v>2760947</v>
      </c>
      <c r="N101" s="246"/>
      <c r="O101" s="246"/>
      <c r="P101" s="246"/>
      <c r="Q101" s="246"/>
    </row>
    <row r="102" spans="1:17" ht="32.25" customHeight="1">
      <c r="A102" s="2580"/>
      <c r="B102" s="2527"/>
      <c r="C102" s="1701"/>
      <c r="D102" s="441"/>
      <c r="E102" s="1696"/>
      <c r="F102" s="1697"/>
      <c r="G102" s="1697"/>
      <c r="H102" s="1700"/>
      <c r="I102" s="1696"/>
      <c r="J102" s="1699"/>
      <c r="K102" s="1700"/>
      <c r="L102" s="1696"/>
      <c r="M102" s="1697"/>
      <c r="N102" s="246"/>
      <c r="O102" s="246"/>
      <c r="P102" s="246"/>
      <c r="Q102" s="246"/>
    </row>
    <row r="103" spans="1:17" ht="48">
      <c r="A103" s="2580"/>
      <c r="B103" s="2527" t="s">
        <v>2524</v>
      </c>
      <c r="C103" s="1701"/>
      <c r="D103" s="441"/>
      <c r="E103" s="1696">
        <v>26012492</v>
      </c>
      <c r="F103" s="1697">
        <v>270557182</v>
      </c>
      <c r="G103" s="1697">
        <v>307056434</v>
      </c>
      <c r="H103" s="1700">
        <v>121263818.90000001</v>
      </c>
      <c r="I103" s="1696">
        <v>84096974</v>
      </c>
      <c r="J103" s="1699">
        <v>84096974</v>
      </c>
      <c r="K103" s="1700">
        <v>102242098</v>
      </c>
      <c r="L103" s="1696">
        <v>107536567</v>
      </c>
      <c r="M103" s="1697">
        <v>115168100</v>
      </c>
      <c r="N103" s="246"/>
      <c r="O103" s="246"/>
      <c r="P103" s="246"/>
      <c r="Q103" s="246"/>
    </row>
    <row r="104" spans="1:17" ht="42" customHeight="1">
      <c r="A104" s="2580"/>
      <c r="B104" s="2527"/>
      <c r="C104" s="1701"/>
      <c r="D104" s="441"/>
      <c r="E104" s="1696"/>
      <c r="F104" s="1697"/>
      <c r="G104" s="1697"/>
      <c r="H104" s="1700"/>
      <c r="I104" s="1696"/>
      <c r="J104" s="1699"/>
      <c r="K104" s="1700"/>
      <c r="L104" s="1696"/>
      <c r="M104" s="1697"/>
      <c r="N104" s="246"/>
      <c r="O104" s="246"/>
      <c r="P104" s="246"/>
      <c r="Q104" s="246"/>
    </row>
    <row r="105" spans="1:17" ht="15" customHeight="1">
      <c r="A105" s="2580"/>
      <c r="B105" s="2527" t="s">
        <v>2525</v>
      </c>
      <c r="C105" s="1701"/>
      <c r="D105" s="441"/>
      <c r="E105" s="1696"/>
      <c r="F105" s="1697"/>
      <c r="G105" s="1697"/>
      <c r="H105" s="1700"/>
      <c r="I105" s="1696"/>
      <c r="J105" s="1699"/>
      <c r="K105" s="1700">
        <v>0</v>
      </c>
      <c r="L105" s="1696">
        <v>0</v>
      </c>
      <c r="M105" s="1697">
        <v>0</v>
      </c>
      <c r="N105" s="246"/>
      <c r="O105" s="246"/>
      <c r="P105" s="246"/>
      <c r="Q105" s="246"/>
    </row>
    <row r="106" spans="1:17" ht="42" customHeight="1">
      <c r="A106" s="2580"/>
      <c r="B106" s="2527"/>
      <c r="C106" s="1701"/>
      <c r="D106" s="441"/>
      <c r="E106" s="1696"/>
      <c r="F106" s="1697"/>
      <c r="G106" s="1697"/>
      <c r="H106" s="1700"/>
      <c r="I106" s="1696"/>
      <c r="J106" s="1699"/>
      <c r="K106" s="1700"/>
      <c r="L106" s="1696"/>
      <c r="M106" s="1697"/>
      <c r="N106" s="246"/>
      <c r="O106" s="246"/>
      <c r="P106" s="246"/>
      <c r="Q106" s="246"/>
    </row>
    <row r="107" spans="1:17" ht="15" customHeight="1">
      <c r="A107" s="2533" t="s">
        <v>2526</v>
      </c>
      <c r="B107" s="2527" t="s">
        <v>2527</v>
      </c>
      <c r="C107" s="1701"/>
      <c r="D107" s="441"/>
      <c r="E107" s="1696">
        <v>3928392</v>
      </c>
      <c r="F107" s="1697">
        <v>3990188</v>
      </c>
      <c r="G107" s="1697">
        <v>6877359</v>
      </c>
      <c r="H107" s="1700">
        <v>6558927.3899999997</v>
      </c>
      <c r="I107" s="1696">
        <v>9697549</v>
      </c>
      <c r="J107" s="1699">
        <v>9697549</v>
      </c>
      <c r="K107" s="1700">
        <v>10166741</v>
      </c>
      <c r="L107" s="1696">
        <v>10506324</v>
      </c>
      <c r="M107" s="1697">
        <v>11111564</v>
      </c>
      <c r="N107" s="246"/>
      <c r="O107" s="246"/>
      <c r="P107" s="246"/>
      <c r="Q107" s="246"/>
    </row>
    <row r="108" spans="1:17" ht="42.75" customHeight="1">
      <c r="A108" s="2539"/>
      <c r="B108" s="2527"/>
      <c r="C108" s="1701"/>
      <c r="D108" s="441"/>
      <c r="E108" s="1696"/>
      <c r="F108" s="1697"/>
      <c r="G108" s="1697"/>
      <c r="H108" s="1700"/>
      <c r="I108" s="1696"/>
      <c r="J108" s="1699"/>
      <c r="K108" s="1700"/>
      <c r="L108" s="1696"/>
      <c r="M108" s="1697"/>
      <c r="N108" s="246"/>
      <c r="O108" s="246"/>
      <c r="P108" s="246"/>
      <c r="Q108" s="246"/>
    </row>
    <row r="109" spans="1:17" ht="15" customHeight="1">
      <c r="A109" s="2539"/>
      <c r="B109" s="2527" t="s">
        <v>2528</v>
      </c>
      <c r="C109" s="1701"/>
      <c r="D109" s="441"/>
      <c r="E109" s="1696">
        <v>30591933</v>
      </c>
      <c r="F109" s="1697">
        <v>35842964</v>
      </c>
      <c r="G109" s="1697">
        <v>32177085</v>
      </c>
      <c r="H109" s="1700">
        <v>64702200</v>
      </c>
      <c r="I109" s="1696">
        <v>108041714</v>
      </c>
      <c r="J109" s="1699">
        <v>108041714</v>
      </c>
      <c r="K109" s="1700">
        <v>59334740</v>
      </c>
      <c r="L109" s="1696">
        <v>61581672</v>
      </c>
      <c r="M109" s="1697">
        <v>67057617</v>
      </c>
      <c r="N109" s="246"/>
      <c r="O109" s="246"/>
      <c r="P109" s="246"/>
      <c r="Q109" s="246"/>
    </row>
    <row r="110" spans="1:17" ht="131.25" customHeight="1">
      <c r="A110" s="2539"/>
      <c r="B110" s="2527"/>
      <c r="C110" s="1701"/>
      <c r="D110" s="441"/>
      <c r="E110" s="1696"/>
      <c r="F110" s="1697"/>
      <c r="G110" s="1697"/>
      <c r="H110" s="1700"/>
      <c r="I110" s="1696"/>
      <c r="J110" s="1699"/>
      <c r="K110" s="1700"/>
      <c r="L110" s="1696"/>
      <c r="M110" s="1697"/>
      <c r="N110" s="246"/>
      <c r="O110" s="246"/>
      <c r="P110" s="246"/>
      <c r="Q110" s="246"/>
    </row>
    <row r="111" spans="1:17" ht="131.25" customHeight="1">
      <c r="A111" s="2539"/>
      <c r="B111" s="2527" t="s">
        <v>2529</v>
      </c>
      <c r="C111" s="1701"/>
      <c r="D111" s="441"/>
      <c r="E111" s="1696"/>
      <c r="F111" s="1697"/>
      <c r="G111" s="1697"/>
      <c r="H111" s="1700"/>
      <c r="I111" s="1696"/>
      <c r="J111" s="1699"/>
      <c r="K111" s="1700">
        <v>0</v>
      </c>
      <c r="L111" s="1696">
        <v>0</v>
      </c>
      <c r="M111" s="1697">
        <v>0</v>
      </c>
      <c r="N111" s="246"/>
      <c r="O111" s="246"/>
      <c r="P111" s="246"/>
      <c r="Q111" s="246"/>
    </row>
    <row r="112" spans="1:17" ht="131.25" customHeight="1">
      <c r="A112" s="2539"/>
      <c r="B112" s="2527"/>
      <c r="C112" s="1701"/>
      <c r="D112" s="441"/>
      <c r="E112" s="1696"/>
      <c r="F112" s="1697"/>
      <c r="G112" s="1697"/>
      <c r="H112" s="1700"/>
      <c r="I112" s="1696"/>
      <c r="J112" s="1699"/>
      <c r="K112" s="1700"/>
      <c r="L112" s="1696"/>
      <c r="M112" s="1697"/>
      <c r="N112" s="246"/>
      <c r="O112" s="246"/>
      <c r="P112" s="246"/>
      <c r="Q112" s="246"/>
    </row>
    <row r="113" spans="1:17" ht="131.25" customHeight="1">
      <c r="A113" s="2539"/>
      <c r="B113" s="2527" t="s">
        <v>2530</v>
      </c>
      <c r="C113" s="1701"/>
      <c r="D113" s="441"/>
      <c r="E113" s="1696">
        <v>342788</v>
      </c>
      <c r="F113" s="1697">
        <v>33479</v>
      </c>
      <c r="G113" s="1697">
        <v>43471</v>
      </c>
      <c r="H113" s="1700">
        <v>562325.03</v>
      </c>
      <c r="I113" s="1696">
        <v>562325.03</v>
      </c>
      <c r="J113" s="1699">
        <v>562325.03</v>
      </c>
      <c r="K113" s="1700">
        <v>475013</v>
      </c>
      <c r="L113" s="1696">
        <v>504989</v>
      </c>
      <c r="M113" s="1697">
        <v>536913</v>
      </c>
      <c r="N113" s="246"/>
      <c r="O113" s="246"/>
      <c r="P113" s="246"/>
      <c r="Q113" s="246"/>
    </row>
    <row r="114" spans="1:17" ht="131.25" customHeight="1">
      <c r="A114" s="2539"/>
      <c r="B114" s="2527"/>
      <c r="C114" s="1701"/>
      <c r="D114" s="441"/>
      <c r="E114" s="1696"/>
      <c r="F114" s="1697"/>
      <c r="G114" s="1697"/>
      <c r="H114" s="1700"/>
      <c r="I114" s="1696"/>
      <c r="J114" s="1699"/>
      <c r="K114" s="1700"/>
      <c r="L114" s="1696"/>
      <c r="M114" s="1697"/>
      <c r="N114" s="246"/>
      <c r="O114" s="246"/>
      <c r="P114" s="246"/>
      <c r="Q114" s="246"/>
    </row>
    <row r="115" spans="1:17" ht="131.25" customHeight="1">
      <c r="A115" s="2539"/>
      <c r="B115" s="2527" t="s">
        <v>2531</v>
      </c>
      <c r="C115" s="1701"/>
      <c r="D115" s="441"/>
      <c r="E115" s="1696"/>
      <c r="F115" s="1697"/>
      <c r="G115" s="1697"/>
      <c r="H115" s="1700"/>
      <c r="I115" s="1696"/>
      <c r="J115" s="1699"/>
      <c r="K115" s="1700">
        <v>0</v>
      </c>
      <c r="L115" s="1696">
        <v>0</v>
      </c>
      <c r="M115" s="1697">
        <v>0</v>
      </c>
      <c r="N115" s="246"/>
      <c r="O115" s="246"/>
      <c r="P115" s="246"/>
      <c r="Q115" s="246"/>
    </row>
    <row r="116" spans="1:17" ht="131.25" customHeight="1">
      <c r="A116" s="2539"/>
      <c r="B116" s="2527"/>
      <c r="C116" s="1701"/>
      <c r="D116" s="441"/>
      <c r="E116" s="1696"/>
      <c r="F116" s="1697"/>
      <c r="G116" s="1697"/>
      <c r="H116" s="1700"/>
      <c r="I116" s="1696"/>
      <c r="J116" s="1699"/>
      <c r="K116" s="1700"/>
      <c r="L116" s="1696"/>
      <c r="M116" s="1697"/>
      <c r="N116" s="246"/>
      <c r="O116" s="246"/>
      <c r="P116" s="246"/>
      <c r="Q116" s="246"/>
    </row>
    <row r="117" spans="1:17" ht="131.25" customHeight="1">
      <c r="A117" s="2539"/>
      <c r="B117" s="2527" t="s">
        <v>2532</v>
      </c>
      <c r="C117" s="1701"/>
      <c r="D117" s="441"/>
      <c r="E117" s="1696"/>
      <c r="F117" s="1697"/>
      <c r="G117" s="1697"/>
      <c r="H117" s="1700"/>
      <c r="I117" s="1696"/>
      <c r="J117" s="1699"/>
      <c r="K117" s="1700">
        <v>0</v>
      </c>
      <c r="L117" s="1696">
        <v>0</v>
      </c>
      <c r="M117" s="1697">
        <v>0</v>
      </c>
      <c r="N117" s="246"/>
      <c r="O117" s="246"/>
      <c r="P117" s="246"/>
      <c r="Q117" s="246"/>
    </row>
    <row r="118" spans="1:17" ht="131.25" customHeight="1">
      <c r="A118" s="2539"/>
      <c r="B118" s="2527"/>
      <c r="C118" s="1701"/>
      <c r="D118" s="441"/>
      <c r="E118" s="1696"/>
      <c r="F118" s="1697"/>
      <c r="G118" s="1697"/>
      <c r="H118" s="1700"/>
      <c r="I118" s="1696"/>
      <c r="J118" s="1699"/>
      <c r="K118" s="1700"/>
      <c r="L118" s="1696"/>
      <c r="M118" s="1697"/>
      <c r="N118" s="246"/>
      <c r="O118" s="246"/>
      <c r="P118" s="246"/>
      <c r="Q118" s="246"/>
    </row>
    <row r="119" spans="1:17" ht="108">
      <c r="A119" s="2539"/>
      <c r="B119" s="2527" t="s">
        <v>2533</v>
      </c>
      <c r="C119" s="1701"/>
      <c r="D119" s="441"/>
      <c r="E119" s="1696">
        <v>25210</v>
      </c>
      <c r="F119" s="1697">
        <v>19961</v>
      </c>
      <c r="G119" s="1697">
        <v>17995</v>
      </c>
      <c r="H119" s="1700">
        <v>1250541.0859999999</v>
      </c>
      <c r="I119" s="1696">
        <v>1847972</v>
      </c>
      <c r="J119" s="1699">
        <v>1847972</v>
      </c>
      <c r="K119" s="1700">
        <v>1303989</v>
      </c>
      <c r="L119" s="1696">
        <v>1383015</v>
      </c>
      <c r="M119" s="1697">
        <v>1466531</v>
      </c>
      <c r="N119" s="246"/>
      <c r="O119" s="246"/>
      <c r="P119" s="246"/>
      <c r="Q119" s="246"/>
    </row>
    <row r="120" spans="1:17" ht="131.25" customHeight="1">
      <c r="A120" s="2539"/>
      <c r="B120" s="2527"/>
      <c r="C120" s="1701"/>
      <c r="D120" s="441"/>
      <c r="E120" s="1696"/>
      <c r="F120" s="1697"/>
      <c r="G120" s="1697"/>
      <c r="H120" s="1700"/>
      <c r="I120" s="1696"/>
      <c r="J120" s="1699"/>
      <c r="K120" s="1700"/>
      <c r="L120" s="1696"/>
      <c r="M120" s="1697"/>
      <c r="N120" s="246"/>
      <c r="O120" s="246"/>
      <c r="P120" s="246"/>
      <c r="Q120" s="246"/>
    </row>
    <row r="121" spans="1:17" ht="30">
      <c r="A121" s="1694"/>
      <c r="B121" s="1695" t="s">
        <v>2534</v>
      </c>
      <c r="C121" s="1701"/>
      <c r="D121" s="441"/>
      <c r="E121" s="1696">
        <v>914202</v>
      </c>
      <c r="F121" s="1696">
        <v>955342</v>
      </c>
      <c r="G121" s="1697">
        <v>2349574</v>
      </c>
      <c r="H121" s="1698">
        <v>2761925.4879999999</v>
      </c>
      <c r="I121" s="1696">
        <v>4569632</v>
      </c>
      <c r="J121" s="1699">
        <v>4569632</v>
      </c>
      <c r="K121" s="1700">
        <v>3061415</v>
      </c>
      <c r="L121" s="1696">
        <v>3235535</v>
      </c>
      <c r="M121" s="1697">
        <v>3419238</v>
      </c>
      <c r="N121" s="246"/>
      <c r="O121" s="246"/>
      <c r="P121" s="246"/>
      <c r="Q121" s="246"/>
    </row>
    <row r="122" spans="1:17" ht="12">
      <c r="A122" s="2539"/>
      <c r="B122" s="2527"/>
      <c r="C122" s="1701"/>
      <c r="D122" s="441"/>
      <c r="E122" s="1696"/>
      <c r="F122" s="1697"/>
      <c r="G122" s="1697"/>
      <c r="H122" s="1700"/>
      <c r="I122" s="1696"/>
      <c r="J122" s="1699"/>
      <c r="K122" s="1700"/>
      <c r="L122" s="1696"/>
      <c r="M122" s="1697"/>
      <c r="N122" s="246"/>
      <c r="O122" s="246"/>
      <c r="P122" s="246"/>
      <c r="Q122" s="246"/>
    </row>
    <row r="123" spans="1:17" ht="50.25" customHeight="1">
      <c r="A123" s="1694"/>
      <c r="B123" s="1695"/>
      <c r="C123" s="1701"/>
      <c r="D123" s="441"/>
      <c r="E123" s="1696"/>
      <c r="F123" s="1696"/>
      <c r="G123" s="1697"/>
      <c r="H123" s="1698"/>
      <c r="I123" s="1696"/>
      <c r="J123" s="1699"/>
      <c r="K123" s="1700"/>
      <c r="L123" s="1696"/>
      <c r="M123" s="1697"/>
      <c r="N123" s="246"/>
      <c r="O123" s="246"/>
      <c r="P123" s="246"/>
      <c r="Q123" s="246"/>
    </row>
    <row r="124" spans="1:17" ht="12.75" customHeight="1">
      <c r="A124" s="2301" t="s">
        <v>2071</v>
      </c>
      <c r="B124" s="2297"/>
      <c r="C124" s="2298"/>
      <c r="D124" s="441"/>
      <c r="E124" s="2292"/>
      <c r="F124" s="2292"/>
      <c r="G124" s="2293"/>
      <c r="H124" s="2294"/>
      <c r="I124" s="2292"/>
      <c r="J124" s="2295"/>
      <c r="K124" s="2296"/>
      <c r="L124" s="2292"/>
      <c r="M124" s="2293"/>
      <c r="N124" s="246"/>
      <c r="O124" s="246"/>
      <c r="P124" s="246"/>
      <c r="Q124" s="246"/>
    </row>
    <row r="125" spans="1:17">
      <c r="A125" s="346" t="str">
        <f>'A4-FinPerf RE'!A36</f>
        <v>Total Expenditure</v>
      </c>
      <c r="B125" s="2299"/>
      <c r="C125" s="2300"/>
      <c r="D125" s="347">
        <v>1</v>
      </c>
      <c r="E125" s="230">
        <f t="shared" ref="E125:M125" si="0">SUM(E4:E124)</f>
        <v>1785750296</v>
      </c>
      <c r="F125" s="230">
        <f t="shared" si="0"/>
        <v>2231276752</v>
      </c>
      <c r="G125" s="228">
        <f t="shared" si="0"/>
        <v>2199658104</v>
      </c>
      <c r="H125" s="229">
        <f t="shared" si="0"/>
        <v>2707791029.2620006</v>
      </c>
      <c r="I125" s="230">
        <f t="shared" si="0"/>
        <v>2717214126.0300002</v>
      </c>
      <c r="J125" s="231">
        <f t="shared" si="0"/>
        <v>2717214126.0300002</v>
      </c>
      <c r="K125" s="232">
        <f t="shared" si="0"/>
        <v>2710794097</v>
      </c>
      <c r="L125" s="230">
        <f t="shared" si="0"/>
        <v>2798548514</v>
      </c>
      <c r="M125" s="228">
        <f t="shared" si="0"/>
        <v>2980640274</v>
      </c>
      <c r="N125" s="246"/>
      <c r="O125" s="246"/>
      <c r="P125" s="246"/>
      <c r="Q125" s="246"/>
    </row>
    <row r="126" spans="1:17" s="709" customFormat="1">
      <c r="A126" s="1233" t="str">
        <f>head27a</f>
        <v>References</v>
      </c>
      <c r="B126" s="1041"/>
      <c r="C126" s="1041"/>
      <c r="D126" s="1038"/>
      <c r="E126" s="1042"/>
      <c r="F126" s="1042"/>
      <c r="G126" s="1042"/>
      <c r="H126" s="1042"/>
      <c r="I126" s="1042"/>
      <c r="J126" s="1042"/>
      <c r="K126" s="1042"/>
      <c r="L126" s="1042"/>
      <c r="M126" s="1042"/>
    </row>
    <row r="127" spans="1:17" s="709" customFormat="1">
      <c r="A127" s="1195" t="str">
        <f>"1. Total expenditure must reconcile to "&amp;'Template names'!F103</f>
        <v>1. Total expenditure must reconcile to Table A4 Budgeted Financial Performance (revenue and expenditure)</v>
      </c>
      <c r="B127" s="1069"/>
      <c r="C127" s="1069"/>
      <c r="D127" s="1038"/>
      <c r="E127" s="1041"/>
      <c r="F127" s="1041"/>
      <c r="G127" s="1042"/>
      <c r="H127" s="1042"/>
      <c r="I127" s="1042"/>
      <c r="J127" s="1042"/>
      <c r="K127" s="1042"/>
      <c r="L127" s="1042"/>
      <c r="M127" s="1042"/>
    </row>
    <row r="128" spans="1:17" s="709" customFormat="1">
      <c r="A128" s="709" t="s">
        <v>2072</v>
      </c>
    </row>
    <row r="129" spans="1:13">
      <c r="A129" s="1264" t="s">
        <v>980</v>
      </c>
      <c r="B129" s="1044"/>
      <c r="C129" s="1044"/>
      <c r="D129" s="1043"/>
      <c r="E129" s="1414">
        <f>E125-'A4-FinPerf RE'!C36</f>
        <v>248278.5</v>
      </c>
      <c r="F129" s="1414">
        <f>F125-'A4-FinPerf RE'!D36</f>
        <v>342991</v>
      </c>
      <c r="G129" s="1415">
        <f>G125-'A4-FinPerf RE'!E36</f>
        <v>587734</v>
      </c>
      <c r="H129" s="1415">
        <f>H125-'A4-FinPerf RE'!F36</f>
        <v>-0.98199939727783203</v>
      </c>
      <c r="I129" s="1415">
        <f>I125-'A4-FinPerf RE'!G36</f>
        <v>-0.96999979019165039</v>
      </c>
      <c r="J129" s="1415">
        <f>J125-'A4-FinPerf RE'!H36</f>
        <v>-0.96999979019165039</v>
      </c>
      <c r="K129" s="1415">
        <f>K125-'A4-FinPerf RE'!J36</f>
        <v>-102</v>
      </c>
      <c r="L129" s="1415">
        <f>L125-'A4-FinPerf RE'!K36</f>
        <v>-133</v>
      </c>
      <c r="M129" s="1415">
        <f>M125-'A4-FinPerf RE'!L36</f>
        <v>-404</v>
      </c>
    </row>
    <row r="130" spans="1:13">
      <c r="E130" s="449"/>
    </row>
    <row r="131" spans="1:13">
      <c r="E131" s="449"/>
    </row>
  </sheetData>
  <mergeCells count="3">
    <mergeCell ref="H2:J2"/>
    <mergeCell ref="K2:M2"/>
    <mergeCell ref="D2:D3"/>
  </mergeCells>
  <phoneticPr fontId="5" type="noConversion"/>
  <printOptions horizontalCentered="1"/>
  <pageMargins left="0" right="0" top="0.78740157480314998" bottom="0.59055118110236204" header="0.511811023622047" footer="0.41"/>
  <headerFooter alignWithMargins="0"/>
  <rowBreaks count="3" manualBreakCount="3">
    <brk id="18" max="12" man="1"/>
    <brk id="36" max="12" man="1"/>
    <brk id="76" max="12" man="1"/>
  </rowBreaks>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42"/>
  </sheetPr>
  <dimension ref="A1:X138"/>
  <sheetViews>
    <sheetView showGridLines="0" workbookViewId="0">
      <pane xSplit="4" ySplit="3" topLeftCell="E127" activePane="bottomRight" state="frozen"/>
      <selection pane="topRight"/>
      <selection pane="bottomLeft"/>
      <selection pane="bottomRight" activeCell="N140" sqref="N140"/>
    </sheetView>
  </sheetViews>
  <sheetFormatPr baseColWidth="10" defaultColWidth="8.83203125" defaultRowHeight="10" x14ac:dyDescent="0"/>
  <cols>
    <col min="1" max="2" width="18.6640625" style="149" customWidth="1"/>
    <col min="3" max="3" width="4.5" style="149" customWidth="1"/>
    <col min="4" max="4" width="3" style="247" customWidth="1"/>
    <col min="5" max="13" width="9.33203125" style="149" customWidth="1"/>
    <col min="14" max="14" width="32.6640625" style="149" bestFit="1" customWidth="1"/>
    <col min="15" max="15" width="1.5" style="149" customWidth="1"/>
    <col min="16" max="20" width="7.83203125" style="149" bestFit="1" customWidth="1"/>
    <col min="21" max="24" width="8.6640625" style="149" bestFit="1" customWidth="1"/>
    <col min="25" max="26" width="9.83203125" style="149" customWidth="1"/>
    <col min="27" max="16384" width="8.83203125" style="149"/>
  </cols>
  <sheetData>
    <row r="1" spans="1:24" ht="12">
      <c r="A1" s="147" t="str">
        <f>muni&amp;" - "&amp;TableA6</f>
        <v>NW373 Rustenburg - Supporting Table SA6 Reconciliation of IDP strategic objectives and budget (capital expenditure)</v>
      </c>
      <c r="B1" s="147"/>
      <c r="C1" s="147"/>
      <c r="D1" s="147"/>
      <c r="E1" s="147"/>
      <c r="F1" s="147"/>
      <c r="G1" s="147"/>
      <c r="H1" s="147"/>
      <c r="I1" s="147"/>
      <c r="J1" s="147"/>
      <c r="K1" s="147"/>
      <c r="L1" s="147"/>
      <c r="M1" s="147"/>
      <c r="N1" s="246"/>
      <c r="O1" s="246"/>
      <c r="P1" s="246"/>
      <c r="Q1" s="246"/>
    </row>
    <row r="2" spans="1:24" ht="28.5" customHeight="1">
      <c r="A2" s="975" t="s">
        <v>976</v>
      </c>
      <c r="B2" s="984" t="s">
        <v>1351</v>
      </c>
      <c r="C2" s="632" t="s">
        <v>941</v>
      </c>
      <c r="D2" s="2791" t="str">
        <f>head27</f>
        <v>Ref</v>
      </c>
      <c r="E2" s="145" t="str">
        <f>head1b</f>
        <v>2009/10</v>
      </c>
      <c r="F2" s="150" t="str">
        <f>head1A</f>
        <v>2010/11</v>
      </c>
      <c r="G2" s="146" t="str">
        <f>Head1</f>
        <v>2011/12</v>
      </c>
      <c r="H2" s="2765" t="str">
        <f>Head2</f>
        <v>Current Year 2012/13</v>
      </c>
      <c r="I2" s="2766"/>
      <c r="J2" s="2770"/>
      <c r="K2" s="2762" t="str">
        <f>Head3</f>
        <v>2013/14 Medium Term Revenue &amp; Expenditure Framework</v>
      </c>
      <c r="L2" s="2763"/>
      <c r="M2" s="2764"/>
      <c r="N2" s="246"/>
      <c r="O2" s="246"/>
      <c r="P2" s="246"/>
      <c r="Q2" s="246"/>
    </row>
    <row r="3" spans="1:24" ht="20">
      <c r="A3" s="991" t="s">
        <v>667</v>
      </c>
      <c r="B3" s="990"/>
      <c r="C3" s="990"/>
      <c r="D3" s="2797"/>
      <c r="E3" s="389" t="str">
        <f>Head5</f>
        <v>Audited Outcome</v>
      </c>
      <c r="F3" s="390" t="str">
        <f>Head5</f>
        <v>Audited Outcome</v>
      </c>
      <c r="G3" s="391" t="str">
        <f>Head5</f>
        <v>Audited Outcome</v>
      </c>
      <c r="H3" s="299" t="str">
        <f>Head6</f>
        <v>Original Budget</v>
      </c>
      <c r="I3" s="390" t="str">
        <f>Head7</f>
        <v>Adjusted Budget</v>
      </c>
      <c r="J3" s="391" t="str">
        <f>Head8</f>
        <v>Full Year Forecast</v>
      </c>
      <c r="K3" s="299" t="str">
        <f>Head9</f>
        <v>Budget Year 2013/14</v>
      </c>
      <c r="L3" s="390" t="str">
        <f>Head10</f>
        <v>Budget Year +1 2014/15</v>
      </c>
      <c r="M3" s="391" t="str">
        <f>Head11</f>
        <v>Budget Year +2 2015/16</v>
      </c>
      <c r="N3" s="246"/>
      <c r="O3" s="246"/>
      <c r="P3" s="246"/>
      <c r="Q3" s="246"/>
    </row>
    <row r="4" spans="1:24" ht="67.5" customHeight="1">
      <c r="A4" s="2526" t="s">
        <v>2413</v>
      </c>
      <c r="B4" s="2527" t="s">
        <v>2414</v>
      </c>
      <c r="C4" s="2585" t="s">
        <v>408</v>
      </c>
      <c r="D4" s="441"/>
      <c r="E4" s="1696">
        <v>187565700</v>
      </c>
      <c r="F4" s="1697">
        <v>77056726</v>
      </c>
      <c r="G4" s="1698">
        <v>95601940</v>
      </c>
      <c r="H4" s="1698">
        <f>331776080+25900000</f>
        <v>357676080</v>
      </c>
      <c r="I4" s="1696">
        <f>320772086+25900000</f>
        <v>346672086</v>
      </c>
      <c r="J4" s="1696">
        <f>320772086+25900000</f>
        <v>346672086</v>
      </c>
      <c r="K4" s="1700">
        <v>0</v>
      </c>
      <c r="L4" s="1696">
        <v>0</v>
      </c>
      <c r="M4" s="1697">
        <v>0</v>
      </c>
      <c r="N4" s="446"/>
      <c r="O4" s="446"/>
      <c r="P4" s="255"/>
      <c r="Q4" s="255"/>
      <c r="R4" s="255"/>
      <c r="S4" s="255"/>
      <c r="T4" s="255"/>
      <c r="U4" s="255"/>
      <c r="V4" s="255"/>
      <c r="W4" s="255"/>
      <c r="X4" s="255"/>
    </row>
    <row r="5" spans="1:24" ht="42.75" customHeight="1">
      <c r="A5" s="2539"/>
      <c r="B5" s="2527" t="s">
        <v>2415</v>
      </c>
      <c r="C5" s="2585"/>
      <c r="D5" s="441"/>
      <c r="E5" s="1696"/>
      <c r="F5" s="1697"/>
      <c r="G5" s="1698"/>
      <c r="H5" s="1698"/>
      <c r="I5" s="1696"/>
      <c r="J5" s="1699"/>
      <c r="K5" s="1700">
        <v>0</v>
      </c>
      <c r="L5" s="1696">
        <v>0</v>
      </c>
      <c r="M5" s="1697">
        <v>0</v>
      </c>
      <c r="N5" s="446"/>
      <c r="O5" s="446"/>
      <c r="P5" s="255"/>
      <c r="Q5" s="255"/>
      <c r="R5" s="255"/>
      <c r="S5" s="255"/>
      <c r="T5" s="255"/>
      <c r="U5" s="255"/>
      <c r="V5" s="255"/>
      <c r="W5" s="255"/>
      <c r="X5" s="255"/>
    </row>
    <row r="6" spans="1:24" ht="42.75" customHeight="1">
      <c r="A6" s="2539"/>
      <c r="B6" s="2527" t="s">
        <v>2416</v>
      </c>
      <c r="C6" s="2585"/>
      <c r="D6" s="441"/>
      <c r="E6" s="1696"/>
      <c r="F6" s="1697"/>
      <c r="G6" s="1698"/>
      <c r="H6" s="1698"/>
      <c r="I6" s="1696"/>
      <c r="J6" s="1699"/>
      <c r="K6" s="1700">
        <v>0</v>
      </c>
      <c r="L6" s="1696">
        <v>0</v>
      </c>
      <c r="M6" s="1697">
        <v>0</v>
      </c>
      <c r="N6" s="446"/>
      <c r="O6" s="446"/>
      <c r="P6" s="255"/>
      <c r="Q6" s="255"/>
      <c r="R6" s="255"/>
      <c r="S6" s="255"/>
      <c r="T6" s="255"/>
      <c r="U6" s="255"/>
      <c r="V6" s="255"/>
      <c r="W6" s="255"/>
      <c r="X6" s="255"/>
    </row>
    <row r="7" spans="1:24" ht="42.75" customHeight="1">
      <c r="A7" s="2539"/>
      <c r="B7" s="2527" t="s">
        <v>2417</v>
      </c>
      <c r="C7" s="2585"/>
      <c r="D7" s="441"/>
      <c r="E7" s="1696"/>
      <c r="F7" s="1697"/>
      <c r="G7" s="1698"/>
      <c r="H7" s="1698"/>
      <c r="I7" s="1696"/>
      <c r="J7" s="1699"/>
      <c r="K7" s="1700">
        <v>0</v>
      </c>
      <c r="L7" s="1696">
        <v>0</v>
      </c>
      <c r="M7" s="1697">
        <v>0</v>
      </c>
      <c r="N7" s="446"/>
      <c r="O7" s="446"/>
      <c r="P7" s="255"/>
      <c r="Q7" s="255"/>
      <c r="R7" s="255"/>
      <c r="S7" s="255"/>
      <c r="T7" s="255"/>
      <c r="U7" s="255"/>
      <c r="V7" s="255"/>
      <c r="W7" s="255"/>
      <c r="X7" s="255"/>
    </row>
    <row r="8" spans="1:24" ht="42.75" customHeight="1">
      <c r="A8" s="2539"/>
      <c r="B8" s="2527" t="s">
        <v>2418</v>
      </c>
      <c r="C8" s="2585"/>
      <c r="D8" s="441"/>
      <c r="E8" s="1696">
        <v>7198416</v>
      </c>
      <c r="F8" s="1697">
        <v>7453704</v>
      </c>
      <c r="G8" s="1698">
        <v>1008628</v>
      </c>
      <c r="H8" s="1698">
        <v>13724000</v>
      </c>
      <c r="I8" s="1696">
        <v>13112000</v>
      </c>
      <c r="J8" s="1696">
        <v>13112000</v>
      </c>
      <c r="K8" s="1700">
        <v>0</v>
      </c>
      <c r="L8" s="1696">
        <v>0</v>
      </c>
      <c r="M8" s="1697">
        <v>0</v>
      </c>
      <c r="N8" s="446"/>
      <c r="O8" s="446"/>
      <c r="P8" s="255"/>
      <c r="Q8" s="255"/>
      <c r="R8" s="255"/>
      <c r="S8" s="255"/>
      <c r="T8" s="255"/>
      <c r="U8" s="255"/>
      <c r="V8" s="255"/>
      <c r="W8" s="255"/>
      <c r="X8" s="255"/>
    </row>
    <row r="9" spans="1:24" ht="42.75" customHeight="1">
      <c r="A9" s="2533" t="s">
        <v>2419</v>
      </c>
      <c r="B9" s="2527" t="s">
        <v>2420</v>
      </c>
      <c r="C9" s="2585" t="s">
        <v>1340</v>
      </c>
      <c r="D9" s="441"/>
      <c r="E9" s="1696"/>
      <c r="F9" s="1697"/>
      <c r="G9" s="1698"/>
      <c r="H9" s="1698"/>
      <c r="I9" s="1696"/>
      <c r="J9" s="1699"/>
      <c r="K9" s="1700">
        <v>0</v>
      </c>
      <c r="L9" s="1696">
        <v>0</v>
      </c>
      <c r="M9" s="1697">
        <v>0</v>
      </c>
      <c r="N9" s="309"/>
      <c r="O9" s="309"/>
      <c r="P9" s="255"/>
      <c r="Q9" s="255"/>
      <c r="R9" s="255"/>
      <c r="S9" s="255"/>
      <c r="T9" s="255"/>
      <c r="U9" s="255"/>
      <c r="V9" s="255"/>
      <c r="W9" s="255"/>
      <c r="X9" s="255"/>
    </row>
    <row r="10" spans="1:24" ht="42.75" customHeight="1">
      <c r="A10" s="2539"/>
      <c r="B10" s="2527" t="s">
        <v>2421</v>
      </c>
      <c r="C10" s="2585"/>
      <c r="D10" s="441"/>
      <c r="E10" s="1696"/>
      <c r="F10" s="1697"/>
      <c r="G10" s="1698"/>
      <c r="H10" s="1698"/>
      <c r="I10" s="1696"/>
      <c r="J10" s="1699"/>
      <c r="K10" s="1700">
        <v>0</v>
      </c>
      <c r="L10" s="1696">
        <v>0</v>
      </c>
      <c r="M10" s="1697">
        <v>0</v>
      </c>
      <c r="N10" s="246"/>
      <c r="O10" s="246"/>
      <c r="P10" s="255"/>
      <c r="Q10" s="255"/>
      <c r="R10" s="255"/>
      <c r="S10" s="255"/>
      <c r="T10" s="255"/>
      <c r="U10" s="255"/>
      <c r="V10" s="255"/>
      <c r="W10" s="255"/>
      <c r="X10" s="255"/>
    </row>
    <row r="11" spans="1:24" ht="42.75" customHeight="1">
      <c r="A11" s="2539"/>
      <c r="B11" s="2527" t="s">
        <v>2474</v>
      </c>
      <c r="C11" s="2585"/>
      <c r="D11" s="441"/>
      <c r="E11" s="1696"/>
      <c r="F11" s="1697"/>
      <c r="G11" s="1698"/>
      <c r="H11" s="1698"/>
      <c r="I11" s="1696"/>
      <c r="J11" s="1699"/>
      <c r="K11" s="1700">
        <v>0</v>
      </c>
      <c r="L11" s="1696">
        <v>0</v>
      </c>
      <c r="M11" s="1697">
        <v>0</v>
      </c>
      <c r="N11" s="246"/>
      <c r="O11" s="246"/>
      <c r="P11" s="255"/>
      <c r="Q11" s="255"/>
      <c r="R11" s="255"/>
      <c r="S11" s="255"/>
      <c r="T11" s="255"/>
      <c r="U11" s="255"/>
      <c r="V11" s="255"/>
      <c r="W11" s="255"/>
      <c r="X11" s="255"/>
    </row>
    <row r="12" spans="1:24" ht="42.75" customHeight="1">
      <c r="A12" s="2539"/>
      <c r="B12" s="2527" t="s">
        <v>2475</v>
      </c>
      <c r="C12" s="2585"/>
      <c r="D12" s="441"/>
      <c r="E12" s="1696">
        <v>22350138</v>
      </c>
      <c r="F12" s="1697">
        <v>95986922</v>
      </c>
      <c r="G12" s="1698">
        <v>179665964</v>
      </c>
      <c r="H12" s="1698">
        <v>463309347</v>
      </c>
      <c r="I12" s="1696">
        <v>527171211</v>
      </c>
      <c r="J12" s="1696">
        <v>527171211</v>
      </c>
      <c r="K12" s="1700">
        <v>0</v>
      </c>
      <c r="L12" s="1696">
        <v>0</v>
      </c>
      <c r="M12" s="1697">
        <v>0</v>
      </c>
      <c r="N12" s="246"/>
      <c r="O12" s="246"/>
      <c r="P12" s="255"/>
      <c r="Q12" s="255"/>
      <c r="R12" s="255"/>
      <c r="S12" s="255"/>
      <c r="T12" s="255"/>
      <c r="U12" s="255"/>
      <c r="V12" s="255"/>
      <c r="W12" s="255"/>
      <c r="X12" s="255"/>
    </row>
    <row r="13" spans="1:24" ht="42.75" customHeight="1">
      <c r="A13" s="2539"/>
      <c r="B13" s="2527" t="s">
        <v>2476</v>
      </c>
      <c r="C13" s="2585"/>
      <c r="D13" s="441"/>
      <c r="E13" s="1696"/>
      <c r="F13" s="1697"/>
      <c r="G13" s="1698"/>
      <c r="H13" s="1698"/>
      <c r="I13" s="1696"/>
      <c r="J13" s="1699"/>
      <c r="K13" s="1700">
        <v>0</v>
      </c>
      <c r="L13" s="1696">
        <v>0</v>
      </c>
      <c r="M13" s="1697">
        <v>0</v>
      </c>
      <c r="N13" s="246"/>
      <c r="O13" s="246"/>
      <c r="P13" s="255"/>
      <c r="Q13" s="255"/>
      <c r="R13" s="255"/>
      <c r="S13" s="255"/>
      <c r="T13" s="255"/>
      <c r="U13" s="255"/>
      <c r="V13" s="255"/>
      <c r="W13" s="255"/>
      <c r="X13" s="255"/>
    </row>
    <row r="14" spans="1:24" ht="42.75" customHeight="1">
      <c r="A14" s="2539"/>
      <c r="B14" s="2527" t="s">
        <v>2477</v>
      </c>
      <c r="C14" s="2585"/>
      <c r="D14" s="441"/>
      <c r="E14" s="1696"/>
      <c r="F14" s="1697"/>
      <c r="G14" s="1698"/>
      <c r="H14" s="1698"/>
      <c r="I14" s="1696"/>
      <c r="J14" s="1699"/>
      <c r="K14" s="1700">
        <v>0</v>
      </c>
      <c r="L14" s="1696">
        <v>0</v>
      </c>
      <c r="M14" s="1697">
        <v>0</v>
      </c>
      <c r="N14" s="246"/>
      <c r="O14" s="246"/>
      <c r="P14" s="255"/>
      <c r="Q14" s="255"/>
      <c r="R14" s="255"/>
      <c r="S14" s="255"/>
      <c r="T14" s="255"/>
      <c r="U14" s="255"/>
      <c r="V14" s="255"/>
      <c r="W14" s="255"/>
      <c r="X14" s="255"/>
    </row>
    <row r="15" spans="1:24" ht="42.75" customHeight="1">
      <c r="A15" s="2539"/>
      <c r="B15" s="2527" t="s">
        <v>2478</v>
      </c>
      <c r="C15" s="2585"/>
      <c r="D15" s="441"/>
      <c r="E15" s="1696"/>
      <c r="F15" s="1697"/>
      <c r="G15" s="1698"/>
      <c r="H15" s="1698"/>
      <c r="I15" s="1696"/>
      <c r="J15" s="1699"/>
      <c r="K15" s="1700">
        <v>0</v>
      </c>
      <c r="L15" s="1696">
        <v>0</v>
      </c>
      <c r="M15" s="1697">
        <v>0</v>
      </c>
      <c r="N15" s="246"/>
      <c r="O15" s="246"/>
      <c r="P15" s="255"/>
      <c r="Q15" s="255"/>
      <c r="R15" s="255"/>
      <c r="S15" s="255"/>
      <c r="T15" s="255"/>
      <c r="U15" s="255"/>
      <c r="V15" s="255"/>
      <c r="W15" s="255"/>
      <c r="X15" s="255"/>
    </row>
    <row r="16" spans="1:24" ht="42.75" customHeight="1">
      <c r="A16" s="2533" t="s">
        <v>2479</v>
      </c>
      <c r="B16" s="2527" t="s">
        <v>2480</v>
      </c>
      <c r="C16" s="2585"/>
      <c r="D16" s="441"/>
      <c r="E16" s="1696"/>
      <c r="F16" s="1697"/>
      <c r="G16" s="1698"/>
      <c r="H16" s="1698"/>
      <c r="I16" s="1696"/>
      <c r="J16" s="1699"/>
      <c r="K16" s="1700">
        <v>0</v>
      </c>
      <c r="L16" s="1696">
        <v>0</v>
      </c>
      <c r="M16" s="1697">
        <v>0</v>
      </c>
      <c r="N16" s="246"/>
      <c r="O16" s="246"/>
      <c r="P16" s="255"/>
      <c r="Q16" s="255"/>
      <c r="R16" s="255"/>
      <c r="S16" s="255"/>
      <c r="T16" s="255"/>
      <c r="U16" s="255"/>
      <c r="V16" s="255"/>
      <c r="W16" s="255"/>
      <c r="X16" s="255"/>
    </row>
    <row r="17" spans="1:24" ht="42.75" customHeight="1">
      <c r="A17" s="2539"/>
      <c r="B17" s="2527" t="s">
        <v>2481</v>
      </c>
      <c r="C17" s="2585"/>
      <c r="D17" s="441"/>
      <c r="E17" s="1696"/>
      <c r="F17" s="1697"/>
      <c r="G17" s="1698"/>
      <c r="H17" s="1698"/>
      <c r="I17" s="1696"/>
      <c r="J17" s="1699"/>
      <c r="K17" s="1700">
        <v>0</v>
      </c>
      <c r="L17" s="1696">
        <v>0</v>
      </c>
      <c r="M17" s="1697">
        <v>0</v>
      </c>
      <c r="N17" s="246"/>
      <c r="O17" s="246"/>
      <c r="P17" s="255"/>
      <c r="Q17" s="255"/>
      <c r="R17" s="255"/>
      <c r="S17" s="255"/>
      <c r="T17" s="255"/>
      <c r="U17" s="255"/>
      <c r="V17" s="255"/>
      <c r="W17" s="255"/>
      <c r="X17" s="255"/>
    </row>
    <row r="18" spans="1:24" ht="42.75" customHeight="1">
      <c r="A18" s="2539"/>
      <c r="B18" s="2527" t="s">
        <v>2482</v>
      </c>
      <c r="C18" s="2585"/>
      <c r="D18" s="441"/>
      <c r="E18" s="1696">
        <v>2100693</v>
      </c>
      <c r="F18" s="1697">
        <v>479329</v>
      </c>
      <c r="G18" s="1698">
        <v>1164819</v>
      </c>
      <c r="H18" s="1698">
        <v>11131800</v>
      </c>
      <c r="I18" s="1698">
        <v>11131800</v>
      </c>
      <c r="J18" s="1698">
        <v>11131800</v>
      </c>
      <c r="K18" s="1700">
        <v>0</v>
      </c>
      <c r="L18" s="1696">
        <v>0</v>
      </c>
      <c r="M18" s="1697">
        <v>0</v>
      </c>
      <c r="N18" s="246"/>
      <c r="O18" s="246"/>
      <c r="P18" s="255"/>
      <c r="Q18" s="255"/>
      <c r="R18" s="255"/>
      <c r="S18" s="255"/>
      <c r="T18" s="255"/>
      <c r="U18" s="255"/>
      <c r="V18" s="255"/>
      <c r="W18" s="255"/>
      <c r="X18" s="255"/>
    </row>
    <row r="19" spans="1:24" ht="42.75" customHeight="1">
      <c r="A19" s="2539"/>
      <c r="B19" s="2527" t="s">
        <v>2483</v>
      </c>
      <c r="C19" s="2585" t="s">
        <v>497</v>
      </c>
      <c r="D19" s="441"/>
      <c r="E19" s="1696"/>
      <c r="F19" s="1697"/>
      <c r="G19" s="1698"/>
      <c r="H19" s="1698"/>
      <c r="I19" s="1696"/>
      <c r="J19" s="1699"/>
      <c r="K19" s="1700">
        <v>0</v>
      </c>
      <c r="L19" s="1696">
        <v>0</v>
      </c>
      <c r="M19" s="1697">
        <v>0</v>
      </c>
      <c r="N19" s="246"/>
      <c r="O19" s="246"/>
      <c r="P19" s="255"/>
      <c r="Q19" s="255"/>
      <c r="R19" s="255"/>
      <c r="S19" s="255"/>
      <c r="T19" s="255"/>
      <c r="U19" s="255"/>
      <c r="V19" s="255"/>
      <c r="W19" s="255"/>
      <c r="X19" s="255"/>
    </row>
    <row r="20" spans="1:24" ht="42.75" customHeight="1">
      <c r="A20" s="2539"/>
      <c r="B20" s="2527" t="s">
        <v>2484</v>
      </c>
      <c r="C20" s="2585" t="s">
        <v>1554</v>
      </c>
      <c r="D20" s="441"/>
      <c r="E20" s="1696"/>
      <c r="F20" s="1697"/>
      <c r="G20" s="1698"/>
      <c r="H20" s="1698"/>
      <c r="I20" s="1696"/>
      <c r="J20" s="1699"/>
      <c r="K20" s="1700">
        <v>0</v>
      </c>
      <c r="L20" s="1696">
        <v>0</v>
      </c>
      <c r="M20" s="1697">
        <v>0</v>
      </c>
      <c r="N20" s="246"/>
      <c r="O20" s="246"/>
      <c r="P20" s="255"/>
      <c r="Q20" s="255"/>
      <c r="R20" s="255"/>
      <c r="S20" s="255"/>
      <c r="T20" s="255"/>
      <c r="U20" s="255"/>
      <c r="V20" s="255"/>
      <c r="W20" s="255"/>
      <c r="X20" s="255"/>
    </row>
    <row r="21" spans="1:24" ht="42.75" customHeight="1">
      <c r="A21" s="2539"/>
      <c r="B21" s="2527" t="s">
        <v>2485</v>
      </c>
      <c r="C21" s="2585" t="s">
        <v>1556</v>
      </c>
      <c r="D21" s="441"/>
      <c r="E21" s="1696"/>
      <c r="F21" s="1697"/>
      <c r="G21" s="1698"/>
      <c r="H21" s="1698"/>
      <c r="I21" s="1696"/>
      <c r="J21" s="1699"/>
      <c r="K21" s="1700">
        <v>0</v>
      </c>
      <c r="L21" s="1696">
        <v>0</v>
      </c>
      <c r="M21" s="1697">
        <v>0</v>
      </c>
      <c r="N21" s="246"/>
      <c r="O21" s="246"/>
      <c r="P21" s="255"/>
      <c r="Q21" s="255"/>
      <c r="R21" s="255"/>
      <c r="S21" s="255"/>
      <c r="T21" s="255"/>
      <c r="U21" s="255"/>
      <c r="V21" s="255"/>
      <c r="W21" s="255"/>
      <c r="X21" s="255"/>
    </row>
    <row r="22" spans="1:24" ht="42.75" customHeight="1">
      <c r="A22" s="2539"/>
      <c r="B22" s="2527" t="s">
        <v>2486</v>
      </c>
      <c r="C22" s="2585" t="s">
        <v>562</v>
      </c>
      <c r="D22" s="441"/>
      <c r="E22" s="1696"/>
      <c r="F22" s="1697"/>
      <c r="G22" s="1698"/>
      <c r="H22" s="1698"/>
      <c r="I22" s="1696"/>
      <c r="J22" s="1699"/>
      <c r="K22" s="1700">
        <v>0</v>
      </c>
      <c r="L22" s="1696">
        <v>0</v>
      </c>
      <c r="M22" s="1697">
        <v>0</v>
      </c>
      <c r="N22" s="246"/>
      <c r="O22" s="246"/>
      <c r="P22" s="255"/>
      <c r="Q22" s="255"/>
      <c r="R22" s="255"/>
      <c r="S22" s="255"/>
      <c r="T22" s="255"/>
      <c r="U22" s="255"/>
      <c r="V22" s="255"/>
      <c r="W22" s="255"/>
      <c r="X22" s="255"/>
    </row>
    <row r="23" spans="1:24" ht="42.75" customHeight="1">
      <c r="A23" s="2533" t="s">
        <v>2487</v>
      </c>
      <c r="B23" s="2527" t="s">
        <v>2488</v>
      </c>
      <c r="C23" s="2585" t="s">
        <v>943</v>
      </c>
      <c r="D23" s="441"/>
      <c r="E23" s="1696"/>
      <c r="F23" s="1697"/>
      <c r="G23" s="1698"/>
      <c r="H23" s="1698"/>
      <c r="I23" s="1696"/>
      <c r="J23" s="1699"/>
      <c r="K23" s="1700">
        <v>0</v>
      </c>
      <c r="L23" s="1696">
        <v>0</v>
      </c>
      <c r="M23" s="1697">
        <v>0</v>
      </c>
      <c r="N23" s="246"/>
      <c r="O23" s="246"/>
      <c r="P23" s="255"/>
      <c r="Q23" s="255"/>
      <c r="R23" s="255"/>
      <c r="S23" s="255"/>
      <c r="T23" s="255"/>
      <c r="U23" s="255"/>
      <c r="V23" s="255"/>
      <c r="W23" s="255"/>
      <c r="X23" s="255"/>
    </row>
    <row r="24" spans="1:24" ht="42.75" customHeight="1">
      <c r="A24" s="2539"/>
      <c r="B24" s="2527" t="s">
        <v>2489</v>
      </c>
      <c r="C24" s="2585" t="s">
        <v>945</v>
      </c>
      <c r="D24" s="441"/>
      <c r="E24" s="1696">
        <v>282512</v>
      </c>
      <c r="F24" s="1697">
        <v>1136647</v>
      </c>
      <c r="G24" s="1698">
        <v>14851949</v>
      </c>
      <c r="H24" s="1698">
        <v>28850871</v>
      </c>
      <c r="I24" s="1696">
        <v>29110871</v>
      </c>
      <c r="J24" s="1696">
        <v>29110871</v>
      </c>
      <c r="K24" s="1700">
        <v>0</v>
      </c>
      <c r="L24" s="1696">
        <v>0</v>
      </c>
      <c r="M24" s="1697">
        <v>0</v>
      </c>
      <c r="N24" s="246"/>
      <c r="O24" s="246"/>
      <c r="P24" s="255"/>
      <c r="Q24" s="255"/>
      <c r="R24" s="255"/>
      <c r="S24" s="255"/>
      <c r="T24" s="255"/>
      <c r="U24" s="255"/>
      <c r="V24" s="255"/>
      <c r="W24" s="255"/>
      <c r="X24" s="255"/>
    </row>
    <row r="25" spans="1:24" ht="42.75" customHeight="1">
      <c r="A25" s="2533" t="s">
        <v>2490</v>
      </c>
      <c r="B25" s="2527" t="s">
        <v>2491</v>
      </c>
      <c r="C25" s="2585">
        <v>0</v>
      </c>
      <c r="D25" s="441"/>
      <c r="E25" s="1696"/>
      <c r="F25" s="1697"/>
      <c r="G25" s="1698"/>
      <c r="H25" s="1698"/>
      <c r="I25" s="1696"/>
      <c r="J25" s="1699"/>
      <c r="K25" s="1700">
        <v>0</v>
      </c>
      <c r="L25" s="1696">
        <v>0</v>
      </c>
      <c r="M25" s="1697">
        <v>0</v>
      </c>
      <c r="N25" s="246"/>
      <c r="O25" s="246"/>
      <c r="P25" s="255"/>
      <c r="Q25" s="255"/>
      <c r="R25" s="255"/>
      <c r="S25" s="255"/>
      <c r="T25" s="255"/>
      <c r="U25" s="255"/>
      <c r="V25" s="255"/>
      <c r="W25" s="255"/>
      <c r="X25" s="255"/>
    </row>
    <row r="26" spans="1:24" ht="42.75" customHeight="1">
      <c r="A26" s="2533"/>
      <c r="B26" s="2527"/>
      <c r="C26" s="2585"/>
      <c r="D26" s="441"/>
      <c r="E26" s="1696"/>
      <c r="F26" s="1697"/>
      <c r="G26" s="1698"/>
      <c r="H26" s="1698"/>
      <c r="I26" s="1696"/>
      <c r="J26" s="1699"/>
      <c r="K26" s="1700">
        <v>0</v>
      </c>
      <c r="L26" s="1696">
        <v>0</v>
      </c>
      <c r="M26" s="1697">
        <v>0</v>
      </c>
      <c r="N26" s="246"/>
      <c r="O26" s="246"/>
      <c r="P26" s="255"/>
      <c r="Q26" s="255"/>
      <c r="R26" s="255"/>
      <c r="S26" s="255"/>
      <c r="T26" s="255"/>
      <c r="U26" s="255"/>
      <c r="V26" s="255"/>
      <c r="W26" s="255"/>
      <c r="X26" s="255"/>
    </row>
    <row r="27" spans="1:24" ht="42.75" customHeight="1">
      <c r="A27" s="2586" t="s">
        <v>2548</v>
      </c>
      <c r="B27" s="2527" t="s">
        <v>2549</v>
      </c>
      <c r="C27" s="2585" t="s">
        <v>408</v>
      </c>
      <c r="D27" s="441"/>
      <c r="E27" s="1696"/>
      <c r="F27" s="1697"/>
      <c r="G27" s="1698"/>
      <c r="H27" s="1698"/>
      <c r="I27" s="1696"/>
      <c r="J27" s="1699"/>
      <c r="K27" s="1700">
        <v>0</v>
      </c>
      <c r="L27" s="1696">
        <v>0</v>
      </c>
      <c r="M27" s="1697">
        <v>0</v>
      </c>
      <c r="N27" s="246"/>
      <c r="O27" s="246"/>
      <c r="P27" s="255"/>
      <c r="Q27" s="255"/>
      <c r="R27" s="255"/>
      <c r="S27" s="255"/>
      <c r="T27" s="255"/>
      <c r="U27" s="255"/>
      <c r="V27" s="255"/>
      <c r="W27" s="255"/>
      <c r="X27" s="255"/>
    </row>
    <row r="28" spans="1:24" ht="42.75" customHeight="1">
      <c r="A28" s="2586"/>
      <c r="B28" s="2527" t="s">
        <v>2497</v>
      </c>
      <c r="C28" s="2585" t="s">
        <v>1340</v>
      </c>
      <c r="D28" s="441"/>
      <c r="E28" s="1696">
        <v>595548</v>
      </c>
      <c r="F28" s="1697">
        <v>1877660</v>
      </c>
      <c r="G28" s="1698">
        <v>978966</v>
      </c>
      <c r="H28" s="1698">
        <v>256000</v>
      </c>
      <c r="I28" s="1696">
        <v>2069708</v>
      </c>
      <c r="J28" s="1696">
        <v>2069708</v>
      </c>
      <c r="K28" s="1700">
        <v>0</v>
      </c>
      <c r="L28" s="1696">
        <v>0</v>
      </c>
      <c r="M28" s="1697">
        <v>0</v>
      </c>
      <c r="N28" s="246"/>
      <c r="O28" s="246"/>
      <c r="P28" s="255"/>
      <c r="Q28" s="255"/>
      <c r="R28" s="255"/>
      <c r="S28" s="255"/>
      <c r="T28" s="255"/>
      <c r="U28" s="255"/>
      <c r="V28" s="255"/>
      <c r="W28" s="255"/>
      <c r="X28" s="255"/>
    </row>
    <row r="29" spans="1:24" ht="42.75" customHeight="1">
      <c r="A29" s="2586"/>
      <c r="B29" s="2527" t="s">
        <v>2498</v>
      </c>
      <c r="C29" s="2585" t="s">
        <v>497</v>
      </c>
      <c r="D29" s="441"/>
      <c r="E29" s="1696"/>
      <c r="F29" s="1697"/>
      <c r="G29" s="1698"/>
      <c r="H29" s="1698"/>
      <c r="I29" s="1696"/>
      <c r="J29" s="1699"/>
      <c r="K29" s="1700">
        <v>0</v>
      </c>
      <c r="L29" s="1696">
        <v>0</v>
      </c>
      <c r="M29" s="1697">
        <v>0</v>
      </c>
      <c r="N29" s="246"/>
      <c r="O29" s="246"/>
      <c r="P29" s="255"/>
      <c r="Q29" s="255"/>
      <c r="R29" s="255"/>
      <c r="S29" s="255"/>
      <c r="T29" s="255"/>
      <c r="U29" s="255"/>
      <c r="V29" s="255"/>
      <c r="W29" s="255"/>
      <c r="X29" s="255"/>
    </row>
    <row r="30" spans="1:24" ht="42.75" customHeight="1">
      <c r="A30" s="2586"/>
      <c r="B30" s="2527" t="s">
        <v>2499</v>
      </c>
      <c r="C30" s="2585" t="s">
        <v>547</v>
      </c>
      <c r="D30" s="441"/>
      <c r="E30" s="1696"/>
      <c r="F30" s="1697"/>
      <c r="G30" s="1698"/>
      <c r="H30" s="1698"/>
      <c r="I30" s="1696"/>
      <c r="J30" s="1699"/>
      <c r="K30" s="1700">
        <v>0</v>
      </c>
      <c r="L30" s="1696">
        <v>0</v>
      </c>
      <c r="M30" s="1697">
        <v>0</v>
      </c>
      <c r="N30" s="246"/>
      <c r="O30" s="246"/>
      <c r="P30" s="255"/>
      <c r="Q30" s="255"/>
      <c r="R30" s="255"/>
      <c r="S30" s="255"/>
      <c r="T30" s="255"/>
      <c r="U30" s="255"/>
      <c r="V30" s="255"/>
      <c r="W30" s="255"/>
      <c r="X30" s="255"/>
    </row>
    <row r="31" spans="1:24" ht="42.75" customHeight="1">
      <c r="A31" s="2586"/>
      <c r="B31" s="2527" t="s">
        <v>2500</v>
      </c>
      <c r="C31" s="2585" t="s">
        <v>1554</v>
      </c>
      <c r="D31" s="441"/>
      <c r="E31" s="1696"/>
      <c r="F31" s="1697"/>
      <c r="G31" s="1698"/>
      <c r="H31" s="1698"/>
      <c r="I31" s="1696"/>
      <c r="J31" s="1699"/>
      <c r="K31" s="1700">
        <v>0</v>
      </c>
      <c r="L31" s="1696">
        <v>0</v>
      </c>
      <c r="M31" s="1697">
        <v>0</v>
      </c>
      <c r="N31" s="246"/>
      <c r="O31" s="246"/>
      <c r="P31" s="202"/>
      <c r="Q31" s="202"/>
      <c r="R31" s="202"/>
      <c r="S31" s="202"/>
      <c r="T31" s="202"/>
      <c r="U31" s="202"/>
      <c r="V31" s="202"/>
      <c r="W31" s="202"/>
      <c r="X31" s="202"/>
    </row>
    <row r="32" spans="1:24" ht="42.75" customHeight="1">
      <c r="A32" s="2586" t="s">
        <v>2501</v>
      </c>
      <c r="B32" s="2527" t="s">
        <v>2550</v>
      </c>
      <c r="C32" s="2585" t="s">
        <v>1555</v>
      </c>
      <c r="D32" s="441"/>
      <c r="E32" s="1696"/>
      <c r="F32" s="1697"/>
      <c r="G32" s="1698"/>
      <c r="H32" s="1698"/>
      <c r="I32" s="1696"/>
      <c r="J32" s="1699"/>
      <c r="K32" s="1700">
        <v>0</v>
      </c>
      <c r="L32" s="1696">
        <v>0</v>
      </c>
      <c r="M32" s="1697">
        <v>0</v>
      </c>
      <c r="N32" s="246"/>
      <c r="O32" s="246"/>
      <c r="P32" s="255"/>
      <c r="Q32" s="255"/>
      <c r="R32" s="255"/>
      <c r="S32" s="255"/>
      <c r="T32" s="255"/>
      <c r="U32" s="255"/>
      <c r="V32" s="255"/>
      <c r="W32" s="255"/>
      <c r="X32" s="255"/>
    </row>
    <row r="33" spans="1:17" ht="42.75" customHeight="1">
      <c r="A33" s="2586"/>
      <c r="B33" s="2527" t="s">
        <v>2551</v>
      </c>
      <c r="C33" s="2585" t="s">
        <v>1556</v>
      </c>
      <c r="D33" s="441"/>
      <c r="E33" s="1696"/>
      <c r="F33" s="1697"/>
      <c r="G33" s="1698"/>
      <c r="H33" s="1698"/>
      <c r="I33" s="1696"/>
      <c r="J33" s="1699"/>
      <c r="K33" s="1700">
        <v>0</v>
      </c>
      <c r="L33" s="1696">
        <v>0</v>
      </c>
      <c r="M33" s="1697">
        <v>0</v>
      </c>
      <c r="N33" s="246"/>
      <c r="O33" s="246"/>
      <c r="P33" s="246"/>
      <c r="Q33" s="246"/>
    </row>
    <row r="34" spans="1:17" ht="42.75" customHeight="1">
      <c r="A34" s="2586"/>
      <c r="B34" s="2527" t="s">
        <v>2552</v>
      </c>
      <c r="C34" s="2585" t="s">
        <v>561</v>
      </c>
      <c r="D34" s="441"/>
      <c r="E34" s="1696"/>
      <c r="F34" s="1697"/>
      <c r="G34" s="1698"/>
      <c r="H34" s="1698"/>
      <c r="I34" s="1696"/>
      <c r="J34" s="1699"/>
      <c r="K34" s="1700">
        <v>0</v>
      </c>
      <c r="L34" s="1696">
        <v>0</v>
      </c>
      <c r="M34" s="1697">
        <v>0</v>
      </c>
      <c r="N34" s="246"/>
      <c r="O34" s="246"/>
      <c r="P34" s="246"/>
      <c r="Q34" s="246"/>
    </row>
    <row r="35" spans="1:17" ht="42.75" customHeight="1">
      <c r="A35" s="2586"/>
      <c r="B35" s="2527" t="s">
        <v>2553</v>
      </c>
      <c r="C35" s="2585" t="s">
        <v>562</v>
      </c>
      <c r="D35" s="441"/>
      <c r="E35" s="1696"/>
      <c r="F35" s="1697"/>
      <c r="G35" s="1698"/>
      <c r="H35" s="1698"/>
      <c r="I35" s="1696"/>
      <c r="J35" s="1699"/>
      <c r="K35" s="1700">
        <v>0</v>
      </c>
      <c r="L35" s="1696">
        <v>0</v>
      </c>
      <c r="M35" s="1697">
        <v>0</v>
      </c>
      <c r="N35" s="246"/>
      <c r="O35" s="246"/>
      <c r="P35" s="246"/>
      <c r="Q35" s="246"/>
    </row>
    <row r="36" spans="1:17" ht="42.75" customHeight="1">
      <c r="A36" s="2586"/>
      <c r="B36" s="2527" t="s">
        <v>2506</v>
      </c>
      <c r="C36" s="2585" t="s">
        <v>942</v>
      </c>
      <c r="D36" s="441"/>
      <c r="E36" s="1696"/>
      <c r="F36" s="1697"/>
      <c r="G36" s="1698"/>
      <c r="H36" s="1698"/>
      <c r="I36" s="1696"/>
      <c r="J36" s="1699"/>
      <c r="K36" s="1700">
        <v>0</v>
      </c>
      <c r="L36" s="1696">
        <v>0</v>
      </c>
      <c r="M36" s="1697">
        <v>0</v>
      </c>
      <c r="N36" s="246"/>
      <c r="O36" s="246"/>
      <c r="P36" s="246"/>
      <c r="Q36" s="246"/>
    </row>
    <row r="37" spans="1:17" ht="42.75" customHeight="1">
      <c r="A37" s="2586"/>
      <c r="B37" s="2527" t="s">
        <v>2507</v>
      </c>
      <c r="C37" s="2585" t="s">
        <v>943</v>
      </c>
      <c r="D37" s="441"/>
      <c r="E37" s="1696"/>
      <c r="F37" s="1697"/>
      <c r="G37" s="1698"/>
      <c r="H37" s="1698"/>
      <c r="I37" s="1696"/>
      <c r="J37" s="1699"/>
      <c r="K37" s="1700">
        <v>0</v>
      </c>
      <c r="L37" s="1696">
        <v>0</v>
      </c>
      <c r="M37" s="1697">
        <v>0</v>
      </c>
      <c r="N37" s="246"/>
      <c r="O37" s="246"/>
      <c r="P37" s="246"/>
      <c r="Q37" s="246"/>
    </row>
    <row r="38" spans="1:17" ht="42.75" customHeight="1">
      <c r="A38" s="2586"/>
      <c r="B38" s="2527" t="s">
        <v>2508</v>
      </c>
      <c r="C38" s="2585" t="s">
        <v>944</v>
      </c>
      <c r="D38" s="441"/>
      <c r="E38" s="1696">
        <v>20000</v>
      </c>
      <c r="F38" s="1697">
        <v>183374</v>
      </c>
      <c r="G38" s="1698">
        <v>0</v>
      </c>
      <c r="H38" s="1698">
        <v>200000</v>
      </c>
      <c r="I38" s="1696">
        <v>0</v>
      </c>
      <c r="J38" s="1699">
        <v>0</v>
      </c>
      <c r="K38" s="1700">
        <v>0</v>
      </c>
      <c r="L38" s="1696">
        <v>0</v>
      </c>
      <c r="M38" s="1697">
        <v>0</v>
      </c>
      <c r="N38" s="246"/>
      <c r="O38" s="246"/>
      <c r="P38" s="246"/>
      <c r="Q38" s="246"/>
    </row>
    <row r="39" spans="1:17" ht="42.75" customHeight="1">
      <c r="A39" s="2586" t="s">
        <v>2554</v>
      </c>
      <c r="B39" s="2527" t="s">
        <v>2510</v>
      </c>
      <c r="C39" s="2585" t="s">
        <v>945</v>
      </c>
      <c r="D39" s="441"/>
      <c r="E39" s="1696"/>
      <c r="F39" s="1697"/>
      <c r="G39" s="1698"/>
      <c r="H39" s="1698"/>
      <c r="I39" s="1696"/>
      <c r="J39" s="1699"/>
      <c r="K39" s="1700">
        <v>0</v>
      </c>
      <c r="L39" s="1696">
        <v>0</v>
      </c>
      <c r="M39" s="1697">
        <v>0</v>
      </c>
      <c r="N39" s="246"/>
      <c r="O39" s="246"/>
      <c r="P39" s="246"/>
      <c r="Q39" s="246"/>
    </row>
    <row r="40" spans="1:17" ht="42.75" customHeight="1">
      <c r="A40" s="2586"/>
      <c r="B40" s="2527" t="s">
        <v>2511</v>
      </c>
      <c r="C40" s="2585" t="s">
        <v>946</v>
      </c>
      <c r="D40" s="441"/>
      <c r="E40" s="1696">
        <v>9242400</v>
      </c>
      <c r="F40" s="1697">
        <v>4759411</v>
      </c>
      <c r="G40" s="1698">
        <v>13800581</v>
      </c>
      <c r="H40" s="1698">
        <v>8070000</v>
      </c>
      <c r="I40" s="1696">
        <v>16830333</v>
      </c>
      <c r="J40" s="1696">
        <v>16830333</v>
      </c>
      <c r="K40" s="1700">
        <v>0</v>
      </c>
      <c r="L40" s="1696">
        <v>0</v>
      </c>
      <c r="M40" s="1697">
        <v>0</v>
      </c>
      <c r="N40" s="246"/>
      <c r="O40" s="246"/>
      <c r="P40" s="246"/>
      <c r="Q40" s="246"/>
    </row>
    <row r="41" spans="1:17" ht="42.75" customHeight="1">
      <c r="A41" s="2586"/>
      <c r="B41" s="2527" t="s">
        <v>2512</v>
      </c>
      <c r="C41" s="2585" t="s">
        <v>2555</v>
      </c>
      <c r="D41" s="441"/>
      <c r="E41" s="1696"/>
      <c r="F41" s="1697"/>
      <c r="G41" s="1698"/>
      <c r="H41" s="1698"/>
      <c r="I41" s="1696"/>
      <c r="J41" s="1699"/>
      <c r="K41" s="1700">
        <v>0</v>
      </c>
      <c r="L41" s="1696">
        <v>0</v>
      </c>
      <c r="M41" s="1697">
        <v>0</v>
      </c>
      <c r="N41" s="246"/>
      <c r="O41" s="246"/>
      <c r="P41" s="246"/>
      <c r="Q41" s="246"/>
    </row>
    <row r="42" spans="1:17" ht="42.75" customHeight="1">
      <c r="A42" s="2586"/>
      <c r="B42" s="2527" t="s">
        <v>2556</v>
      </c>
      <c r="C42" s="2585" t="s">
        <v>947</v>
      </c>
      <c r="D42" s="441"/>
      <c r="E42" s="1696">
        <v>1430153</v>
      </c>
      <c r="F42" s="1697">
        <v>89223</v>
      </c>
      <c r="G42" s="1698">
        <v>82654</v>
      </c>
      <c r="H42" s="1698">
        <v>723229</v>
      </c>
      <c r="I42" s="1696">
        <v>329671</v>
      </c>
      <c r="J42" s="1696">
        <v>329671</v>
      </c>
      <c r="K42" s="1700">
        <v>0</v>
      </c>
      <c r="L42" s="1696">
        <v>0</v>
      </c>
      <c r="M42" s="1697">
        <v>0</v>
      </c>
      <c r="N42" s="246"/>
      <c r="O42" s="246"/>
      <c r="P42" s="246"/>
      <c r="Q42" s="246"/>
    </row>
    <row r="43" spans="1:17" ht="42.75" customHeight="1">
      <c r="A43" s="2586" t="s">
        <v>2557</v>
      </c>
      <c r="B43" s="2527" t="s">
        <v>2558</v>
      </c>
      <c r="C43" s="2585"/>
      <c r="D43" s="441"/>
      <c r="E43" s="1696"/>
      <c r="F43" s="1697"/>
      <c r="G43" s="1698"/>
      <c r="H43" s="1698"/>
      <c r="I43" s="1696"/>
      <c r="J43" s="1699"/>
      <c r="K43" s="1700">
        <v>0</v>
      </c>
      <c r="L43" s="1696">
        <v>0</v>
      </c>
      <c r="M43" s="1697">
        <v>0</v>
      </c>
      <c r="N43" s="246"/>
      <c r="O43" s="246"/>
      <c r="P43" s="246"/>
      <c r="Q43" s="246"/>
    </row>
    <row r="44" spans="1:17" ht="42.75" customHeight="1">
      <c r="A44" s="2586"/>
      <c r="B44" s="2527" t="s">
        <v>2516</v>
      </c>
      <c r="C44" s="2585"/>
      <c r="D44" s="441"/>
      <c r="E44" s="1696">
        <v>0</v>
      </c>
      <c r="F44" s="1697">
        <v>0</v>
      </c>
      <c r="G44" s="1698">
        <v>0</v>
      </c>
      <c r="H44" s="1698">
        <v>27600000</v>
      </c>
      <c r="I44" s="1698">
        <v>27600000</v>
      </c>
      <c r="J44" s="1698">
        <v>27600000</v>
      </c>
      <c r="K44" s="1700">
        <v>0</v>
      </c>
      <c r="L44" s="1696">
        <v>0</v>
      </c>
      <c r="M44" s="1697">
        <v>0</v>
      </c>
      <c r="N44" s="246"/>
      <c r="O44" s="246"/>
      <c r="P44" s="246"/>
      <c r="Q44" s="246"/>
    </row>
    <row r="45" spans="1:17" ht="42.75" customHeight="1">
      <c r="A45" s="2586"/>
      <c r="B45" s="2527" t="s">
        <v>2517</v>
      </c>
      <c r="C45" s="2585"/>
      <c r="D45" s="441"/>
      <c r="E45" s="1696"/>
      <c r="F45" s="1697"/>
      <c r="G45" s="1698"/>
      <c r="H45" s="1698"/>
      <c r="I45" s="1696"/>
      <c r="J45" s="1699"/>
      <c r="K45" s="1700">
        <v>0</v>
      </c>
      <c r="L45" s="1696">
        <v>0</v>
      </c>
      <c r="M45" s="1697">
        <v>0</v>
      </c>
      <c r="N45" s="246"/>
      <c r="O45" s="246"/>
      <c r="P45" s="246"/>
      <c r="Q45" s="246"/>
    </row>
    <row r="46" spans="1:17" ht="42.75" customHeight="1">
      <c r="A46" s="2586"/>
      <c r="B46" s="2527" t="s">
        <v>2559</v>
      </c>
      <c r="C46" s="2585"/>
      <c r="D46" s="441"/>
      <c r="E46" s="1696"/>
      <c r="F46" s="1697"/>
      <c r="G46" s="1698"/>
      <c r="H46" s="1698"/>
      <c r="I46" s="1696"/>
      <c r="J46" s="1699"/>
      <c r="K46" s="1700">
        <v>0</v>
      </c>
      <c r="L46" s="1696">
        <v>0</v>
      </c>
      <c r="M46" s="1697">
        <v>0</v>
      </c>
      <c r="N46" s="246"/>
      <c r="O46" s="246"/>
      <c r="P46" s="246"/>
      <c r="Q46" s="246"/>
    </row>
    <row r="47" spans="1:17" ht="42.75" customHeight="1">
      <c r="A47" s="2586" t="s">
        <v>2560</v>
      </c>
      <c r="B47" s="2527" t="s">
        <v>2520</v>
      </c>
      <c r="C47" s="2585"/>
      <c r="D47" s="441"/>
      <c r="E47" s="1696"/>
      <c r="F47" s="1697"/>
      <c r="G47" s="1698"/>
      <c r="H47" s="1698"/>
      <c r="I47" s="1696"/>
      <c r="J47" s="1699"/>
      <c r="K47" s="1700">
        <v>0</v>
      </c>
      <c r="L47" s="1696">
        <v>0</v>
      </c>
      <c r="M47" s="1697">
        <v>0</v>
      </c>
      <c r="N47" s="246"/>
      <c r="O47" s="246"/>
      <c r="P47" s="246"/>
      <c r="Q47" s="246"/>
    </row>
    <row r="48" spans="1:17" ht="42.75" customHeight="1">
      <c r="A48" s="2586"/>
      <c r="B48" s="2527" t="s">
        <v>2561</v>
      </c>
      <c r="C48" s="2585"/>
      <c r="D48" s="441"/>
      <c r="E48" s="1696">
        <v>6544555</v>
      </c>
      <c r="F48" s="1697">
        <v>0</v>
      </c>
      <c r="G48" s="1698">
        <v>412601</v>
      </c>
      <c r="H48" s="1698">
        <v>323800</v>
      </c>
      <c r="I48" s="1696">
        <v>483800</v>
      </c>
      <c r="J48" s="1696">
        <v>483800</v>
      </c>
      <c r="K48" s="1700">
        <v>0</v>
      </c>
      <c r="L48" s="1696">
        <v>0</v>
      </c>
      <c r="M48" s="1697">
        <v>0</v>
      </c>
      <c r="N48" s="246"/>
      <c r="O48" s="246"/>
      <c r="P48" s="246"/>
      <c r="Q48" s="246"/>
    </row>
    <row r="49" spans="1:17" ht="42.75" customHeight="1">
      <c r="A49" s="2586" t="s">
        <v>2522</v>
      </c>
      <c r="B49" s="2527" t="s">
        <v>2523</v>
      </c>
      <c r="C49" s="2585"/>
      <c r="D49" s="441"/>
      <c r="E49" s="1696"/>
      <c r="F49" s="1697"/>
      <c r="G49" s="1698"/>
      <c r="H49" s="1698"/>
      <c r="I49" s="1696"/>
      <c r="J49" s="1699"/>
      <c r="K49" s="1700">
        <v>0</v>
      </c>
      <c r="L49" s="1696">
        <v>0</v>
      </c>
      <c r="M49" s="1697">
        <v>0</v>
      </c>
      <c r="N49" s="246"/>
      <c r="O49" s="246"/>
      <c r="P49" s="246"/>
      <c r="Q49" s="246"/>
    </row>
    <row r="50" spans="1:17" ht="42.75" customHeight="1">
      <c r="A50" s="2586"/>
      <c r="B50" s="2527" t="s">
        <v>2524</v>
      </c>
      <c r="C50" s="2585"/>
      <c r="D50" s="441"/>
      <c r="E50" s="1696"/>
      <c r="F50" s="1697"/>
      <c r="G50" s="1698"/>
      <c r="H50" s="1698"/>
      <c r="I50" s="1696"/>
      <c r="J50" s="1699"/>
      <c r="K50" s="1700">
        <v>0</v>
      </c>
      <c r="L50" s="1696">
        <v>0</v>
      </c>
      <c r="M50" s="1697">
        <v>0</v>
      </c>
      <c r="N50" s="246"/>
      <c r="O50" s="246"/>
      <c r="P50" s="246"/>
      <c r="Q50" s="246"/>
    </row>
    <row r="51" spans="1:17" ht="42.75" customHeight="1">
      <c r="A51" s="2586"/>
      <c r="B51" s="2527" t="s">
        <v>2525</v>
      </c>
      <c r="C51" s="2585"/>
      <c r="D51" s="441"/>
      <c r="E51" s="1696"/>
      <c r="F51" s="1697"/>
      <c r="G51" s="1698"/>
      <c r="H51" s="1698"/>
      <c r="I51" s="1696"/>
      <c r="J51" s="1699"/>
      <c r="K51" s="1700">
        <v>0</v>
      </c>
      <c r="L51" s="1696">
        <v>0</v>
      </c>
      <c r="M51" s="1697">
        <v>0</v>
      </c>
      <c r="N51" s="246"/>
      <c r="O51" s="246"/>
      <c r="P51" s="246"/>
      <c r="Q51" s="246"/>
    </row>
    <row r="52" spans="1:17" ht="42.75" customHeight="1">
      <c r="A52" s="2586" t="s">
        <v>2526</v>
      </c>
      <c r="B52" s="2527" t="s">
        <v>2527</v>
      </c>
      <c r="C52" s="2585"/>
      <c r="D52" s="441"/>
      <c r="E52" s="1696"/>
      <c r="F52" s="1697"/>
      <c r="G52" s="1698"/>
      <c r="H52" s="1698"/>
      <c r="I52" s="1696"/>
      <c r="J52" s="1699"/>
      <c r="K52" s="1700">
        <v>0</v>
      </c>
      <c r="L52" s="1696">
        <v>0</v>
      </c>
      <c r="M52" s="1697">
        <v>0</v>
      </c>
      <c r="N52" s="246"/>
      <c r="O52" s="246"/>
      <c r="P52" s="246"/>
      <c r="Q52" s="246"/>
    </row>
    <row r="53" spans="1:17" ht="42.75" customHeight="1">
      <c r="A53" s="2586"/>
      <c r="B53" s="2527" t="s">
        <v>2528</v>
      </c>
      <c r="C53" s="2585"/>
      <c r="D53" s="441"/>
      <c r="E53" s="1696"/>
      <c r="F53" s="1697"/>
      <c r="G53" s="1698"/>
      <c r="H53" s="1698"/>
      <c r="I53" s="1696"/>
      <c r="J53" s="1699"/>
      <c r="K53" s="1700">
        <v>0</v>
      </c>
      <c r="L53" s="1696">
        <v>0</v>
      </c>
      <c r="M53" s="1697">
        <v>0</v>
      </c>
      <c r="N53" s="246"/>
      <c r="O53" s="246"/>
      <c r="P53" s="246"/>
      <c r="Q53" s="246"/>
    </row>
    <row r="54" spans="1:17" ht="42.75" customHeight="1">
      <c r="A54" s="2586"/>
      <c r="B54" s="2527" t="s">
        <v>2529</v>
      </c>
      <c r="C54" s="2585"/>
      <c r="D54" s="441"/>
      <c r="E54" s="1696"/>
      <c r="F54" s="1697"/>
      <c r="G54" s="1698"/>
      <c r="H54" s="1698"/>
      <c r="I54" s="1696"/>
      <c r="J54" s="1699"/>
      <c r="K54" s="1700">
        <v>0</v>
      </c>
      <c r="L54" s="1696">
        <v>0</v>
      </c>
      <c r="M54" s="1697">
        <v>0</v>
      </c>
      <c r="N54" s="246"/>
      <c r="O54" s="246"/>
      <c r="P54" s="246"/>
      <c r="Q54" s="246"/>
    </row>
    <row r="55" spans="1:17" ht="42.75" customHeight="1">
      <c r="A55" s="2586"/>
      <c r="B55" s="2527" t="s">
        <v>2562</v>
      </c>
      <c r="C55" s="2585"/>
      <c r="D55" s="441"/>
      <c r="E55" s="1696"/>
      <c r="F55" s="1697"/>
      <c r="G55" s="1698"/>
      <c r="H55" s="1698"/>
      <c r="I55" s="1696"/>
      <c r="J55" s="1699"/>
      <c r="K55" s="1700">
        <v>0</v>
      </c>
      <c r="L55" s="1696">
        <v>0</v>
      </c>
      <c r="M55" s="1697">
        <v>0</v>
      </c>
      <c r="N55" s="246"/>
      <c r="O55" s="246"/>
      <c r="P55" s="246"/>
      <c r="Q55" s="246"/>
    </row>
    <row r="56" spans="1:17" ht="42.75" customHeight="1">
      <c r="A56" s="2586"/>
      <c r="B56" s="2527" t="s">
        <v>2531</v>
      </c>
      <c r="C56" s="2585"/>
      <c r="D56" s="441"/>
      <c r="E56" s="1696"/>
      <c r="F56" s="1697"/>
      <c r="G56" s="1698"/>
      <c r="H56" s="1698"/>
      <c r="I56" s="1696"/>
      <c r="J56" s="1699"/>
      <c r="K56" s="1700">
        <v>0</v>
      </c>
      <c r="L56" s="1696">
        <v>0</v>
      </c>
      <c r="M56" s="1697">
        <v>0</v>
      </c>
      <c r="N56" s="246"/>
      <c r="O56" s="246"/>
      <c r="P56" s="246"/>
      <c r="Q56" s="246"/>
    </row>
    <row r="57" spans="1:17" ht="42.75" customHeight="1">
      <c r="A57" s="2586"/>
      <c r="B57" s="2527" t="s">
        <v>2532</v>
      </c>
      <c r="C57" s="2585"/>
      <c r="D57" s="441"/>
      <c r="E57" s="1696"/>
      <c r="F57" s="1697"/>
      <c r="G57" s="1698"/>
      <c r="H57" s="1698"/>
      <c r="I57" s="1696"/>
      <c r="J57" s="1699"/>
      <c r="K57" s="1700">
        <v>0</v>
      </c>
      <c r="L57" s="1696">
        <v>0</v>
      </c>
      <c r="M57" s="1697">
        <v>0</v>
      </c>
      <c r="N57" s="246"/>
      <c r="O57" s="246"/>
      <c r="P57" s="246"/>
      <c r="Q57" s="246"/>
    </row>
    <row r="58" spans="1:17" ht="42.75" customHeight="1">
      <c r="A58" s="2586"/>
      <c r="B58" s="2527" t="s">
        <v>2533</v>
      </c>
      <c r="C58" s="2585"/>
      <c r="D58" s="441"/>
      <c r="E58" s="1696"/>
      <c r="F58" s="1697"/>
      <c r="G58" s="1698"/>
      <c r="H58" s="1698"/>
      <c r="I58" s="1696"/>
      <c r="J58" s="1699"/>
      <c r="K58" s="1700">
        <v>0</v>
      </c>
      <c r="L58" s="1696">
        <v>0</v>
      </c>
      <c r="M58" s="1697">
        <v>0</v>
      </c>
      <c r="N58" s="246"/>
      <c r="O58" s="246"/>
      <c r="P58" s="246"/>
      <c r="Q58" s="246"/>
    </row>
    <row r="59" spans="1:17" ht="42.75" customHeight="1">
      <c r="A59" s="2586"/>
      <c r="B59" s="2527" t="s">
        <v>2534</v>
      </c>
      <c r="C59" s="2585"/>
      <c r="D59" s="441"/>
      <c r="E59" s="1696"/>
      <c r="F59" s="1697"/>
      <c r="G59" s="1698"/>
      <c r="H59" s="1698"/>
      <c r="I59" s="1696"/>
      <c r="J59" s="1699"/>
      <c r="K59" s="1700">
        <v>0</v>
      </c>
      <c r="L59" s="1696">
        <v>0</v>
      </c>
      <c r="M59" s="1697">
        <v>0</v>
      </c>
      <c r="N59" s="246"/>
      <c r="O59" s="246"/>
      <c r="P59" s="246"/>
      <c r="Q59" s="246"/>
    </row>
    <row r="60" spans="1:17" ht="42.75" customHeight="1">
      <c r="A60" s="2533"/>
      <c r="B60" s="2527"/>
      <c r="C60" s="2585"/>
      <c r="D60" s="441"/>
      <c r="E60" s="1696"/>
      <c r="F60" s="1697"/>
      <c r="G60" s="1698"/>
      <c r="H60" s="1698"/>
      <c r="I60" s="1696"/>
      <c r="J60" s="1699"/>
      <c r="K60" s="1700"/>
      <c r="L60" s="1696"/>
      <c r="M60" s="1697"/>
      <c r="N60" s="246"/>
      <c r="O60" s="246"/>
      <c r="P60" s="246"/>
      <c r="Q60" s="246"/>
    </row>
    <row r="61" spans="1:17" ht="42.75" customHeight="1">
      <c r="A61" s="2539"/>
      <c r="B61" s="2527"/>
      <c r="C61" s="2587"/>
      <c r="D61" s="441"/>
      <c r="E61" s="1696"/>
      <c r="F61" s="1697"/>
      <c r="G61" s="1698"/>
      <c r="H61" s="1698"/>
      <c r="I61" s="1696"/>
      <c r="J61" s="1699"/>
      <c r="K61" s="1700"/>
      <c r="L61" s="1696"/>
      <c r="M61" s="1697"/>
      <c r="N61" s="246"/>
      <c r="O61" s="246"/>
      <c r="P61" s="246"/>
      <c r="Q61" s="246"/>
    </row>
    <row r="62" spans="1:17" ht="42.75" customHeight="1">
      <c r="A62" s="2533" t="s">
        <v>2490</v>
      </c>
      <c r="B62" s="2527" t="s">
        <v>2491</v>
      </c>
      <c r="C62" s="1701">
        <v>0</v>
      </c>
      <c r="D62" s="441"/>
      <c r="E62" s="1696">
        <v>4661275</v>
      </c>
      <c r="F62" s="1697">
        <v>19987839</v>
      </c>
      <c r="G62" s="1698">
        <v>79817</v>
      </c>
      <c r="H62" s="1698">
        <v>2807857</v>
      </c>
      <c r="I62" s="1696">
        <v>1137374</v>
      </c>
      <c r="J62" s="1696">
        <v>1137374</v>
      </c>
      <c r="K62" s="1700">
        <v>0</v>
      </c>
      <c r="L62" s="1696">
        <v>0</v>
      </c>
      <c r="M62" s="1697">
        <v>0</v>
      </c>
      <c r="N62" s="246"/>
      <c r="O62" s="246"/>
      <c r="P62" s="246"/>
      <c r="Q62" s="246"/>
    </row>
    <row r="63" spans="1:17" ht="42.75" customHeight="1">
      <c r="A63" s="2533"/>
      <c r="B63" s="2527"/>
      <c r="C63" s="1701" t="s">
        <v>947</v>
      </c>
      <c r="D63" s="441"/>
      <c r="E63" s="1696"/>
      <c r="F63" s="1697"/>
      <c r="G63" s="1698"/>
      <c r="H63" s="1698"/>
      <c r="I63" s="1696"/>
      <c r="J63" s="1699"/>
      <c r="K63" s="1700"/>
      <c r="L63" s="1696"/>
      <c r="M63" s="1697"/>
      <c r="N63" s="246"/>
      <c r="O63" s="246"/>
      <c r="P63" s="246"/>
      <c r="Q63" s="246"/>
    </row>
    <row r="64" spans="1:17" ht="42.75" customHeight="1">
      <c r="A64" s="2526" t="s">
        <v>2535</v>
      </c>
      <c r="B64" s="2527" t="s">
        <v>2496</v>
      </c>
      <c r="C64" s="1701"/>
      <c r="D64" s="441"/>
      <c r="E64" s="1696"/>
      <c r="F64" s="1697"/>
      <c r="G64" s="1698"/>
      <c r="H64" s="1698"/>
      <c r="I64" s="1696"/>
      <c r="J64" s="1699"/>
      <c r="K64" s="1700">
        <f>448928500+100000000</f>
        <v>548928500</v>
      </c>
      <c r="L64" s="1696">
        <f>301153000+690000000</f>
        <v>991153000</v>
      </c>
      <c r="M64" s="1697">
        <v>224273000</v>
      </c>
      <c r="N64" s="246"/>
      <c r="O64" s="246"/>
      <c r="P64" s="246"/>
      <c r="Q64" s="246"/>
    </row>
    <row r="65" spans="1:17" ht="42.75" customHeight="1">
      <c r="A65" s="2539"/>
      <c r="B65" s="2527"/>
      <c r="C65" s="1701"/>
      <c r="D65" s="441"/>
      <c r="E65" s="1696"/>
      <c r="F65" s="1697"/>
      <c r="G65" s="1698"/>
      <c r="H65" s="1698"/>
      <c r="I65" s="1696"/>
      <c r="J65" s="1699"/>
      <c r="K65" s="1700"/>
      <c r="L65" s="1696"/>
      <c r="M65" s="1697"/>
      <c r="N65" s="246"/>
      <c r="O65" s="246"/>
      <c r="P65" s="246"/>
      <c r="Q65" s="246"/>
    </row>
    <row r="66" spans="1:17" ht="42.75" customHeight="1">
      <c r="A66" s="2539"/>
      <c r="B66" s="2527" t="s">
        <v>2497</v>
      </c>
      <c r="C66" s="1701"/>
      <c r="D66" s="441"/>
      <c r="E66" s="1696"/>
      <c r="F66" s="1697"/>
      <c r="G66" s="1698"/>
      <c r="H66" s="1698"/>
      <c r="I66" s="1696"/>
      <c r="J66" s="1699"/>
      <c r="K66" s="1700"/>
      <c r="L66" s="1696"/>
      <c r="M66" s="1697"/>
      <c r="N66" s="246"/>
      <c r="O66" s="246"/>
      <c r="P66" s="246"/>
      <c r="Q66" s="246"/>
    </row>
    <row r="67" spans="1:17" ht="42.75" customHeight="1">
      <c r="A67" s="2539"/>
      <c r="B67" s="2528"/>
      <c r="C67" s="1701"/>
      <c r="D67" s="441"/>
      <c r="E67" s="1699"/>
      <c r="F67" s="1697"/>
      <c r="G67" s="1698"/>
      <c r="H67" s="1698"/>
      <c r="I67" s="1696"/>
      <c r="J67" s="1699"/>
      <c r="K67" s="1700"/>
      <c r="L67" s="1696"/>
      <c r="M67" s="1697"/>
      <c r="N67" s="246"/>
      <c r="O67" s="246"/>
      <c r="P67" s="246"/>
      <c r="Q67" s="246"/>
    </row>
    <row r="68" spans="1:17" ht="42.75" customHeight="1">
      <c r="A68" s="2539"/>
      <c r="B68" s="2527" t="s">
        <v>2498</v>
      </c>
      <c r="C68" s="1701"/>
      <c r="D68" s="441"/>
      <c r="E68" s="1699"/>
      <c r="F68" s="1697"/>
      <c r="G68" s="1698"/>
      <c r="H68" s="1698"/>
      <c r="I68" s="1696"/>
      <c r="J68" s="1699"/>
      <c r="K68" s="1700">
        <v>12293500</v>
      </c>
      <c r="L68" s="1696">
        <v>3938500</v>
      </c>
      <c r="M68" s="1697">
        <v>3683000</v>
      </c>
      <c r="N68" s="246"/>
      <c r="O68" s="246"/>
      <c r="P68" s="246"/>
      <c r="Q68" s="246"/>
    </row>
    <row r="69" spans="1:17" ht="42.75" customHeight="1">
      <c r="A69" s="2539"/>
      <c r="B69" s="2528"/>
      <c r="C69" s="1701"/>
      <c r="D69" s="441"/>
      <c r="E69" s="1699"/>
      <c r="F69" s="1697"/>
      <c r="G69" s="1698"/>
      <c r="H69" s="1698"/>
      <c r="I69" s="1696"/>
      <c r="J69" s="1699"/>
      <c r="K69" s="1700"/>
      <c r="L69" s="1696"/>
      <c r="M69" s="1697"/>
      <c r="N69" s="246"/>
      <c r="O69" s="246"/>
      <c r="P69" s="246"/>
      <c r="Q69" s="246"/>
    </row>
    <row r="70" spans="1:17" ht="42.75" customHeight="1">
      <c r="A70" s="2539"/>
      <c r="B70" s="2527" t="s">
        <v>2499</v>
      </c>
      <c r="C70" s="1701"/>
      <c r="D70" s="441"/>
      <c r="E70" s="1699"/>
      <c r="F70" s="1697"/>
      <c r="G70" s="1698"/>
      <c r="H70" s="1698"/>
      <c r="I70" s="1696"/>
      <c r="J70" s="1699"/>
      <c r="K70" s="1700"/>
      <c r="L70" s="1696"/>
      <c r="M70" s="1697"/>
      <c r="N70" s="246"/>
      <c r="O70" s="246"/>
      <c r="P70" s="246"/>
      <c r="Q70" s="246"/>
    </row>
    <row r="71" spans="1:17" ht="42.75" customHeight="1">
      <c r="A71" s="2539"/>
      <c r="B71" s="2528"/>
      <c r="C71" s="1701"/>
      <c r="D71" s="441"/>
      <c r="E71" s="1699"/>
      <c r="F71" s="1697"/>
      <c r="G71" s="1698"/>
      <c r="H71" s="1698"/>
      <c r="I71" s="1696"/>
      <c r="J71" s="1699"/>
      <c r="K71" s="1700"/>
      <c r="L71" s="1696"/>
      <c r="M71" s="1697"/>
      <c r="N71" s="246"/>
      <c r="O71" s="246"/>
      <c r="P71" s="246"/>
      <c r="Q71" s="246"/>
    </row>
    <row r="72" spans="1:17" ht="42.75" customHeight="1">
      <c r="A72" s="2539"/>
      <c r="B72" s="2527" t="s">
        <v>2500</v>
      </c>
      <c r="C72" s="1701"/>
      <c r="D72" s="441"/>
      <c r="E72" s="1699"/>
      <c r="F72" s="1697"/>
      <c r="G72" s="1698"/>
      <c r="H72" s="1698"/>
      <c r="I72" s="1696"/>
      <c r="J72" s="1699"/>
      <c r="K72" s="1700">
        <v>655021000</v>
      </c>
      <c r="L72" s="1696">
        <v>764500000</v>
      </c>
      <c r="M72" s="1697">
        <v>790000000</v>
      </c>
      <c r="N72" s="246"/>
      <c r="O72" s="246"/>
      <c r="P72" s="246"/>
      <c r="Q72" s="246"/>
    </row>
    <row r="73" spans="1:17" ht="42.75" customHeight="1">
      <c r="A73" s="2580"/>
      <c r="B73" s="2527"/>
      <c r="C73" s="1701"/>
      <c r="D73" s="441"/>
      <c r="E73" s="1699"/>
      <c r="F73" s="1697"/>
      <c r="G73" s="1698"/>
      <c r="H73" s="1698"/>
      <c r="I73" s="1696"/>
      <c r="J73" s="1699"/>
      <c r="K73" s="1700"/>
      <c r="L73" s="1696"/>
      <c r="M73" s="1697"/>
      <c r="N73" s="246"/>
      <c r="O73" s="246"/>
      <c r="P73" s="246"/>
      <c r="Q73" s="246"/>
    </row>
    <row r="74" spans="1:17" ht="42.75" customHeight="1">
      <c r="A74" s="2533" t="s">
        <v>2501</v>
      </c>
      <c r="B74" s="2527" t="s">
        <v>2502</v>
      </c>
      <c r="C74" s="1701"/>
      <c r="D74" s="441"/>
      <c r="E74" s="1699"/>
      <c r="F74" s="1697"/>
      <c r="G74" s="1698"/>
      <c r="H74" s="1698"/>
      <c r="I74" s="1696"/>
      <c r="J74" s="1699"/>
      <c r="K74" s="1700"/>
      <c r="L74" s="1696"/>
      <c r="M74" s="1697"/>
      <c r="N74" s="246"/>
      <c r="O74" s="246"/>
      <c r="P74" s="246"/>
      <c r="Q74" s="246"/>
    </row>
    <row r="75" spans="1:17" ht="42.75" customHeight="1">
      <c r="A75" s="2539"/>
      <c r="B75" s="2528"/>
      <c r="C75" s="1701"/>
      <c r="D75" s="441"/>
      <c r="E75" s="1699"/>
      <c r="F75" s="1697"/>
      <c r="G75" s="1698"/>
      <c r="H75" s="1698"/>
      <c r="I75" s="1696"/>
      <c r="J75" s="1699"/>
      <c r="K75" s="1700"/>
      <c r="L75" s="1696"/>
      <c r="M75" s="1697"/>
      <c r="N75" s="246"/>
      <c r="O75" s="246"/>
      <c r="P75" s="246"/>
      <c r="Q75" s="246"/>
    </row>
    <row r="76" spans="1:17" ht="42.75" customHeight="1">
      <c r="A76" s="2539"/>
      <c r="B76" s="2527" t="s">
        <v>2503</v>
      </c>
      <c r="C76" s="1701"/>
      <c r="D76" s="441"/>
      <c r="E76" s="1699"/>
      <c r="F76" s="1697"/>
      <c r="G76" s="1698"/>
      <c r="H76" s="1698"/>
      <c r="I76" s="1696"/>
      <c r="J76" s="1699"/>
      <c r="K76" s="1700"/>
      <c r="L76" s="1696"/>
      <c r="M76" s="1697"/>
      <c r="N76" s="246"/>
      <c r="O76" s="246"/>
      <c r="P76" s="246"/>
      <c r="Q76" s="246"/>
    </row>
    <row r="77" spans="1:17" ht="42.75" customHeight="1">
      <c r="A77" s="2539"/>
      <c r="B77" s="2528"/>
      <c r="C77" s="1701"/>
      <c r="D77" s="441"/>
      <c r="E77" s="1699"/>
      <c r="F77" s="1697"/>
      <c r="G77" s="1698"/>
      <c r="H77" s="1698"/>
      <c r="I77" s="1696"/>
      <c r="J77" s="1699"/>
      <c r="K77" s="1700"/>
      <c r="L77" s="1696"/>
      <c r="M77" s="1697"/>
      <c r="N77" s="246"/>
      <c r="O77" s="246"/>
      <c r="P77" s="246"/>
      <c r="Q77" s="246"/>
    </row>
    <row r="78" spans="1:17" ht="42.75" customHeight="1">
      <c r="A78" s="2539"/>
      <c r="B78" s="2527" t="s">
        <v>2504</v>
      </c>
      <c r="C78" s="1701"/>
      <c r="D78" s="441"/>
      <c r="E78" s="1699"/>
      <c r="F78" s="1697"/>
      <c r="G78" s="1698"/>
      <c r="H78" s="1698"/>
      <c r="I78" s="1696"/>
      <c r="J78" s="1699"/>
      <c r="K78" s="1700">
        <v>5164000</v>
      </c>
      <c r="L78" s="1696">
        <v>4080000</v>
      </c>
      <c r="M78" s="1697">
        <v>4515000</v>
      </c>
      <c r="N78" s="246"/>
      <c r="O78" s="246"/>
      <c r="P78" s="246"/>
      <c r="Q78" s="246"/>
    </row>
    <row r="79" spans="1:17" ht="42.75" customHeight="1">
      <c r="A79" s="2539"/>
      <c r="B79" s="2528"/>
      <c r="C79" s="1701"/>
      <c r="D79" s="441"/>
      <c r="E79" s="1699"/>
      <c r="F79" s="1697"/>
      <c r="G79" s="1698"/>
      <c r="H79" s="1698"/>
      <c r="I79" s="1696"/>
      <c r="J79" s="1699"/>
      <c r="K79" s="1700"/>
      <c r="L79" s="1696"/>
      <c r="M79" s="1697"/>
      <c r="N79" s="246"/>
      <c r="O79" s="246"/>
      <c r="P79" s="246"/>
      <c r="Q79" s="246"/>
    </row>
    <row r="80" spans="1:17" ht="42.75" customHeight="1">
      <c r="A80" s="2539"/>
      <c r="B80" s="2527" t="s">
        <v>2505</v>
      </c>
      <c r="C80" s="1701"/>
      <c r="D80" s="441"/>
      <c r="E80" s="1699"/>
      <c r="F80" s="1697"/>
      <c r="G80" s="1698"/>
      <c r="H80" s="1698"/>
      <c r="I80" s="1696"/>
      <c r="J80" s="1699"/>
      <c r="K80" s="1700"/>
      <c r="L80" s="1696"/>
      <c r="M80" s="1697"/>
      <c r="N80" s="246"/>
      <c r="O80" s="246"/>
      <c r="P80" s="246"/>
      <c r="Q80" s="246"/>
    </row>
    <row r="81" spans="1:17" ht="42.75" customHeight="1">
      <c r="A81" s="2539"/>
      <c r="B81" s="2528"/>
      <c r="C81" s="1701"/>
      <c r="D81" s="441"/>
      <c r="E81" s="1699"/>
      <c r="F81" s="1697"/>
      <c r="G81" s="1698"/>
      <c r="H81" s="1698"/>
      <c r="I81" s="1696"/>
      <c r="J81" s="1699"/>
      <c r="K81" s="1700"/>
      <c r="L81" s="1696"/>
      <c r="M81" s="1697"/>
      <c r="N81" s="246"/>
      <c r="O81" s="246"/>
      <c r="P81" s="246"/>
      <c r="Q81" s="246"/>
    </row>
    <row r="82" spans="1:17" ht="42.75" customHeight="1">
      <c r="A82" s="2539"/>
      <c r="B82" s="2527" t="s">
        <v>2506</v>
      </c>
      <c r="C82" s="1701"/>
      <c r="D82" s="441"/>
      <c r="E82" s="1699"/>
      <c r="F82" s="1697"/>
      <c r="G82" s="1698"/>
      <c r="H82" s="1698"/>
      <c r="I82" s="1696"/>
      <c r="J82" s="1699"/>
      <c r="K82" s="1700"/>
      <c r="L82" s="1696"/>
      <c r="M82" s="1697"/>
      <c r="N82" s="246"/>
      <c r="O82" s="246"/>
      <c r="P82" s="246"/>
      <c r="Q82" s="246"/>
    </row>
    <row r="83" spans="1:17" ht="42.75" customHeight="1">
      <c r="A83" s="2539"/>
      <c r="B83" s="2528"/>
      <c r="C83" s="1701"/>
      <c r="D83" s="441"/>
      <c r="E83" s="1699"/>
      <c r="F83" s="1697"/>
      <c r="G83" s="1698"/>
      <c r="H83" s="1698"/>
      <c r="I83" s="1696"/>
      <c r="J83" s="1699"/>
      <c r="K83" s="1700"/>
      <c r="L83" s="1696"/>
      <c r="M83" s="1697"/>
      <c r="N83" s="246"/>
      <c r="O83" s="246"/>
      <c r="P83" s="246"/>
      <c r="Q83" s="246"/>
    </row>
    <row r="84" spans="1:17" ht="42.75" customHeight="1">
      <c r="A84" s="2539"/>
      <c r="B84" s="2527" t="s">
        <v>2507</v>
      </c>
      <c r="C84" s="1701"/>
      <c r="D84" s="441"/>
      <c r="E84" s="1699"/>
      <c r="F84" s="1697"/>
      <c r="G84" s="1698"/>
      <c r="H84" s="1698"/>
      <c r="I84" s="1696"/>
      <c r="J84" s="1699"/>
      <c r="K84" s="1700">
        <v>4785431</v>
      </c>
      <c r="L84" s="1696">
        <v>4333648</v>
      </c>
      <c r="M84" s="1697">
        <v>2525000</v>
      </c>
      <c r="N84" s="246"/>
      <c r="O84" s="246"/>
      <c r="P84" s="246"/>
      <c r="Q84" s="246"/>
    </row>
    <row r="85" spans="1:17" ht="42.75" customHeight="1">
      <c r="A85" s="2539"/>
      <c r="B85" s="2528"/>
      <c r="C85" s="1701"/>
      <c r="D85" s="441"/>
      <c r="E85" s="1699"/>
      <c r="F85" s="1697"/>
      <c r="G85" s="1698"/>
      <c r="H85" s="1698"/>
      <c r="I85" s="1696"/>
      <c r="J85" s="1699"/>
      <c r="K85" s="1700"/>
      <c r="L85" s="1696"/>
      <c r="M85" s="1697"/>
      <c r="N85" s="246"/>
      <c r="O85" s="246"/>
      <c r="P85" s="246"/>
      <c r="Q85" s="246"/>
    </row>
    <row r="86" spans="1:17" ht="42.75" customHeight="1">
      <c r="A86" s="2539"/>
      <c r="B86" s="2527" t="s">
        <v>2508</v>
      </c>
      <c r="C86" s="1701"/>
      <c r="D86" s="441"/>
      <c r="E86" s="1699"/>
      <c r="F86" s="1697"/>
      <c r="G86" s="1698"/>
      <c r="H86" s="1698"/>
      <c r="I86" s="1696"/>
      <c r="J86" s="1699"/>
      <c r="K86" s="1700"/>
      <c r="L86" s="1696"/>
      <c r="M86" s="1697"/>
      <c r="N86" s="246"/>
      <c r="O86" s="246"/>
      <c r="P86" s="246"/>
      <c r="Q86" s="246"/>
    </row>
    <row r="87" spans="1:17" ht="42.75" customHeight="1">
      <c r="A87" s="2580"/>
      <c r="B87" s="2527"/>
      <c r="C87" s="1701"/>
      <c r="D87" s="441"/>
      <c r="E87" s="1699"/>
      <c r="F87" s="1697"/>
      <c r="G87" s="1698"/>
      <c r="H87" s="1698"/>
      <c r="I87" s="1696"/>
      <c r="J87" s="1699"/>
      <c r="K87" s="1700"/>
      <c r="L87" s="1696"/>
      <c r="M87" s="1697"/>
      <c r="N87" s="246"/>
      <c r="O87" s="246"/>
      <c r="P87" s="246"/>
      <c r="Q87" s="246"/>
    </row>
    <row r="88" spans="1:17" ht="42.75" customHeight="1">
      <c r="A88" s="2533" t="s">
        <v>2509</v>
      </c>
      <c r="B88" s="2527" t="s">
        <v>2510</v>
      </c>
      <c r="C88" s="1701"/>
      <c r="D88" s="441"/>
      <c r="E88" s="1699"/>
      <c r="F88" s="1697"/>
      <c r="G88" s="1698"/>
      <c r="H88" s="1698"/>
      <c r="I88" s="1696"/>
      <c r="J88" s="1699"/>
      <c r="K88" s="1700">
        <v>380730</v>
      </c>
      <c r="L88" s="1696">
        <v>320000</v>
      </c>
      <c r="M88" s="1697">
        <v>310000</v>
      </c>
      <c r="N88" s="246"/>
      <c r="O88" s="246"/>
      <c r="P88" s="246"/>
      <c r="Q88" s="246"/>
    </row>
    <row r="89" spans="1:17" ht="42.75" customHeight="1">
      <c r="A89" s="2539"/>
      <c r="B89" s="2528"/>
      <c r="C89" s="1701"/>
      <c r="D89" s="441"/>
      <c r="E89" s="1699"/>
      <c r="F89" s="1697"/>
      <c r="G89" s="1698"/>
      <c r="H89" s="1698"/>
      <c r="I89" s="1696"/>
      <c r="J89" s="1699"/>
      <c r="K89" s="1700"/>
      <c r="L89" s="1696"/>
      <c r="M89" s="1697"/>
      <c r="N89" s="246"/>
      <c r="O89" s="246"/>
      <c r="P89" s="246"/>
      <c r="Q89" s="246"/>
    </row>
    <row r="90" spans="1:17" ht="42.75" customHeight="1">
      <c r="A90" s="2539"/>
      <c r="B90" s="2527" t="s">
        <v>2511</v>
      </c>
      <c r="C90" s="1701"/>
      <c r="D90" s="441"/>
      <c r="E90" s="1699"/>
      <c r="F90" s="1697"/>
      <c r="G90" s="1698"/>
      <c r="H90" s="1698"/>
      <c r="I90" s="1696"/>
      <c r="J90" s="1699"/>
      <c r="K90" s="1700"/>
      <c r="L90" s="1696"/>
      <c r="M90" s="1697"/>
      <c r="N90" s="246"/>
      <c r="O90" s="246"/>
      <c r="P90" s="246"/>
      <c r="Q90" s="246"/>
    </row>
    <row r="91" spans="1:17" ht="42.75" customHeight="1">
      <c r="A91" s="2539"/>
      <c r="B91" s="2528"/>
      <c r="C91" s="1701"/>
      <c r="D91" s="441"/>
      <c r="E91" s="1699"/>
      <c r="F91" s="1697"/>
      <c r="G91" s="1698"/>
      <c r="H91" s="1698"/>
      <c r="I91" s="1696"/>
      <c r="J91" s="1699"/>
      <c r="K91" s="1700"/>
      <c r="L91" s="1696"/>
      <c r="M91" s="1697"/>
      <c r="N91" s="246"/>
      <c r="O91" s="246"/>
      <c r="P91" s="246"/>
      <c r="Q91" s="246"/>
    </row>
    <row r="92" spans="1:17" ht="42.75" customHeight="1">
      <c r="A92" s="2539"/>
      <c r="B92" s="2527" t="s">
        <v>2512</v>
      </c>
      <c r="C92" s="1701"/>
      <c r="D92" s="441"/>
      <c r="E92" s="1699"/>
      <c r="F92" s="1697"/>
      <c r="G92" s="1698"/>
      <c r="H92" s="1698"/>
      <c r="I92" s="1696"/>
      <c r="J92" s="1699"/>
      <c r="K92" s="1700"/>
      <c r="L92" s="1696"/>
      <c r="M92" s="1697"/>
      <c r="N92" s="246"/>
      <c r="O92" s="246"/>
      <c r="P92" s="246"/>
      <c r="Q92" s="246"/>
    </row>
    <row r="93" spans="1:17" ht="42.75" customHeight="1">
      <c r="A93" s="2539"/>
      <c r="B93" s="2528"/>
      <c r="C93" s="1701"/>
      <c r="D93" s="441"/>
      <c r="E93" s="1699"/>
      <c r="F93" s="1697"/>
      <c r="G93" s="1698"/>
      <c r="H93" s="1698"/>
      <c r="I93" s="1696"/>
      <c r="J93" s="1699"/>
      <c r="K93" s="1700"/>
      <c r="L93" s="1696"/>
      <c r="M93" s="1697"/>
      <c r="N93" s="246"/>
      <c r="O93" s="246"/>
      <c r="P93" s="246"/>
      <c r="Q93" s="246"/>
    </row>
    <row r="94" spans="1:17" ht="42.75" customHeight="1">
      <c r="A94" s="2539"/>
      <c r="B94" s="2527" t="s">
        <v>2513</v>
      </c>
      <c r="C94" s="1701"/>
      <c r="D94" s="441"/>
      <c r="E94" s="1699"/>
      <c r="F94" s="1697"/>
      <c r="G94" s="1698"/>
      <c r="H94" s="1698"/>
      <c r="I94" s="1696"/>
      <c r="J94" s="1699"/>
      <c r="K94" s="1700"/>
      <c r="L94" s="1696"/>
      <c r="M94" s="1697"/>
      <c r="N94" s="246"/>
      <c r="O94" s="246"/>
      <c r="P94" s="246"/>
      <c r="Q94" s="246"/>
    </row>
    <row r="95" spans="1:17" ht="42.75" customHeight="1">
      <c r="A95" s="2580"/>
      <c r="B95" s="2527"/>
      <c r="C95" s="1701"/>
      <c r="D95" s="441"/>
      <c r="E95" s="1699"/>
      <c r="F95" s="1697"/>
      <c r="G95" s="1698"/>
      <c r="H95" s="1698"/>
      <c r="I95" s="1696"/>
      <c r="J95" s="1699"/>
      <c r="K95" s="1700"/>
      <c r="L95" s="1696"/>
      <c r="M95" s="1697"/>
      <c r="N95" s="246"/>
      <c r="O95" s="246"/>
      <c r="P95" s="246"/>
      <c r="Q95" s="246"/>
    </row>
    <row r="96" spans="1:17" ht="42.75" customHeight="1">
      <c r="A96" s="2533" t="s">
        <v>2514</v>
      </c>
      <c r="B96" s="2527" t="s">
        <v>2515</v>
      </c>
      <c r="C96" s="1701"/>
      <c r="D96" s="441"/>
      <c r="E96" s="1699"/>
      <c r="F96" s="1697"/>
      <c r="G96" s="1698"/>
      <c r="H96" s="1698"/>
      <c r="I96" s="1696"/>
      <c r="J96" s="1699"/>
      <c r="K96" s="1700"/>
      <c r="L96" s="1696"/>
      <c r="M96" s="1697"/>
      <c r="N96" s="246"/>
      <c r="O96" s="246"/>
      <c r="P96" s="246"/>
      <c r="Q96" s="246"/>
    </row>
    <row r="97" spans="1:17" ht="42.75" customHeight="1">
      <c r="A97" s="2539"/>
      <c r="B97" s="2528"/>
      <c r="C97" s="1701"/>
      <c r="D97" s="441"/>
      <c r="E97" s="1699"/>
      <c r="F97" s="1697"/>
      <c r="G97" s="1698"/>
      <c r="H97" s="1698"/>
      <c r="I97" s="1696"/>
      <c r="J97" s="1699"/>
      <c r="K97" s="1700"/>
      <c r="L97" s="1696"/>
      <c r="M97" s="1697"/>
      <c r="N97" s="246"/>
      <c r="O97" s="246"/>
      <c r="P97" s="246"/>
      <c r="Q97" s="246"/>
    </row>
    <row r="98" spans="1:17" ht="42.75" customHeight="1">
      <c r="A98" s="2539"/>
      <c r="B98" s="2527" t="s">
        <v>2516</v>
      </c>
      <c r="C98" s="1701"/>
      <c r="D98" s="441"/>
      <c r="E98" s="1699"/>
      <c r="F98" s="1697"/>
      <c r="G98" s="1698"/>
      <c r="H98" s="1698"/>
      <c r="I98" s="1696"/>
      <c r="J98" s="1699"/>
      <c r="K98" s="1700">
        <v>630000</v>
      </c>
      <c r="L98" s="1696">
        <v>0</v>
      </c>
      <c r="M98" s="1697">
        <v>0</v>
      </c>
      <c r="N98" s="246"/>
      <c r="O98" s="246"/>
      <c r="P98" s="246"/>
      <c r="Q98" s="246"/>
    </row>
    <row r="99" spans="1:17" ht="42.75" customHeight="1">
      <c r="A99" s="2580"/>
      <c r="B99" s="2527"/>
      <c r="C99" s="1701"/>
      <c r="D99" s="441"/>
      <c r="E99" s="1699"/>
      <c r="F99" s="1697"/>
      <c r="G99" s="1698"/>
      <c r="H99" s="1698"/>
      <c r="I99" s="1696"/>
      <c r="J99" s="1699"/>
      <c r="K99" s="1700"/>
      <c r="L99" s="1696"/>
      <c r="M99" s="1697"/>
      <c r="N99" s="246"/>
      <c r="O99" s="246"/>
      <c r="P99" s="246"/>
      <c r="Q99" s="246"/>
    </row>
    <row r="100" spans="1:17" ht="42.75" customHeight="1">
      <c r="A100" s="2580"/>
      <c r="B100" s="2527" t="s">
        <v>2517</v>
      </c>
      <c r="C100" s="1701"/>
      <c r="D100" s="441"/>
      <c r="E100" s="1699"/>
      <c r="F100" s="1697"/>
      <c r="G100" s="1698"/>
      <c r="H100" s="1698"/>
      <c r="I100" s="1696"/>
      <c r="J100" s="1699"/>
      <c r="K100" s="1700">
        <v>9342550</v>
      </c>
      <c r="L100" s="1696">
        <v>5854300</v>
      </c>
      <c r="M100" s="1697">
        <v>374000</v>
      </c>
      <c r="N100" s="246"/>
      <c r="O100" s="246"/>
      <c r="P100" s="246"/>
      <c r="Q100" s="246"/>
    </row>
    <row r="101" spans="1:17" ht="42.75" customHeight="1">
      <c r="A101" s="2580"/>
      <c r="B101" s="2527"/>
      <c r="C101" s="1701"/>
      <c r="D101" s="441"/>
      <c r="E101" s="1699"/>
      <c r="F101" s="1697"/>
      <c r="G101" s="1698"/>
      <c r="H101" s="1698"/>
      <c r="I101" s="1696"/>
      <c r="J101" s="1699"/>
      <c r="K101" s="1700"/>
      <c r="L101" s="1696"/>
      <c r="M101" s="1697"/>
      <c r="N101" s="246"/>
      <c r="O101" s="246"/>
      <c r="P101" s="246"/>
      <c r="Q101" s="246"/>
    </row>
    <row r="102" spans="1:17" ht="42.75" customHeight="1">
      <c r="A102" s="2580"/>
      <c r="B102" s="2527" t="s">
        <v>2518</v>
      </c>
      <c r="C102" s="1701"/>
      <c r="D102" s="441"/>
      <c r="E102" s="1699"/>
      <c r="F102" s="1697"/>
      <c r="G102" s="1698"/>
      <c r="H102" s="1698"/>
      <c r="I102" s="1696"/>
      <c r="J102" s="1699"/>
      <c r="K102" s="1700">
        <v>70370000</v>
      </c>
      <c r="L102" s="1696">
        <v>36000000</v>
      </c>
      <c r="M102" s="1697">
        <v>16000000</v>
      </c>
      <c r="N102" s="246"/>
      <c r="O102" s="246"/>
      <c r="P102" s="246"/>
      <c r="Q102" s="246"/>
    </row>
    <row r="103" spans="1:17" ht="42.75" customHeight="1">
      <c r="A103" s="2580"/>
      <c r="B103" s="2527"/>
      <c r="C103" s="1701"/>
      <c r="D103" s="441"/>
      <c r="E103" s="1699"/>
      <c r="F103" s="1697"/>
      <c r="G103" s="1698"/>
      <c r="H103" s="1698"/>
      <c r="I103" s="1696"/>
      <c r="J103" s="1699"/>
      <c r="K103" s="1700"/>
      <c r="L103" s="1696"/>
      <c r="M103" s="1697"/>
      <c r="N103" s="246"/>
      <c r="O103" s="246"/>
      <c r="P103" s="246"/>
      <c r="Q103" s="246"/>
    </row>
    <row r="104" spans="1:17" ht="42.75" customHeight="1">
      <c r="A104" s="2581" t="s">
        <v>2519</v>
      </c>
      <c r="B104" s="2527" t="s">
        <v>2520</v>
      </c>
      <c r="C104" s="1701"/>
      <c r="D104" s="441"/>
      <c r="E104" s="1699"/>
      <c r="F104" s="1697"/>
      <c r="G104" s="1698"/>
      <c r="H104" s="1698"/>
      <c r="I104" s="1696"/>
      <c r="J104" s="1699"/>
      <c r="K104" s="1700">
        <v>6080000</v>
      </c>
      <c r="L104" s="1696">
        <v>0</v>
      </c>
      <c r="M104" s="1697">
        <v>0</v>
      </c>
      <c r="N104" s="246"/>
      <c r="O104" s="246"/>
      <c r="P104" s="246"/>
      <c r="Q104" s="246"/>
    </row>
    <row r="105" spans="1:17" ht="42.75" customHeight="1">
      <c r="A105" s="2580"/>
      <c r="B105" s="2527"/>
      <c r="C105" s="1701"/>
      <c r="D105" s="441"/>
      <c r="E105" s="1699"/>
      <c r="F105" s="1697"/>
      <c r="G105" s="1698"/>
      <c r="H105" s="1698"/>
      <c r="I105" s="1696"/>
      <c r="J105" s="1699"/>
      <c r="K105" s="1700"/>
      <c r="L105" s="1696"/>
      <c r="M105" s="1697"/>
      <c r="N105" s="246"/>
      <c r="O105" s="246"/>
      <c r="P105" s="246"/>
      <c r="Q105" s="246"/>
    </row>
    <row r="106" spans="1:17" ht="42.75" customHeight="1">
      <c r="A106" s="2580"/>
      <c r="B106" s="2527" t="s">
        <v>2521</v>
      </c>
      <c r="C106" s="1701"/>
      <c r="D106" s="441"/>
      <c r="E106" s="1699"/>
      <c r="F106" s="1697"/>
      <c r="G106" s="1698"/>
      <c r="H106" s="1698"/>
      <c r="I106" s="1696"/>
      <c r="J106" s="1699"/>
      <c r="K106" s="1700"/>
      <c r="L106" s="1696"/>
      <c r="M106" s="1697"/>
      <c r="N106" s="246"/>
      <c r="O106" s="246"/>
      <c r="P106" s="246"/>
      <c r="Q106" s="246"/>
    </row>
    <row r="107" spans="1:17" ht="42.75" customHeight="1">
      <c r="A107" s="2580"/>
      <c r="B107" s="2527"/>
      <c r="C107" s="1701"/>
      <c r="D107" s="441"/>
      <c r="E107" s="1699"/>
      <c r="F107" s="1697"/>
      <c r="G107" s="1698"/>
      <c r="H107" s="1698"/>
      <c r="I107" s="1696"/>
      <c r="J107" s="1699"/>
      <c r="K107" s="1700"/>
      <c r="L107" s="1696"/>
      <c r="M107" s="1697"/>
      <c r="N107" s="246"/>
      <c r="O107" s="246"/>
      <c r="P107" s="246"/>
      <c r="Q107" s="246"/>
    </row>
    <row r="108" spans="1:17" ht="42.75" customHeight="1">
      <c r="A108" s="2581" t="s">
        <v>2522</v>
      </c>
      <c r="B108" s="2527" t="s">
        <v>2523</v>
      </c>
      <c r="C108" s="1701"/>
      <c r="D108" s="441"/>
      <c r="E108" s="1699"/>
      <c r="F108" s="1697"/>
      <c r="G108" s="1698"/>
      <c r="H108" s="1698"/>
      <c r="I108" s="1696"/>
      <c r="J108" s="1699"/>
      <c r="K108" s="1700"/>
      <c r="L108" s="1696"/>
      <c r="M108" s="1697"/>
      <c r="N108" s="246"/>
      <c r="O108" s="246"/>
      <c r="P108" s="246"/>
      <c r="Q108" s="246"/>
    </row>
    <row r="109" spans="1:17" ht="42.75" customHeight="1">
      <c r="A109" s="2580"/>
      <c r="B109" s="2527"/>
      <c r="C109" s="1701"/>
      <c r="D109" s="441"/>
      <c r="E109" s="1699"/>
      <c r="F109" s="1697"/>
      <c r="G109" s="1698"/>
      <c r="H109" s="1698"/>
      <c r="I109" s="1696"/>
      <c r="J109" s="1699"/>
      <c r="K109" s="1700"/>
      <c r="L109" s="1696"/>
      <c r="M109" s="1697"/>
      <c r="N109" s="246"/>
      <c r="O109" s="246"/>
      <c r="P109" s="246"/>
      <c r="Q109" s="246"/>
    </row>
    <row r="110" spans="1:17" ht="42.75" customHeight="1">
      <c r="A110" s="2580"/>
      <c r="B110" s="2527" t="s">
        <v>2524</v>
      </c>
      <c r="C110" s="1701"/>
      <c r="D110" s="441"/>
      <c r="E110" s="1699"/>
      <c r="F110" s="1697"/>
      <c r="G110" s="1698"/>
      <c r="H110" s="1698"/>
      <c r="I110" s="1696"/>
      <c r="J110" s="1699"/>
      <c r="K110" s="1700"/>
      <c r="L110" s="1696"/>
      <c r="M110" s="1697"/>
      <c r="N110" s="246"/>
      <c r="O110" s="246"/>
      <c r="P110" s="246"/>
      <c r="Q110" s="246"/>
    </row>
    <row r="111" spans="1:17" ht="42.75" customHeight="1">
      <c r="A111" s="2580"/>
      <c r="B111" s="2527"/>
      <c r="C111" s="1701"/>
      <c r="D111" s="441"/>
      <c r="E111" s="1699"/>
      <c r="F111" s="1697"/>
      <c r="G111" s="1698"/>
      <c r="H111" s="1698"/>
      <c r="I111" s="1696"/>
      <c r="J111" s="1699"/>
      <c r="K111" s="1700"/>
      <c r="L111" s="1696"/>
      <c r="M111" s="1697"/>
      <c r="N111" s="246"/>
      <c r="O111" s="246"/>
      <c r="P111" s="246"/>
      <c r="Q111" s="246"/>
    </row>
    <row r="112" spans="1:17" ht="42.75" customHeight="1">
      <c r="A112" s="2580"/>
      <c r="B112" s="2527" t="s">
        <v>2525</v>
      </c>
      <c r="C112" s="1701"/>
      <c r="D112" s="441"/>
      <c r="E112" s="1699"/>
      <c r="F112" s="1697"/>
      <c r="G112" s="1698"/>
      <c r="H112" s="1698"/>
      <c r="I112" s="1696"/>
      <c r="J112" s="1699"/>
      <c r="K112" s="1700"/>
      <c r="L112" s="1696"/>
      <c r="M112" s="1697"/>
      <c r="N112" s="246"/>
      <c r="O112" s="246"/>
      <c r="P112" s="246"/>
      <c r="Q112" s="246"/>
    </row>
    <row r="113" spans="1:17" ht="42.75" customHeight="1">
      <c r="A113" s="2580"/>
      <c r="B113" s="2527"/>
      <c r="C113" s="1701"/>
      <c r="D113" s="441"/>
      <c r="E113" s="1699"/>
      <c r="F113" s="1697"/>
      <c r="G113" s="1698"/>
      <c r="H113" s="1698"/>
      <c r="I113" s="1696"/>
      <c r="J113" s="1699"/>
      <c r="K113" s="1700"/>
      <c r="L113" s="1696"/>
      <c r="M113" s="1697"/>
      <c r="N113" s="246"/>
      <c r="O113" s="246"/>
      <c r="P113" s="246"/>
      <c r="Q113" s="246"/>
    </row>
    <row r="114" spans="1:17" ht="42.75" customHeight="1">
      <c r="A114" s="2533" t="s">
        <v>2526</v>
      </c>
      <c r="B114" s="2527" t="s">
        <v>2527</v>
      </c>
      <c r="C114" s="1701"/>
      <c r="D114" s="441"/>
      <c r="E114" s="1699"/>
      <c r="F114" s="1697"/>
      <c r="G114" s="1698"/>
      <c r="H114" s="1698"/>
      <c r="I114" s="1696"/>
      <c r="J114" s="1699"/>
      <c r="K114" s="1700">
        <v>452650</v>
      </c>
      <c r="L114" s="1696">
        <v>142200</v>
      </c>
      <c r="M114" s="1697">
        <v>100000</v>
      </c>
      <c r="N114" s="246"/>
      <c r="O114" s="246"/>
      <c r="P114" s="246"/>
      <c r="Q114" s="246"/>
    </row>
    <row r="115" spans="1:17" ht="42.75" customHeight="1">
      <c r="A115" s="2539"/>
      <c r="B115" s="2527"/>
      <c r="C115" s="1701"/>
      <c r="D115" s="441"/>
      <c r="E115" s="1699"/>
      <c r="F115" s="1697"/>
      <c r="G115" s="1698"/>
      <c r="H115" s="1698"/>
      <c r="I115" s="1696"/>
      <c r="J115" s="1699"/>
      <c r="K115" s="1700"/>
      <c r="L115" s="1696"/>
      <c r="M115" s="1697"/>
      <c r="N115" s="246"/>
      <c r="O115" s="246"/>
      <c r="P115" s="246"/>
      <c r="Q115" s="246"/>
    </row>
    <row r="116" spans="1:17" ht="42.75" customHeight="1">
      <c r="A116" s="2539"/>
      <c r="B116" s="2527" t="s">
        <v>2528</v>
      </c>
      <c r="C116" s="1701"/>
      <c r="D116" s="441"/>
      <c r="E116" s="1699"/>
      <c r="F116" s="1697"/>
      <c r="G116" s="1698"/>
      <c r="H116" s="1698"/>
      <c r="I116" s="1696"/>
      <c r="J116" s="1699"/>
      <c r="K116" s="1700"/>
      <c r="L116" s="1696"/>
      <c r="M116" s="1697"/>
      <c r="N116" s="246"/>
      <c r="O116" s="246"/>
      <c r="P116" s="246"/>
      <c r="Q116" s="246"/>
    </row>
    <row r="117" spans="1:17" ht="42.75" customHeight="1">
      <c r="A117" s="2539"/>
      <c r="B117" s="2527"/>
      <c r="C117" s="1701"/>
      <c r="D117" s="441"/>
      <c r="E117" s="1699"/>
      <c r="F117" s="1697"/>
      <c r="G117" s="1698"/>
      <c r="H117" s="1698"/>
      <c r="I117" s="1696"/>
      <c r="J117" s="1699"/>
      <c r="K117" s="1700"/>
      <c r="L117" s="1696"/>
      <c r="M117" s="1697"/>
      <c r="N117" s="246"/>
      <c r="O117" s="246"/>
      <c r="P117" s="246"/>
      <c r="Q117" s="246"/>
    </row>
    <row r="118" spans="1:17" ht="42.75" customHeight="1">
      <c r="A118" s="2539"/>
      <c r="B118" s="2527" t="s">
        <v>2529</v>
      </c>
      <c r="C118" s="1701"/>
      <c r="D118" s="441"/>
      <c r="E118" s="1699"/>
      <c r="F118" s="1697"/>
      <c r="G118" s="1698"/>
      <c r="H118" s="1698"/>
      <c r="I118" s="1696"/>
      <c r="J118" s="1699"/>
      <c r="K118" s="1700"/>
      <c r="L118" s="1696"/>
      <c r="M118" s="1697"/>
      <c r="N118" s="246"/>
      <c r="O118" s="246"/>
      <c r="P118" s="246"/>
      <c r="Q118" s="246"/>
    </row>
    <row r="119" spans="1:17" ht="42.75" customHeight="1">
      <c r="A119" s="2539"/>
      <c r="B119" s="2527"/>
      <c r="C119" s="1701"/>
      <c r="D119" s="441"/>
      <c r="E119" s="1699"/>
      <c r="F119" s="1697"/>
      <c r="G119" s="1698"/>
      <c r="H119" s="1698"/>
      <c r="I119" s="1696"/>
      <c r="J119" s="1699"/>
      <c r="K119" s="1700"/>
      <c r="L119" s="1696"/>
      <c r="M119" s="1697"/>
      <c r="N119" s="246"/>
      <c r="O119" s="246"/>
      <c r="P119" s="246"/>
      <c r="Q119" s="246"/>
    </row>
    <row r="120" spans="1:17" ht="42.75" customHeight="1">
      <c r="A120" s="2539"/>
      <c r="B120" s="2527" t="s">
        <v>2530</v>
      </c>
      <c r="C120" s="1701"/>
      <c r="D120" s="441"/>
      <c r="E120" s="1699"/>
      <c r="F120" s="1697"/>
      <c r="G120" s="1698"/>
      <c r="H120" s="1698"/>
      <c r="I120" s="1696"/>
      <c r="J120" s="1699"/>
      <c r="K120" s="1700"/>
      <c r="L120" s="1696"/>
      <c r="M120" s="1697"/>
      <c r="N120" s="246"/>
      <c r="O120" s="246"/>
      <c r="P120" s="246"/>
      <c r="Q120" s="246"/>
    </row>
    <row r="121" spans="1:17" ht="42.75" customHeight="1">
      <c r="A121" s="2539"/>
      <c r="B121" s="2527"/>
      <c r="C121" s="1701"/>
      <c r="D121" s="441"/>
      <c r="E121" s="1699"/>
      <c r="F121" s="1697"/>
      <c r="G121" s="1698"/>
      <c r="H121" s="1698"/>
      <c r="I121" s="1696"/>
      <c r="J121" s="1699"/>
      <c r="K121" s="1700"/>
      <c r="L121" s="1696"/>
      <c r="M121" s="1697"/>
      <c r="N121" s="246"/>
      <c r="O121" s="246"/>
      <c r="P121" s="246"/>
      <c r="Q121" s="246"/>
    </row>
    <row r="122" spans="1:17" ht="42.75" customHeight="1">
      <c r="A122" s="2539"/>
      <c r="B122" s="2527" t="s">
        <v>2531</v>
      </c>
      <c r="C122" s="1701"/>
      <c r="D122" s="441"/>
      <c r="E122" s="1699"/>
      <c r="F122" s="1697"/>
      <c r="G122" s="1698"/>
      <c r="H122" s="1698"/>
      <c r="I122" s="1696"/>
      <c r="J122" s="1699"/>
      <c r="K122" s="1700">
        <v>211000</v>
      </c>
      <c r="L122" s="1696">
        <v>100000</v>
      </c>
      <c r="M122" s="1697">
        <v>100000</v>
      </c>
      <c r="N122" s="246"/>
      <c r="O122" s="246"/>
      <c r="P122" s="246"/>
      <c r="Q122" s="246"/>
    </row>
    <row r="123" spans="1:17" ht="42.75" customHeight="1">
      <c r="A123" s="2539"/>
      <c r="B123" s="2527"/>
      <c r="C123" s="1701"/>
      <c r="D123" s="441"/>
      <c r="E123" s="1699"/>
      <c r="F123" s="1697"/>
      <c r="G123" s="1698"/>
      <c r="H123" s="1698"/>
      <c r="I123" s="1696"/>
      <c r="J123" s="1699"/>
      <c r="K123" s="1700"/>
      <c r="L123" s="1696"/>
      <c r="M123" s="1697"/>
      <c r="N123" s="246"/>
      <c r="O123" s="246"/>
      <c r="P123" s="246"/>
      <c r="Q123" s="246"/>
    </row>
    <row r="124" spans="1:17" ht="42.75" customHeight="1">
      <c r="A124" s="2539"/>
      <c r="B124" s="2527" t="s">
        <v>2532</v>
      </c>
      <c r="C124" s="1701"/>
      <c r="D124" s="441"/>
      <c r="E124" s="1699"/>
      <c r="F124" s="1697"/>
      <c r="G124" s="1698"/>
      <c r="H124" s="1698"/>
      <c r="I124" s="1696"/>
      <c r="J124" s="1699"/>
      <c r="K124" s="1700"/>
      <c r="L124" s="1696"/>
      <c r="M124" s="1697"/>
      <c r="N124" s="246"/>
      <c r="O124" s="246"/>
      <c r="P124" s="246"/>
      <c r="Q124" s="246"/>
    </row>
    <row r="125" spans="1:17" ht="42.75" customHeight="1">
      <c r="A125" s="2539"/>
      <c r="B125" s="2527"/>
      <c r="C125" s="1701"/>
      <c r="D125" s="441"/>
      <c r="E125" s="1699"/>
      <c r="F125" s="1697"/>
      <c r="G125" s="1698"/>
      <c r="H125" s="1698"/>
      <c r="I125" s="1696"/>
      <c r="J125" s="1699"/>
      <c r="K125" s="1700"/>
      <c r="L125" s="1696"/>
      <c r="M125" s="1697"/>
      <c r="N125" s="246"/>
      <c r="O125" s="246"/>
      <c r="P125" s="246"/>
      <c r="Q125" s="246"/>
    </row>
    <row r="126" spans="1:17" ht="42.75" customHeight="1">
      <c r="A126" s="2539"/>
      <c r="B126" s="2527" t="s">
        <v>2533</v>
      </c>
      <c r="C126" s="1701"/>
      <c r="D126" s="441"/>
      <c r="E126" s="1699"/>
      <c r="F126" s="1697"/>
      <c r="G126" s="1698"/>
      <c r="H126" s="1698"/>
      <c r="I126" s="1696"/>
      <c r="J126" s="1699"/>
      <c r="K126" s="1700"/>
      <c r="L126" s="1696"/>
      <c r="M126" s="1697"/>
      <c r="N126" s="246"/>
      <c r="O126" s="246"/>
      <c r="P126" s="246"/>
      <c r="Q126" s="246"/>
    </row>
    <row r="127" spans="1:17" ht="42.75" customHeight="1">
      <c r="A127" s="2539"/>
      <c r="B127" s="2527"/>
      <c r="C127" s="1701"/>
      <c r="D127" s="441"/>
      <c r="E127" s="1696"/>
      <c r="F127" s="1697"/>
      <c r="G127" s="1698"/>
      <c r="H127" s="1698"/>
      <c r="I127" s="1696"/>
      <c r="J127" s="1699"/>
      <c r="K127" s="1700"/>
      <c r="L127" s="1696"/>
      <c r="M127" s="1697"/>
      <c r="N127" s="246"/>
      <c r="O127" s="246"/>
      <c r="P127" s="246"/>
      <c r="Q127" s="246"/>
    </row>
    <row r="128" spans="1:17" ht="42.75" customHeight="1">
      <c r="A128" s="2533"/>
      <c r="B128" s="2527"/>
      <c r="C128" s="1701"/>
      <c r="D128" s="441"/>
      <c r="E128" s="1696"/>
      <c r="F128" s="1699"/>
      <c r="G128" s="1697"/>
      <c r="H128" s="1698"/>
      <c r="I128" s="1696"/>
      <c r="J128" s="1699"/>
      <c r="K128" s="1700"/>
      <c r="L128" s="1696"/>
      <c r="M128" s="1697"/>
      <c r="N128" s="246"/>
      <c r="O128" s="246"/>
      <c r="P128" s="246"/>
      <c r="Q128" s="246"/>
    </row>
    <row r="129" spans="1:17" ht="42.75" customHeight="1">
      <c r="A129" s="2539"/>
      <c r="B129" s="2527"/>
      <c r="C129" s="1701"/>
      <c r="D129" s="441"/>
      <c r="E129" s="1696"/>
      <c r="F129" s="1696"/>
      <c r="G129" s="1697"/>
      <c r="H129" s="1698"/>
      <c r="I129" s="1696"/>
      <c r="J129" s="1699"/>
      <c r="K129" s="1700"/>
      <c r="L129" s="1696"/>
      <c r="M129" s="1697"/>
      <c r="N129" s="246"/>
      <c r="O129" s="246"/>
      <c r="P129" s="246"/>
      <c r="Q129" s="246"/>
    </row>
    <row r="130" spans="1:17" ht="12.75" customHeight="1">
      <c r="A130" s="2301" t="s">
        <v>2071</v>
      </c>
      <c r="B130" s="2297"/>
      <c r="C130" s="2302"/>
      <c r="D130" s="441">
        <v>3</v>
      </c>
      <c r="E130" s="2292"/>
      <c r="F130" s="2292"/>
      <c r="G130" s="2293"/>
      <c r="H130" s="2294"/>
      <c r="I130" s="2292"/>
      <c r="J130" s="2295"/>
      <c r="K130" s="2296"/>
      <c r="L130" s="2292"/>
      <c r="M130" s="2293"/>
    </row>
    <row r="131" spans="1:17">
      <c r="A131" s="346" t="s">
        <v>602</v>
      </c>
      <c r="B131" s="2299"/>
      <c r="C131" s="2300"/>
      <c r="D131" s="347">
        <v>1</v>
      </c>
      <c r="E131" s="230">
        <f t="shared" ref="E131:M131" si="0">SUM(E4:E130)</f>
        <v>241991390</v>
      </c>
      <c r="F131" s="230">
        <f t="shared" si="0"/>
        <v>209010835</v>
      </c>
      <c r="G131" s="228">
        <f t="shared" si="0"/>
        <v>307647919</v>
      </c>
      <c r="H131" s="229">
        <f t="shared" si="0"/>
        <v>914672984</v>
      </c>
      <c r="I131" s="230">
        <f t="shared" si="0"/>
        <v>975648854</v>
      </c>
      <c r="J131" s="231">
        <f t="shared" si="0"/>
        <v>975648854</v>
      </c>
      <c r="K131" s="232">
        <f t="shared" si="0"/>
        <v>1313659361</v>
      </c>
      <c r="L131" s="230">
        <f t="shared" si="0"/>
        <v>1810421648</v>
      </c>
      <c r="M131" s="228">
        <f t="shared" si="0"/>
        <v>1041880000</v>
      </c>
    </row>
    <row r="132" spans="1:17" s="709" customFormat="1">
      <c r="A132" s="1233" t="str">
        <f>head27a</f>
        <v>References</v>
      </c>
      <c r="B132" s="1041"/>
      <c r="C132" s="1041"/>
      <c r="D132" s="1038"/>
      <c r="E132" s="1042"/>
      <c r="F132" s="1042"/>
      <c r="G132" s="1042"/>
      <c r="H132" s="1042"/>
      <c r="I132" s="1042"/>
      <c r="J132" s="1042"/>
      <c r="K132" s="1042"/>
      <c r="L132" s="1042"/>
      <c r="M132" s="1042"/>
    </row>
    <row r="133" spans="1:17" s="709" customFormat="1">
      <c r="A133" s="1195" t="s">
        <v>1353</v>
      </c>
      <c r="B133" s="1041"/>
      <c r="C133" s="1041"/>
      <c r="D133" s="1038"/>
      <c r="E133" s="1042"/>
      <c r="F133" s="1042"/>
      <c r="G133" s="1042"/>
      <c r="H133" s="1042"/>
      <c r="I133" s="1042"/>
      <c r="J133" s="1042"/>
      <c r="K133" s="1042"/>
      <c r="L133" s="1042"/>
      <c r="M133" s="1042"/>
    </row>
    <row r="134" spans="1:17" s="709" customFormat="1">
      <c r="A134" s="1195" t="s">
        <v>2070</v>
      </c>
      <c r="B134" s="1062"/>
      <c r="C134" s="1062"/>
      <c r="D134" s="1038"/>
      <c r="E134" s="1041"/>
      <c r="F134" s="1041"/>
      <c r="G134" s="1042"/>
      <c r="H134" s="1042"/>
      <c r="I134" s="1042"/>
      <c r="J134" s="1042"/>
      <c r="K134" s="1042"/>
      <c r="L134" s="1042"/>
      <c r="M134" s="1042"/>
    </row>
    <row r="135" spans="1:17">
      <c r="A135" s="149" t="s">
        <v>2073</v>
      </c>
    </row>
    <row r="136" spans="1:17">
      <c r="A136" s="388" t="s">
        <v>425</v>
      </c>
      <c r="B136" s="388"/>
      <c r="C136" s="388"/>
      <c r="E136" s="448">
        <f>E131-'A5-Capex'!C40</f>
        <v>-9</v>
      </c>
      <c r="F136" s="448">
        <f>F131-'A5-Capex'!D40</f>
        <v>0</v>
      </c>
      <c r="G136" s="448">
        <f>G131-'A5-Capex'!E40</f>
        <v>0</v>
      </c>
      <c r="H136" s="448">
        <f>H131-'A5-Capex'!F40</f>
        <v>0</v>
      </c>
      <c r="I136" s="448">
        <f>I131-'A5-Capex'!G40</f>
        <v>0</v>
      </c>
      <c r="J136" s="448">
        <f>J131-'A5-Capex'!H40</f>
        <v>0</v>
      </c>
      <c r="K136" s="448">
        <f>K131-'A5-Capex'!J40</f>
        <v>180</v>
      </c>
      <c r="L136" s="448">
        <f>L131-'A5-Capex'!K40</f>
        <v>0</v>
      </c>
      <c r="M136" s="448">
        <f>M131-'A5-Capex'!L40</f>
        <v>0</v>
      </c>
    </row>
    <row r="137" spans="1:17">
      <c r="E137" s="449"/>
    </row>
    <row r="138" spans="1:17">
      <c r="E138" s="449"/>
    </row>
  </sheetData>
  <mergeCells count="3">
    <mergeCell ref="H2:J2"/>
    <mergeCell ref="K2:M2"/>
    <mergeCell ref="D2:D3"/>
  </mergeCells>
  <phoneticPr fontId="5" type="noConversion"/>
  <printOptions horizontalCentered="1"/>
  <pageMargins left="0" right="0" top="0.78740157480314998" bottom="0.59055118110236204" header="0.511811023622047" footer="0.39"/>
  <headerFooter alignWithMargins="0"/>
  <rowBreaks count="1" manualBreakCount="1">
    <brk id="46" max="12" man="1"/>
  </rowBreaks>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42"/>
  </sheetPr>
  <dimension ref="A1:K89"/>
  <sheetViews>
    <sheetView showGridLines="0" workbookViewId="0">
      <pane xSplit="2" ySplit="3" topLeftCell="C4" activePane="bottomRight" state="frozen"/>
      <selection pane="topRight"/>
      <selection pane="bottomLeft"/>
      <selection pane="bottomRight" activeCell="B6" sqref="B6:K24"/>
    </sheetView>
  </sheetViews>
  <sheetFormatPr baseColWidth="10" defaultColWidth="8.83203125" defaultRowHeight="11.25" customHeight="1" x14ac:dyDescent="0"/>
  <cols>
    <col min="1" max="1" width="29.33203125" style="149" customWidth="1"/>
    <col min="2" max="2" width="15.6640625" style="149" customWidth="1"/>
    <col min="3" max="11" width="9.33203125" style="149" customWidth="1"/>
    <col min="12" max="16384" width="8.83203125" style="149"/>
  </cols>
  <sheetData>
    <row r="1" spans="1:11" s="179" customFormat="1" ht="12">
      <c r="A1" s="147" t="str">
        <f>muni&amp;" - "&amp;TableA7</f>
        <v>NW373 Rustenburg - Supporting Table SA7 Measureable performance objectives</v>
      </c>
      <c r="B1" s="147"/>
      <c r="C1" s="147"/>
      <c r="D1" s="147"/>
      <c r="E1" s="147"/>
      <c r="F1" s="147"/>
      <c r="G1" s="147"/>
      <c r="H1" s="147"/>
      <c r="I1" s="147"/>
      <c r="J1" s="147"/>
      <c r="K1" s="147"/>
    </row>
    <row r="2" spans="1:11" ht="28.5" customHeight="1">
      <c r="A2" s="2800" t="s">
        <v>775</v>
      </c>
      <c r="B2" s="2798" t="s">
        <v>421</v>
      </c>
      <c r="C2" s="145"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1" ht="20">
      <c r="A3" s="2801"/>
      <c r="B3" s="2799"/>
      <c r="C3" s="389"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1525" t="s">
        <v>3981</v>
      </c>
      <c r="B4" s="1702"/>
      <c r="C4" s="1703"/>
      <c r="D4" s="1704"/>
      <c r="E4" s="1704"/>
      <c r="F4" s="1704"/>
      <c r="G4" s="1704"/>
      <c r="H4" s="1705"/>
      <c r="I4" s="1705"/>
      <c r="J4" s="1704"/>
      <c r="K4" s="1704"/>
    </row>
    <row r="5" spans="1:11" ht="11.25" customHeight="1">
      <c r="A5" s="1528" t="s">
        <v>3982</v>
      </c>
      <c r="B5" s="1706"/>
      <c r="C5" s="1703"/>
      <c r="D5" s="1704"/>
      <c r="E5" s="1704"/>
      <c r="F5" s="1704"/>
      <c r="G5" s="1704"/>
      <c r="H5" s="1704"/>
      <c r="I5" s="1704"/>
      <c r="J5" s="1704"/>
      <c r="K5" s="1704"/>
    </row>
    <row r="6" spans="1:11" ht="11.25" customHeight="1">
      <c r="A6" s="1529" t="s">
        <v>3983</v>
      </c>
      <c r="B6" s="1707"/>
      <c r="C6" s="1703"/>
      <c r="D6" s="1704"/>
      <c r="E6" s="1704"/>
      <c r="F6" s="1704"/>
      <c r="G6" s="1704"/>
      <c r="H6" s="1704"/>
      <c r="I6" s="1704"/>
      <c r="J6" s="1704"/>
      <c r="K6" s="1704"/>
    </row>
    <row r="7" spans="1:11" ht="11.25" customHeight="1">
      <c r="A7" s="1708" t="s">
        <v>3969</v>
      </c>
      <c r="B7" s="1707" t="s">
        <v>3965</v>
      </c>
      <c r="C7" s="1704">
        <v>0.25</v>
      </c>
      <c r="D7" s="1704">
        <v>0.26</v>
      </c>
      <c r="E7" s="1704">
        <v>0.43</v>
      </c>
      <c r="F7" s="1704">
        <v>0.48</v>
      </c>
      <c r="G7" s="1704">
        <v>0.48</v>
      </c>
      <c r="H7" s="1704">
        <v>0.48</v>
      </c>
      <c r="I7" s="1704">
        <v>0.5</v>
      </c>
      <c r="J7" s="1704">
        <v>0.56999999999999995</v>
      </c>
      <c r="K7" s="1704">
        <v>0.6</v>
      </c>
    </row>
    <row r="8" spans="1:11" ht="11.25" customHeight="1">
      <c r="A8" s="1709"/>
      <c r="B8" s="1707"/>
      <c r="C8" s="1703"/>
      <c r="D8" s="1704"/>
      <c r="E8" s="1704"/>
      <c r="F8" s="1704"/>
      <c r="G8" s="1704"/>
      <c r="H8" s="1704"/>
      <c r="I8" s="1704"/>
      <c r="J8" s="1704"/>
      <c r="K8" s="1704"/>
    </row>
    <row r="9" spans="1:11" ht="11.25" customHeight="1">
      <c r="A9" s="1529" t="s">
        <v>3970</v>
      </c>
      <c r="B9" s="1710"/>
      <c r="C9" s="1711"/>
      <c r="D9" s="1712"/>
      <c r="E9" s="1712"/>
      <c r="F9" s="1712"/>
      <c r="G9" s="1712"/>
      <c r="H9" s="1712"/>
      <c r="I9" s="1712"/>
      <c r="J9" s="1712"/>
      <c r="K9" s="1712"/>
    </row>
    <row r="10" spans="1:11" ht="11.25" customHeight="1">
      <c r="A10" s="1709" t="s">
        <v>3971</v>
      </c>
      <c r="B10" s="1707"/>
      <c r="C10" s="1703"/>
      <c r="D10" s="1704"/>
      <c r="E10" s="1704"/>
      <c r="F10" s="1704"/>
      <c r="G10" s="1704"/>
      <c r="H10" s="1704"/>
      <c r="I10" s="1704"/>
      <c r="J10" s="1704"/>
      <c r="K10" s="1704"/>
    </row>
    <row r="11" spans="1:11" ht="11.25" customHeight="1">
      <c r="A11" s="1709" t="s">
        <v>3972</v>
      </c>
      <c r="B11" s="1702" t="s">
        <v>1690</v>
      </c>
      <c r="C11" s="1704">
        <v>18.54</v>
      </c>
      <c r="D11" s="1704">
        <v>18.97</v>
      </c>
      <c r="E11" s="1704">
        <v>20.239999999999998</v>
      </c>
      <c r="F11" s="1704">
        <v>15.11</v>
      </c>
      <c r="G11" s="1704">
        <v>15.11</v>
      </c>
      <c r="H11" s="1704">
        <v>15.11</v>
      </c>
      <c r="I11" s="1704">
        <v>13.2</v>
      </c>
      <c r="J11" s="1704">
        <v>11.07</v>
      </c>
      <c r="K11" s="1704">
        <v>10.5</v>
      </c>
    </row>
    <row r="12" spans="1:11" ht="11.25" customHeight="1">
      <c r="A12" s="1529" t="s">
        <v>3973</v>
      </c>
      <c r="B12" s="1710"/>
      <c r="C12" s="1711"/>
      <c r="D12" s="1712"/>
      <c r="E12" s="1712"/>
      <c r="F12" s="1712"/>
      <c r="G12" s="1712"/>
      <c r="H12" s="1712"/>
      <c r="I12" s="1712"/>
      <c r="J12" s="1712"/>
      <c r="K12" s="1712"/>
    </row>
    <row r="13" spans="1:11" ht="11.25" customHeight="1">
      <c r="A13" s="1709" t="s">
        <v>3974</v>
      </c>
      <c r="B13" s="1707"/>
      <c r="C13" s="1703"/>
      <c r="D13" s="1704"/>
      <c r="E13" s="1704"/>
      <c r="F13" s="1704"/>
      <c r="G13" s="1704"/>
      <c r="H13" s="1704"/>
      <c r="I13" s="1704"/>
      <c r="J13" s="1704"/>
      <c r="K13" s="1704"/>
    </row>
    <row r="14" spans="1:11" ht="11.25" customHeight="1">
      <c r="A14" s="1709" t="s">
        <v>3975</v>
      </c>
      <c r="B14" s="1707" t="s">
        <v>3966</v>
      </c>
      <c r="C14" s="1704">
        <v>25.51</v>
      </c>
      <c r="D14" s="1704">
        <v>26.01</v>
      </c>
      <c r="E14" s="1704">
        <v>19.5</v>
      </c>
      <c r="F14" s="1704">
        <v>18.010000000000002</v>
      </c>
      <c r="G14" s="1704">
        <v>18.010000000000002</v>
      </c>
      <c r="H14" s="1704">
        <v>18.010000000000002</v>
      </c>
      <c r="I14" s="1704">
        <v>16.989999999999998</v>
      </c>
      <c r="J14" s="1704">
        <v>15.07</v>
      </c>
      <c r="K14" s="1704">
        <v>14.57</v>
      </c>
    </row>
    <row r="15" spans="1:11" ht="11.25" customHeight="1">
      <c r="A15" s="1528" t="s">
        <v>654</v>
      </c>
      <c r="B15" s="1710"/>
      <c r="C15" s="1711"/>
      <c r="D15" s="1712"/>
      <c r="E15" s="1712"/>
      <c r="F15" s="1712"/>
      <c r="G15" s="1712"/>
      <c r="H15" s="1712"/>
      <c r="I15" s="1712"/>
      <c r="J15" s="1712"/>
      <c r="K15" s="1712"/>
    </row>
    <row r="16" spans="1:11" ht="11.25" customHeight="1">
      <c r="A16" s="1529" t="s">
        <v>3976</v>
      </c>
      <c r="B16" s="1707"/>
      <c r="C16" s="1703"/>
      <c r="D16" s="1704"/>
      <c r="E16" s="1704"/>
      <c r="F16" s="1704"/>
      <c r="G16" s="1704"/>
      <c r="H16" s="1704"/>
      <c r="I16" s="1704"/>
      <c r="J16" s="1704"/>
      <c r="K16" s="1704"/>
    </row>
    <row r="17" spans="1:11" ht="11.25" customHeight="1">
      <c r="A17" s="1708" t="s">
        <v>3977</v>
      </c>
      <c r="B17" s="1707" t="s">
        <v>1690</v>
      </c>
      <c r="C17" s="1704">
        <v>31.28</v>
      </c>
      <c r="D17" s="1704">
        <v>34.99</v>
      </c>
      <c r="E17" s="1704">
        <v>42.1</v>
      </c>
      <c r="F17" s="1704">
        <v>32.090000000000003</v>
      </c>
      <c r="G17" s="1704">
        <v>32.090000000000003</v>
      </c>
      <c r="H17" s="1704">
        <v>32.090000000000003</v>
      </c>
      <c r="I17" s="1704">
        <v>22.68</v>
      </c>
      <c r="J17" s="1704">
        <v>15.98</v>
      </c>
      <c r="K17" s="1704">
        <v>13.52</v>
      </c>
    </row>
    <row r="18" spans="1:11" ht="11.25" customHeight="1">
      <c r="A18" s="1709"/>
      <c r="B18" s="1707"/>
      <c r="C18" s="1703"/>
      <c r="D18" s="1704"/>
      <c r="E18" s="1704"/>
      <c r="F18" s="1704"/>
      <c r="G18" s="1704"/>
      <c r="H18" s="1704"/>
      <c r="I18" s="1704"/>
      <c r="J18" s="1704"/>
      <c r="K18" s="1704"/>
    </row>
    <row r="19" spans="1:11" ht="11.25" customHeight="1">
      <c r="A19" s="1529" t="s">
        <v>137</v>
      </c>
      <c r="B19" s="1713"/>
      <c r="C19" s="1711"/>
      <c r="D19" s="1712"/>
      <c r="E19" s="1712"/>
      <c r="F19" s="1712"/>
      <c r="G19" s="1712"/>
      <c r="H19" s="1712"/>
      <c r="I19" s="1712"/>
      <c r="J19" s="1712"/>
      <c r="K19" s="1712"/>
    </row>
    <row r="20" spans="1:11" ht="11.25" customHeight="1">
      <c r="A20" s="1708" t="s">
        <v>3978</v>
      </c>
      <c r="B20" s="1707" t="s">
        <v>3967</v>
      </c>
      <c r="C20" s="1704">
        <v>0.28999999999999998</v>
      </c>
      <c r="D20" s="1704">
        <v>0.15</v>
      </c>
      <c r="E20" s="1704">
        <v>0.25</v>
      </c>
      <c r="F20" s="1704">
        <v>0.18</v>
      </c>
      <c r="G20" s="1704">
        <v>0.18</v>
      </c>
      <c r="H20" s="1704">
        <v>0.18</v>
      </c>
      <c r="I20" s="1704">
        <v>0.26</v>
      </c>
      <c r="J20" s="1704">
        <v>0.33</v>
      </c>
      <c r="K20" s="1704">
        <v>0.39</v>
      </c>
    </row>
    <row r="21" spans="1:11" ht="11.25" customHeight="1">
      <c r="A21" s="1709"/>
      <c r="B21" s="1707"/>
      <c r="C21" s="1703"/>
      <c r="D21" s="1704"/>
      <c r="E21" s="1704"/>
      <c r="F21" s="1704"/>
      <c r="G21" s="1704"/>
      <c r="H21" s="1704"/>
      <c r="I21" s="1704"/>
      <c r="J21" s="1704"/>
      <c r="K21" s="1704"/>
    </row>
    <row r="22" spans="1:11" ht="11.25" customHeight="1">
      <c r="A22" s="1529" t="s">
        <v>3979</v>
      </c>
      <c r="B22" s="1710"/>
      <c r="C22" s="1711"/>
      <c r="D22" s="1712"/>
      <c r="E22" s="1712"/>
      <c r="F22" s="1712"/>
      <c r="G22" s="1712"/>
      <c r="H22" s="1712"/>
      <c r="I22" s="1712"/>
      <c r="J22" s="1712"/>
      <c r="K22" s="1712"/>
    </row>
    <row r="23" spans="1:11" ht="11.25" customHeight="1">
      <c r="A23" s="1708" t="s">
        <v>3980</v>
      </c>
      <c r="B23" s="1707" t="s">
        <v>3968</v>
      </c>
      <c r="C23" s="1704">
        <v>0.21</v>
      </c>
      <c r="D23" s="1704">
        <v>0.35</v>
      </c>
      <c r="E23" s="1704">
        <v>0.55000000000000004</v>
      </c>
      <c r="F23" s="1704">
        <v>0.68</v>
      </c>
      <c r="G23" s="1704">
        <v>0.68</v>
      </c>
      <c r="H23" s="1704">
        <v>0.68</v>
      </c>
      <c r="I23" s="1704">
        <v>0.78</v>
      </c>
      <c r="J23" s="1704">
        <v>0.64</v>
      </c>
      <c r="K23" s="1704">
        <v>0.56999999999999995</v>
      </c>
    </row>
    <row r="24" spans="1:11" ht="11.25" customHeight="1">
      <c r="A24" s="1714"/>
      <c r="B24" s="1715"/>
      <c r="C24" s="1716"/>
      <c r="D24" s="1717"/>
      <c r="E24" s="1717"/>
      <c r="F24" s="1717"/>
      <c r="G24" s="1717"/>
      <c r="H24" s="1717"/>
      <c r="I24" s="1717"/>
      <c r="J24" s="1717"/>
      <c r="K24" s="1717"/>
    </row>
    <row r="25" spans="1:11" ht="11.25" customHeight="1">
      <c r="A25" s="1525" t="s">
        <v>1389</v>
      </c>
      <c r="B25" s="1707"/>
      <c r="C25" s="1703"/>
      <c r="D25" s="1704"/>
      <c r="E25" s="1704"/>
      <c r="F25" s="1704"/>
      <c r="G25" s="1704"/>
      <c r="H25" s="1704"/>
      <c r="I25" s="1704"/>
      <c r="J25" s="1704"/>
      <c r="K25" s="1704"/>
    </row>
    <row r="26" spans="1:11" ht="11.25" customHeight="1">
      <c r="A26" s="1528" t="s">
        <v>1384</v>
      </c>
      <c r="B26" s="1707"/>
      <c r="C26" s="1703"/>
      <c r="D26" s="1704"/>
      <c r="E26" s="1704"/>
      <c r="F26" s="1704"/>
      <c r="G26" s="1704"/>
      <c r="H26" s="1704"/>
      <c r="I26" s="1704"/>
      <c r="J26" s="1704"/>
      <c r="K26" s="1704"/>
    </row>
    <row r="27" spans="1:11" ht="11.25" customHeight="1">
      <c r="A27" s="1529" t="s">
        <v>1385</v>
      </c>
      <c r="B27" s="1702"/>
      <c r="C27" s="1703"/>
      <c r="D27" s="1704"/>
      <c r="E27" s="1704"/>
      <c r="F27" s="1704"/>
      <c r="G27" s="1704"/>
      <c r="H27" s="1704"/>
      <c r="I27" s="1704"/>
      <c r="J27" s="1704"/>
      <c r="K27" s="1704"/>
    </row>
    <row r="28" spans="1:11" ht="11.25" customHeight="1">
      <c r="A28" s="1708" t="s">
        <v>1095</v>
      </c>
      <c r="B28" s="1707"/>
      <c r="C28" s="1703"/>
      <c r="D28" s="1704"/>
      <c r="E28" s="1704"/>
      <c r="F28" s="1704"/>
      <c r="G28" s="1704"/>
      <c r="H28" s="1704"/>
      <c r="I28" s="1704"/>
      <c r="J28" s="1704"/>
      <c r="K28" s="1704"/>
    </row>
    <row r="29" spans="1:11" ht="11.25" customHeight="1">
      <c r="A29" s="1709"/>
      <c r="B29" s="1707"/>
      <c r="C29" s="1703"/>
      <c r="D29" s="1704"/>
      <c r="E29" s="1704"/>
      <c r="F29" s="1704"/>
      <c r="G29" s="1704"/>
      <c r="H29" s="1704"/>
      <c r="I29" s="1704"/>
      <c r="J29" s="1704"/>
      <c r="K29" s="1704"/>
    </row>
    <row r="30" spans="1:11" ht="11.25" customHeight="1">
      <c r="A30" s="1529" t="s">
        <v>1387</v>
      </c>
      <c r="B30" s="1710"/>
      <c r="C30" s="1711"/>
      <c r="D30" s="1712"/>
      <c r="E30" s="1712"/>
      <c r="F30" s="1712"/>
      <c r="G30" s="1712"/>
      <c r="H30" s="1712"/>
      <c r="I30" s="1712"/>
      <c r="J30" s="1712"/>
      <c r="K30" s="1712"/>
    </row>
    <row r="31" spans="1:11" ht="11.25" customHeight="1">
      <c r="A31" s="1708" t="s">
        <v>1095</v>
      </c>
      <c r="B31" s="1707"/>
      <c r="C31" s="1703"/>
      <c r="D31" s="1704"/>
      <c r="E31" s="1704"/>
      <c r="F31" s="1704"/>
      <c r="G31" s="1704"/>
      <c r="H31" s="1704"/>
      <c r="I31" s="1704"/>
      <c r="J31" s="1704"/>
      <c r="K31" s="1704"/>
    </row>
    <row r="32" spans="1:11" ht="11.25" customHeight="1">
      <c r="A32" s="1709"/>
      <c r="B32" s="1707"/>
      <c r="C32" s="1703"/>
      <c r="D32" s="1704"/>
      <c r="E32" s="1704"/>
      <c r="F32" s="1704"/>
      <c r="G32" s="1704"/>
      <c r="H32" s="1704"/>
      <c r="I32" s="1704"/>
      <c r="J32" s="1704"/>
      <c r="K32" s="1704"/>
    </row>
    <row r="33" spans="1:11" ht="11.25" customHeight="1">
      <c r="A33" s="1529" t="s">
        <v>1388</v>
      </c>
      <c r="B33" s="1710"/>
      <c r="C33" s="1711"/>
      <c r="D33" s="1712"/>
      <c r="E33" s="1712"/>
      <c r="F33" s="1712"/>
      <c r="G33" s="1712"/>
      <c r="H33" s="1712"/>
      <c r="I33" s="1712"/>
      <c r="J33" s="1712"/>
      <c r="K33" s="1712"/>
    </row>
    <row r="34" spans="1:11" ht="11.25" customHeight="1">
      <c r="A34" s="1708" t="s">
        <v>1095</v>
      </c>
      <c r="B34" s="1707"/>
      <c r="C34" s="1703"/>
      <c r="D34" s="1704"/>
      <c r="E34" s="1704"/>
      <c r="F34" s="1704"/>
      <c r="G34" s="1704"/>
      <c r="H34" s="1704"/>
      <c r="I34" s="1704"/>
      <c r="J34" s="1704"/>
      <c r="K34" s="1704"/>
    </row>
    <row r="35" spans="1:11" ht="11.25" customHeight="1">
      <c r="A35" s="1709"/>
      <c r="B35" s="1702"/>
      <c r="C35" s="1703"/>
      <c r="D35" s="1704"/>
      <c r="E35" s="1704"/>
      <c r="F35" s="1704"/>
      <c r="G35" s="1704"/>
      <c r="H35" s="1704"/>
      <c r="I35" s="1704"/>
      <c r="J35" s="1704"/>
      <c r="K35" s="1704"/>
    </row>
    <row r="36" spans="1:11" ht="11.25" customHeight="1">
      <c r="A36" s="1528" t="s">
        <v>1386</v>
      </c>
      <c r="B36" s="1710"/>
      <c r="C36" s="1711"/>
      <c r="D36" s="1712"/>
      <c r="E36" s="1712"/>
      <c r="F36" s="1712"/>
      <c r="G36" s="1712"/>
      <c r="H36" s="1712"/>
      <c r="I36" s="1712"/>
      <c r="J36" s="1712"/>
      <c r="K36" s="1712"/>
    </row>
    <row r="37" spans="1:11" ht="11.25" customHeight="1">
      <c r="A37" s="1529" t="s">
        <v>1385</v>
      </c>
      <c r="B37" s="1707"/>
      <c r="C37" s="1703"/>
      <c r="D37" s="1704"/>
      <c r="E37" s="1704"/>
      <c r="F37" s="1704"/>
      <c r="G37" s="1704"/>
      <c r="H37" s="1704"/>
      <c r="I37" s="1704"/>
      <c r="J37" s="1704"/>
      <c r="K37" s="1704"/>
    </row>
    <row r="38" spans="1:11" ht="11.25" customHeight="1">
      <c r="A38" s="1708" t="s">
        <v>1095</v>
      </c>
      <c r="B38" s="1707"/>
      <c r="C38" s="1703"/>
      <c r="D38" s="1704"/>
      <c r="E38" s="1704"/>
      <c r="F38" s="1704"/>
      <c r="G38" s="1704"/>
      <c r="H38" s="1704"/>
      <c r="I38" s="1704"/>
      <c r="J38" s="1704"/>
      <c r="K38" s="1704"/>
    </row>
    <row r="39" spans="1:11" ht="11.25" customHeight="1">
      <c r="A39" s="1709"/>
      <c r="B39" s="1707"/>
      <c r="C39" s="1703"/>
      <c r="D39" s="1704"/>
      <c r="E39" s="1704"/>
      <c r="F39" s="1704"/>
      <c r="G39" s="1704"/>
      <c r="H39" s="1704"/>
      <c r="I39" s="1704"/>
      <c r="J39" s="1704"/>
      <c r="K39" s="1704"/>
    </row>
    <row r="40" spans="1:11" ht="11.25" customHeight="1">
      <c r="A40" s="1529" t="s">
        <v>1387</v>
      </c>
      <c r="B40" s="1710"/>
      <c r="C40" s="1711"/>
      <c r="D40" s="1712"/>
      <c r="E40" s="1712"/>
      <c r="F40" s="1712"/>
      <c r="G40" s="1712"/>
      <c r="H40" s="1712"/>
      <c r="I40" s="1712"/>
      <c r="J40" s="1712"/>
      <c r="K40" s="1712"/>
    </row>
    <row r="41" spans="1:11" ht="11.25" customHeight="1">
      <c r="A41" s="1708" t="s">
        <v>1095</v>
      </c>
      <c r="B41" s="1707"/>
      <c r="C41" s="1703"/>
      <c r="D41" s="1704"/>
      <c r="E41" s="1704"/>
      <c r="F41" s="1704"/>
      <c r="G41" s="1704"/>
      <c r="H41" s="1704"/>
      <c r="I41" s="1704"/>
      <c r="J41" s="1704"/>
      <c r="K41" s="1704"/>
    </row>
    <row r="42" spans="1:11" ht="11.25" customHeight="1">
      <c r="A42" s="1709"/>
      <c r="B42" s="1707"/>
      <c r="C42" s="1703"/>
      <c r="D42" s="1704"/>
      <c r="E42" s="1704"/>
      <c r="F42" s="1704"/>
      <c r="G42" s="1704"/>
      <c r="H42" s="1704"/>
      <c r="I42" s="1704"/>
      <c r="J42" s="1704"/>
      <c r="K42" s="1704"/>
    </row>
    <row r="43" spans="1:11" ht="11.25" customHeight="1">
      <c r="A43" s="1529" t="s">
        <v>1388</v>
      </c>
      <c r="B43" s="1713"/>
      <c r="C43" s="1711"/>
      <c r="D43" s="1712"/>
      <c r="E43" s="1712"/>
      <c r="F43" s="1712"/>
      <c r="G43" s="1712"/>
      <c r="H43" s="1712"/>
      <c r="I43" s="1712"/>
      <c r="J43" s="1712"/>
      <c r="K43" s="1712"/>
    </row>
    <row r="44" spans="1:11" ht="11.25" customHeight="1">
      <c r="A44" s="1708" t="s">
        <v>1095</v>
      </c>
      <c r="B44" s="1707"/>
      <c r="C44" s="1703"/>
      <c r="D44" s="1704"/>
      <c r="E44" s="1704"/>
      <c r="F44" s="1704"/>
      <c r="G44" s="1704"/>
      <c r="H44" s="1704"/>
      <c r="I44" s="1704"/>
      <c r="J44" s="1704"/>
      <c r="K44" s="1704"/>
    </row>
    <row r="45" spans="1:11" ht="11.25" customHeight="1">
      <c r="A45" s="1708"/>
      <c r="B45" s="1715"/>
      <c r="C45" s="1716"/>
      <c r="D45" s="1717"/>
      <c r="E45" s="1717"/>
      <c r="F45" s="1717"/>
      <c r="G45" s="1717"/>
      <c r="H45" s="1717"/>
      <c r="I45" s="1717"/>
      <c r="J45" s="1717"/>
      <c r="K45" s="1717"/>
    </row>
    <row r="46" spans="1:11" ht="11.25" customHeight="1">
      <c r="A46" s="1525" t="s">
        <v>1390</v>
      </c>
      <c r="B46" s="1707"/>
      <c r="C46" s="1703"/>
      <c r="D46" s="1704"/>
      <c r="E46" s="1704"/>
      <c r="F46" s="1704"/>
      <c r="G46" s="1704"/>
      <c r="H46" s="1704"/>
      <c r="I46" s="1704"/>
      <c r="J46" s="1704"/>
      <c r="K46" s="1704"/>
    </row>
    <row r="47" spans="1:11" ht="11.25" customHeight="1">
      <c r="A47" s="1528" t="s">
        <v>1384</v>
      </c>
      <c r="B47" s="1707"/>
      <c r="C47" s="1703"/>
      <c r="D47" s="1704"/>
      <c r="E47" s="1704"/>
      <c r="F47" s="1704"/>
      <c r="G47" s="1704"/>
      <c r="H47" s="1704"/>
      <c r="I47" s="1704"/>
      <c r="J47" s="1704"/>
      <c r="K47" s="1704"/>
    </row>
    <row r="48" spans="1:11" ht="11.25" customHeight="1">
      <c r="A48" s="1529" t="s">
        <v>1385</v>
      </c>
      <c r="B48" s="1707"/>
      <c r="C48" s="1703"/>
      <c r="D48" s="1704"/>
      <c r="E48" s="1704"/>
      <c r="F48" s="1704"/>
      <c r="G48" s="1704"/>
      <c r="H48" s="1704"/>
      <c r="I48" s="1704"/>
      <c r="J48" s="1704"/>
      <c r="K48" s="1704"/>
    </row>
    <row r="49" spans="1:11" ht="11.25" customHeight="1">
      <c r="A49" s="1708" t="s">
        <v>1095</v>
      </c>
      <c r="B49" s="1707"/>
      <c r="C49" s="1703"/>
      <c r="D49" s="1704"/>
      <c r="E49" s="1704"/>
      <c r="F49" s="1704"/>
      <c r="G49" s="1704"/>
      <c r="H49" s="1704"/>
      <c r="I49" s="1704"/>
      <c r="J49" s="1704"/>
      <c r="K49" s="1704"/>
    </row>
    <row r="50" spans="1:11" ht="11.25" customHeight="1">
      <c r="A50" s="1709"/>
      <c r="B50" s="1707"/>
      <c r="C50" s="1703"/>
      <c r="D50" s="1704"/>
      <c r="E50" s="1704"/>
      <c r="F50" s="1704"/>
      <c r="G50" s="1704"/>
      <c r="H50" s="1704"/>
      <c r="I50" s="1704"/>
      <c r="J50" s="1704"/>
      <c r="K50" s="1704"/>
    </row>
    <row r="51" spans="1:11" ht="11.25" customHeight="1">
      <c r="A51" s="1529" t="s">
        <v>1387</v>
      </c>
      <c r="B51" s="1710"/>
      <c r="C51" s="1711"/>
      <c r="D51" s="1712"/>
      <c r="E51" s="1712"/>
      <c r="F51" s="1712"/>
      <c r="G51" s="1712"/>
      <c r="H51" s="1712"/>
      <c r="I51" s="1712"/>
      <c r="J51" s="1712"/>
      <c r="K51" s="1712"/>
    </row>
    <row r="52" spans="1:11" ht="11.25" customHeight="1">
      <c r="A52" s="1708" t="s">
        <v>1095</v>
      </c>
      <c r="B52" s="1707"/>
      <c r="C52" s="1703"/>
      <c r="D52" s="1704"/>
      <c r="E52" s="1704"/>
      <c r="F52" s="1704"/>
      <c r="G52" s="1704"/>
      <c r="H52" s="1704"/>
      <c r="I52" s="1704"/>
      <c r="J52" s="1704"/>
      <c r="K52" s="1704"/>
    </row>
    <row r="53" spans="1:11" ht="11.25" customHeight="1">
      <c r="A53" s="1709"/>
      <c r="B53" s="1707"/>
      <c r="C53" s="1703"/>
      <c r="D53" s="1704"/>
      <c r="E53" s="1704"/>
      <c r="F53" s="1704"/>
      <c r="G53" s="1704"/>
      <c r="H53" s="1704"/>
      <c r="I53" s="1704"/>
      <c r="J53" s="1704"/>
      <c r="K53" s="1704"/>
    </row>
    <row r="54" spans="1:11" ht="11.25" customHeight="1">
      <c r="A54" s="1529" t="s">
        <v>1388</v>
      </c>
      <c r="B54" s="1710"/>
      <c r="C54" s="1711"/>
      <c r="D54" s="1712"/>
      <c r="E54" s="1712"/>
      <c r="F54" s="1712"/>
      <c r="G54" s="1712"/>
      <c r="H54" s="1712"/>
      <c r="I54" s="1712"/>
      <c r="J54" s="1712"/>
      <c r="K54" s="1712"/>
    </row>
    <row r="55" spans="1:11" ht="11.25" customHeight="1">
      <c r="A55" s="1708" t="s">
        <v>1095</v>
      </c>
      <c r="B55" s="1707"/>
      <c r="C55" s="1703"/>
      <c r="D55" s="1704"/>
      <c r="E55" s="1704"/>
      <c r="F55" s="1704"/>
      <c r="G55" s="1704"/>
      <c r="H55" s="1704"/>
      <c r="I55" s="1704"/>
      <c r="J55" s="1704"/>
      <c r="K55" s="1704"/>
    </row>
    <row r="56" spans="1:11" ht="11.25" customHeight="1">
      <c r="A56" s="1709"/>
      <c r="B56" s="1707"/>
      <c r="C56" s="1703"/>
      <c r="D56" s="1704"/>
      <c r="E56" s="1704"/>
      <c r="F56" s="1704"/>
      <c r="G56" s="1704"/>
      <c r="H56" s="1704"/>
      <c r="I56" s="1704"/>
      <c r="J56" s="1704"/>
      <c r="K56" s="1704"/>
    </row>
    <row r="57" spans="1:11" ht="11.25" customHeight="1">
      <c r="A57" s="1528" t="s">
        <v>1386</v>
      </c>
      <c r="B57" s="1710"/>
      <c r="C57" s="1711"/>
      <c r="D57" s="1712"/>
      <c r="E57" s="1712"/>
      <c r="F57" s="1712"/>
      <c r="G57" s="1712"/>
      <c r="H57" s="1712"/>
      <c r="I57" s="1712"/>
      <c r="J57" s="1712"/>
      <c r="K57" s="1712"/>
    </row>
    <row r="58" spans="1:11" ht="11.25" customHeight="1">
      <c r="A58" s="1529" t="s">
        <v>1385</v>
      </c>
      <c r="B58" s="1707"/>
      <c r="C58" s="1703"/>
      <c r="D58" s="1704"/>
      <c r="E58" s="1704"/>
      <c r="F58" s="1704"/>
      <c r="G58" s="1704"/>
      <c r="H58" s="1704"/>
      <c r="I58" s="1704"/>
      <c r="J58" s="1704"/>
      <c r="K58" s="1704"/>
    </row>
    <row r="59" spans="1:11" ht="11.25" customHeight="1">
      <c r="A59" s="1708" t="s">
        <v>1095</v>
      </c>
      <c r="B59" s="1707"/>
      <c r="C59" s="1703"/>
      <c r="D59" s="1704"/>
      <c r="E59" s="1704"/>
      <c r="F59" s="1704"/>
      <c r="G59" s="1704"/>
      <c r="H59" s="1704"/>
      <c r="I59" s="1704"/>
      <c r="J59" s="1704"/>
      <c r="K59" s="1704"/>
    </row>
    <row r="60" spans="1:11" ht="11.25" customHeight="1">
      <c r="A60" s="1709"/>
      <c r="B60" s="1707"/>
      <c r="C60" s="1703"/>
      <c r="D60" s="1704"/>
      <c r="E60" s="1704"/>
      <c r="F60" s="1704"/>
      <c r="G60" s="1704"/>
      <c r="H60" s="1704"/>
      <c r="I60" s="1704"/>
      <c r="J60" s="1704"/>
      <c r="K60" s="1704"/>
    </row>
    <row r="61" spans="1:11" ht="11.25" customHeight="1">
      <c r="A61" s="1529" t="s">
        <v>1387</v>
      </c>
      <c r="B61" s="1710"/>
      <c r="C61" s="1711"/>
      <c r="D61" s="1712"/>
      <c r="E61" s="1712"/>
      <c r="F61" s="1712"/>
      <c r="G61" s="1712"/>
      <c r="H61" s="1712"/>
      <c r="I61" s="1712"/>
      <c r="J61" s="1712"/>
      <c r="K61" s="1712"/>
    </row>
    <row r="62" spans="1:11" ht="11.25" customHeight="1">
      <c r="A62" s="1708" t="s">
        <v>1095</v>
      </c>
      <c r="B62" s="1707"/>
      <c r="C62" s="1703"/>
      <c r="D62" s="1704"/>
      <c r="E62" s="1704"/>
      <c r="F62" s="1704"/>
      <c r="G62" s="1704"/>
      <c r="H62" s="1704"/>
      <c r="I62" s="1704"/>
      <c r="J62" s="1704"/>
      <c r="K62" s="1704"/>
    </row>
    <row r="63" spans="1:11" ht="11.25" customHeight="1">
      <c r="A63" s="1709"/>
      <c r="B63" s="1707"/>
      <c r="C63" s="1703"/>
      <c r="D63" s="1704"/>
      <c r="E63" s="1704"/>
      <c r="F63" s="1704"/>
      <c r="G63" s="1704"/>
      <c r="H63" s="1704"/>
      <c r="I63" s="1704"/>
      <c r="J63" s="1704"/>
      <c r="K63" s="1704"/>
    </row>
    <row r="64" spans="1:11" ht="11.25" customHeight="1">
      <c r="A64" s="1529" t="s">
        <v>1388</v>
      </c>
      <c r="B64" s="1710"/>
      <c r="C64" s="1711"/>
      <c r="D64" s="1712"/>
      <c r="E64" s="1712"/>
      <c r="F64" s="1712"/>
      <c r="G64" s="1712"/>
      <c r="H64" s="1712"/>
      <c r="I64" s="1712"/>
      <c r="J64" s="1712"/>
      <c r="K64" s="1712"/>
    </row>
    <row r="65" spans="1:11" ht="11.25" customHeight="1">
      <c r="A65" s="1708" t="s">
        <v>1095</v>
      </c>
      <c r="B65" s="1707"/>
      <c r="C65" s="1703"/>
      <c r="D65" s="1704"/>
      <c r="E65" s="1704"/>
      <c r="F65" s="1704"/>
      <c r="G65" s="1704"/>
      <c r="H65" s="1704"/>
      <c r="I65" s="1704"/>
      <c r="J65" s="1704"/>
      <c r="K65" s="1704"/>
    </row>
    <row r="66" spans="1:11" ht="11.25" customHeight="1">
      <c r="A66" s="1708"/>
      <c r="B66" s="1707"/>
      <c r="C66" s="1703"/>
      <c r="D66" s="1704"/>
      <c r="E66" s="1704"/>
      <c r="F66" s="1704"/>
      <c r="G66" s="1704"/>
      <c r="H66" s="1704"/>
      <c r="I66" s="1704"/>
      <c r="J66" s="1704"/>
      <c r="K66" s="1704"/>
    </row>
    <row r="67" spans="1:11" ht="11.25" customHeight="1">
      <c r="A67" s="1718" t="s">
        <v>1391</v>
      </c>
      <c r="B67" s="1715"/>
      <c r="C67" s="1716"/>
      <c r="D67" s="1717"/>
      <c r="E67" s="1717"/>
      <c r="F67" s="1717"/>
      <c r="G67" s="1717"/>
      <c r="H67" s="1717"/>
      <c r="I67" s="1717"/>
      <c r="J67" s="1717"/>
      <c r="K67" s="1717"/>
    </row>
    <row r="68" spans="1:11" ht="11.25" customHeight="1">
      <c r="A68" s="2802" t="s">
        <v>172</v>
      </c>
      <c r="B68" s="2802"/>
      <c r="C68" s="2802"/>
      <c r="D68" s="2802"/>
      <c r="E68" s="2802"/>
      <c r="F68" s="2802"/>
      <c r="G68" s="2802"/>
      <c r="H68" s="2802"/>
      <c r="I68" s="2802"/>
      <c r="J68" s="2802"/>
      <c r="K68" s="2802"/>
    </row>
    <row r="69" spans="1:11" ht="11.25" customHeight="1">
      <c r="A69" s="461" t="s">
        <v>1383</v>
      </c>
      <c r="B69" s="143"/>
      <c r="C69" s="462"/>
      <c r="D69" s="462"/>
      <c r="E69" s="462"/>
      <c r="F69" s="463"/>
      <c r="G69" s="463"/>
      <c r="H69" s="463"/>
      <c r="I69" s="463"/>
      <c r="J69" s="463"/>
      <c r="K69" s="463"/>
    </row>
    <row r="70" spans="1:11" ht="11.25" customHeight="1">
      <c r="A70" s="461" t="s">
        <v>1354</v>
      </c>
      <c r="B70" s="143"/>
      <c r="C70" s="462"/>
      <c r="D70" s="462"/>
      <c r="E70" s="462"/>
      <c r="F70" s="463"/>
      <c r="G70" s="463"/>
      <c r="H70" s="463"/>
      <c r="I70" s="463"/>
      <c r="J70" s="463"/>
      <c r="K70" s="463"/>
    </row>
    <row r="71" spans="1:11" ht="10">
      <c r="B71" s="464"/>
    </row>
    <row r="72" spans="1:11" ht="12.75" customHeight="1">
      <c r="A72" s="147" t="str">
        <f>muni&amp;" - "&amp;"Entities measureable performance objectives"</f>
        <v>NW373 Rustenburg - Entities measureable performance objectives</v>
      </c>
      <c r="B72" s="147"/>
      <c r="C72" s="147"/>
      <c r="D72" s="147"/>
      <c r="E72" s="147"/>
      <c r="F72" s="147"/>
      <c r="G72" s="147"/>
      <c r="H72" s="147"/>
      <c r="I72" s="147"/>
      <c r="J72" s="147"/>
      <c r="K72" s="147"/>
    </row>
    <row r="73" spans="1:11" ht="28.5" customHeight="1">
      <c r="A73" s="2800" t="str">
        <f>A2</f>
        <v>Description</v>
      </c>
      <c r="B73" s="2798" t="s">
        <v>421</v>
      </c>
      <c r="C73" s="145" t="str">
        <f>head1b</f>
        <v>2009/10</v>
      </c>
      <c r="D73" s="150" t="str">
        <f>head1A</f>
        <v>2010/11</v>
      </c>
      <c r="E73" s="146" t="str">
        <f>Head1</f>
        <v>2011/12</v>
      </c>
      <c r="F73" s="2765" t="str">
        <f>Head2</f>
        <v>Current Year 2012/13</v>
      </c>
      <c r="G73" s="2766"/>
      <c r="H73" s="2770"/>
      <c r="I73" s="2762" t="str">
        <f>Head3</f>
        <v>2013/14 Medium Term Revenue &amp; Expenditure Framework</v>
      </c>
      <c r="J73" s="2763"/>
      <c r="K73" s="2764"/>
    </row>
    <row r="74" spans="1:11" ht="20">
      <c r="A74" s="2801"/>
      <c r="B74" s="2799"/>
      <c r="C74" s="389" t="str">
        <f>Head5</f>
        <v>Audited Outcome</v>
      </c>
      <c r="D74" s="390" t="str">
        <f>Head5</f>
        <v>Audited Outcome</v>
      </c>
      <c r="E74" s="391" t="str">
        <f>Head5</f>
        <v>Audited Outcome</v>
      </c>
      <c r="F74" s="299" t="str">
        <f>Head6</f>
        <v>Original Budget</v>
      </c>
      <c r="G74" s="390" t="str">
        <f>Head7</f>
        <v>Adjusted Budget</v>
      </c>
      <c r="H74" s="391" t="str">
        <f>Head8</f>
        <v>Full Year Forecast</v>
      </c>
      <c r="I74" s="299" t="str">
        <f>Head9</f>
        <v>Budget Year 2013/14</v>
      </c>
      <c r="J74" s="390" t="str">
        <f>Head10</f>
        <v>Budget Year +1 2014/15</v>
      </c>
      <c r="K74" s="391" t="str">
        <f>Head11</f>
        <v>Budget Year +2 2015/16</v>
      </c>
    </row>
    <row r="75" spans="1:11" ht="11.25" customHeight="1">
      <c r="A75" s="1527" t="s">
        <v>1392</v>
      </c>
      <c r="B75" s="1702"/>
      <c r="C75" s="1719"/>
      <c r="D75" s="1720"/>
      <c r="E75" s="1721"/>
      <c r="F75" s="1722"/>
      <c r="G75" s="1720"/>
      <c r="H75" s="1723"/>
      <c r="I75" s="1724"/>
      <c r="J75" s="1720"/>
      <c r="K75" s="1721"/>
    </row>
    <row r="76" spans="1:11" ht="11.25" customHeight="1">
      <c r="A76" s="1725" t="s">
        <v>1095</v>
      </c>
      <c r="B76" s="1707"/>
      <c r="C76" s="1719"/>
      <c r="D76" s="1720"/>
      <c r="E76" s="1721"/>
      <c r="F76" s="1722"/>
      <c r="G76" s="1720"/>
      <c r="H76" s="1723"/>
      <c r="I76" s="1726"/>
      <c r="J76" s="1720"/>
      <c r="K76" s="1721"/>
    </row>
    <row r="77" spans="1:11" ht="11.25" customHeight="1">
      <c r="A77" s="1725"/>
      <c r="B77" s="1707"/>
      <c r="C77" s="1719"/>
      <c r="D77" s="1720"/>
      <c r="E77" s="1721"/>
      <c r="F77" s="1722"/>
      <c r="G77" s="1720"/>
      <c r="H77" s="1723"/>
      <c r="I77" s="1726"/>
      <c r="J77" s="1720"/>
      <c r="K77" s="1721"/>
    </row>
    <row r="78" spans="1:11" ht="11.25" customHeight="1">
      <c r="A78" s="1727"/>
      <c r="B78" s="1707"/>
      <c r="C78" s="1719"/>
      <c r="D78" s="1720"/>
      <c r="E78" s="1721"/>
      <c r="F78" s="1722"/>
      <c r="G78" s="1720"/>
      <c r="H78" s="1723"/>
      <c r="I78" s="1726"/>
      <c r="J78" s="1720"/>
      <c r="K78" s="1721"/>
    </row>
    <row r="79" spans="1:11" ht="11.25" customHeight="1">
      <c r="A79" s="1527" t="s">
        <v>1393</v>
      </c>
      <c r="B79" s="1728"/>
      <c r="C79" s="1729"/>
      <c r="D79" s="1730"/>
      <c r="E79" s="1731"/>
      <c r="F79" s="1732"/>
      <c r="G79" s="1730"/>
      <c r="H79" s="1733"/>
      <c r="I79" s="1724"/>
      <c r="J79" s="1730"/>
      <c r="K79" s="1731"/>
    </row>
    <row r="80" spans="1:11" ht="11.25" customHeight="1">
      <c r="A80" s="1725" t="str">
        <f>$A$10</f>
        <v>Eradication of sanitation backlog</v>
      </c>
      <c r="B80" s="1707"/>
      <c r="C80" s="1719"/>
      <c r="D80" s="1720"/>
      <c r="E80" s="1721"/>
      <c r="F80" s="1722"/>
      <c r="G80" s="1720"/>
      <c r="H80" s="1723"/>
      <c r="I80" s="1726"/>
      <c r="J80" s="1720"/>
      <c r="K80" s="1721"/>
    </row>
    <row r="81" spans="1:11" ht="11.25" customHeight="1">
      <c r="A81" s="1725"/>
      <c r="B81" s="1707"/>
      <c r="C81" s="1719"/>
      <c r="D81" s="1720"/>
      <c r="E81" s="1721"/>
      <c r="F81" s="1722"/>
      <c r="G81" s="1720"/>
      <c r="H81" s="1723"/>
      <c r="I81" s="1726"/>
      <c r="J81" s="1720"/>
      <c r="K81" s="1721"/>
    </row>
    <row r="82" spans="1:11" ht="11.25" customHeight="1">
      <c r="A82" s="1725"/>
      <c r="B82" s="1734"/>
      <c r="C82" s="1735"/>
      <c r="D82" s="1736"/>
      <c r="E82" s="1737"/>
      <c r="F82" s="1738"/>
      <c r="G82" s="1736"/>
      <c r="H82" s="1739"/>
      <c r="I82" s="1740"/>
      <c r="J82" s="1736"/>
      <c r="K82" s="1737"/>
    </row>
    <row r="83" spans="1:11" ht="11.25" customHeight="1">
      <c r="A83" s="1527" t="s">
        <v>1394</v>
      </c>
      <c r="B83" s="1741"/>
      <c r="C83" s="1742"/>
      <c r="D83" s="1743"/>
      <c r="E83" s="1744"/>
      <c r="F83" s="1745"/>
      <c r="G83" s="1743"/>
      <c r="H83" s="1746"/>
      <c r="I83" s="1747"/>
      <c r="J83" s="1743"/>
      <c r="K83" s="1744"/>
    </row>
    <row r="84" spans="1:11" ht="11.25" customHeight="1">
      <c r="A84" s="1725" t="str">
        <f>$A$10</f>
        <v>Eradication of sanitation backlog</v>
      </c>
      <c r="B84" s="1707"/>
      <c r="C84" s="1748"/>
      <c r="D84" s="1749"/>
      <c r="E84" s="1750"/>
      <c r="F84" s="1751"/>
      <c r="G84" s="1749"/>
      <c r="H84" s="1752"/>
      <c r="I84" s="1753"/>
      <c r="J84" s="1749"/>
      <c r="K84" s="1750"/>
    </row>
    <row r="85" spans="1:11" ht="11.25" customHeight="1">
      <c r="A85" s="1725"/>
      <c r="B85" s="1734"/>
      <c r="C85" s="1735"/>
      <c r="D85" s="1736"/>
      <c r="E85" s="1737"/>
      <c r="F85" s="1738"/>
      <c r="G85" s="1736"/>
      <c r="H85" s="1739"/>
      <c r="I85" s="1740"/>
      <c r="J85" s="1736"/>
      <c r="K85" s="1737"/>
    </row>
    <row r="86" spans="1:11" ht="11.25" customHeight="1">
      <c r="A86" s="1725"/>
      <c r="B86" s="1734"/>
      <c r="C86" s="1735"/>
      <c r="D86" s="1736"/>
      <c r="E86" s="1737"/>
      <c r="F86" s="1738"/>
      <c r="G86" s="1736"/>
      <c r="H86" s="1739"/>
      <c r="I86" s="1740"/>
      <c r="J86" s="1736"/>
      <c r="K86" s="1737"/>
    </row>
    <row r="87" spans="1:11" ht="11.25" customHeight="1">
      <c r="A87" s="1718" t="s">
        <v>1395</v>
      </c>
      <c r="B87" s="1754"/>
      <c r="C87" s="1755"/>
      <c r="D87" s="1756"/>
      <c r="E87" s="1757"/>
      <c r="F87" s="1758"/>
      <c r="G87" s="1756"/>
      <c r="H87" s="1759"/>
      <c r="I87" s="1760"/>
      <c r="J87" s="1756"/>
      <c r="K87" s="1757"/>
    </row>
    <row r="88" spans="1:11" ht="11.25" customHeight="1">
      <c r="A88" s="2802" t="s">
        <v>173</v>
      </c>
      <c r="B88" s="2802"/>
      <c r="C88" s="2802"/>
      <c r="D88" s="2802"/>
      <c r="E88" s="2802"/>
      <c r="F88" s="2802"/>
      <c r="G88" s="2802"/>
      <c r="H88" s="2802"/>
      <c r="I88" s="2802"/>
      <c r="J88" s="2802"/>
      <c r="K88" s="2802"/>
    </row>
    <row r="89" spans="1:11" ht="11.25" customHeight="1">
      <c r="A89" s="461" t="s">
        <v>1355</v>
      </c>
      <c r="B89" s="143"/>
      <c r="C89" s="462"/>
      <c r="D89" s="462"/>
      <c r="E89" s="462"/>
      <c r="F89" s="463"/>
      <c r="G89" s="463"/>
      <c r="H89" s="463"/>
      <c r="I89" s="463"/>
      <c r="J89" s="463"/>
      <c r="K89" s="463"/>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5" type="noConversion"/>
  <printOptions horizontalCentered="1"/>
  <pageMargins left="0" right="0" top="0.23" bottom="0.28000000000000003" header="0.23" footer="0.17"/>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42"/>
    <pageSetUpPr fitToPage="1"/>
  </sheetPr>
  <dimension ref="A1:M45"/>
  <sheetViews>
    <sheetView showGridLines="0" workbookViewId="0">
      <pane xSplit="2" ySplit="3" topLeftCell="C16" activePane="bottomRight" state="frozen"/>
      <selection pane="topRight"/>
      <selection pane="bottomLeft"/>
      <selection pane="bottomRight" activeCell="G13" sqref="G13"/>
    </sheetView>
  </sheetViews>
  <sheetFormatPr baseColWidth="10" defaultColWidth="8.83203125" defaultRowHeight="10" x14ac:dyDescent="0"/>
  <cols>
    <col min="1" max="1" width="29.33203125" style="149" customWidth="1"/>
    <col min="2" max="2" width="25.1640625" style="149" customWidth="1"/>
    <col min="3" max="12" width="8.6640625" style="149" customWidth="1"/>
    <col min="13" max="16384" width="8.83203125" style="149"/>
  </cols>
  <sheetData>
    <row r="1" spans="1:12" s="179" customFormat="1" ht="12">
      <c r="A1" s="147" t="str">
        <f>muni&amp;" - "&amp;TableA8</f>
        <v>NW373 Rustenburg - Supporting Table SA8 Performance indicators and benchmarks</v>
      </c>
      <c r="B1" s="147"/>
      <c r="C1" s="147"/>
      <c r="D1" s="147"/>
      <c r="E1" s="147"/>
      <c r="F1" s="147"/>
      <c r="G1" s="147"/>
      <c r="H1" s="147"/>
      <c r="I1" s="147"/>
      <c r="J1" s="147"/>
      <c r="K1" s="147"/>
      <c r="L1" s="147"/>
    </row>
    <row r="2" spans="1:12" ht="28.5" customHeight="1">
      <c r="A2" s="2800" t="s">
        <v>340</v>
      </c>
      <c r="B2" s="2798" t="s">
        <v>1089</v>
      </c>
      <c r="C2" s="145" t="str">
        <f>head1b</f>
        <v>2009/10</v>
      </c>
      <c r="D2" s="150" t="str">
        <f>head1A</f>
        <v>2010/11</v>
      </c>
      <c r="E2" s="146" t="str">
        <f>Head1</f>
        <v>2011/12</v>
      </c>
      <c r="F2" s="2765" t="str">
        <f>Head2</f>
        <v>Current Year 2012/13</v>
      </c>
      <c r="G2" s="2766"/>
      <c r="H2" s="2766"/>
      <c r="I2" s="2766"/>
      <c r="J2" s="2762" t="str">
        <f>Head3</f>
        <v>2013/14 Medium Term Revenue &amp; Expenditure Framework</v>
      </c>
      <c r="K2" s="2763"/>
      <c r="L2" s="2764"/>
    </row>
    <row r="3" spans="1:12" ht="20">
      <c r="A3" s="2801"/>
      <c r="B3" s="2799"/>
      <c r="C3" s="154" t="str">
        <f>Head5</f>
        <v>Audited Outcome</v>
      </c>
      <c r="D3" s="152" t="str">
        <f>Head5</f>
        <v>Audited Outcome</v>
      </c>
      <c r="E3" s="153" t="str">
        <f>Head5</f>
        <v>Audited Outcome</v>
      </c>
      <c r="F3" s="151" t="str">
        <f>Head6</f>
        <v>Original Budget</v>
      </c>
      <c r="G3" s="152" t="str">
        <f>Head7</f>
        <v>Adjusted Budget</v>
      </c>
      <c r="H3" s="153" t="str">
        <f>Head8</f>
        <v>Full Year Forecast</v>
      </c>
      <c r="I3" s="154" t="str">
        <f>Head5b</f>
        <v>Pre-audit outcome</v>
      </c>
      <c r="J3" s="151" t="str">
        <f>Head9</f>
        <v>Budget Year 2013/14</v>
      </c>
      <c r="K3" s="152" t="str">
        <f>Head10</f>
        <v>Budget Year +1 2014/15</v>
      </c>
      <c r="L3" s="153" t="str">
        <f>Head11</f>
        <v>Budget Year +2 2015/16</v>
      </c>
    </row>
    <row r="4" spans="1:12">
      <c r="A4" s="465" t="s">
        <v>794</v>
      </c>
      <c r="B4" s="466"/>
      <c r="C4" s="467"/>
      <c r="D4" s="439"/>
      <c r="E4" s="468"/>
      <c r="F4" s="469"/>
      <c r="G4" s="439"/>
      <c r="H4" s="468"/>
      <c r="I4" s="470"/>
      <c r="J4" s="467"/>
      <c r="K4" s="439"/>
      <c r="L4" s="468"/>
    </row>
    <row r="5" spans="1:12" ht="5.25" customHeight="1">
      <c r="A5" s="477"/>
      <c r="B5" s="471"/>
      <c r="C5" s="472"/>
      <c r="D5" s="473"/>
      <c r="E5" s="474"/>
      <c r="F5" s="475"/>
      <c r="G5" s="473"/>
      <c r="H5" s="474"/>
      <c r="I5" s="476"/>
      <c r="J5" s="472"/>
      <c r="K5" s="473"/>
      <c r="L5" s="474"/>
    </row>
    <row r="6" spans="1:12">
      <c r="A6" s="477" t="s">
        <v>954</v>
      </c>
      <c r="B6" s="471"/>
      <c r="C6" s="2711" t="s">
        <v>4412</v>
      </c>
      <c r="D6" s="2712" t="s">
        <v>4412</v>
      </c>
      <c r="E6" s="2712" t="s">
        <v>4412</v>
      </c>
      <c r="F6" s="2711" t="s">
        <v>4412</v>
      </c>
      <c r="G6" s="2711" t="s">
        <v>4412</v>
      </c>
      <c r="H6" s="2711" t="s">
        <v>4412</v>
      </c>
      <c r="I6" s="2711" t="s">
        <v>4412</v>
      </c>
      <c r="J6" s="478"/>
      <c r="K6" s="479"/>
      <c r="L6" s="480"/>
    </row>
    <row r="7" spans="1:12">
      <c r="A7" s="477" t="s">
        <v>590</v>
      </c>
      <c r="B7" s="471" t="s">
        <v>1449</v>
      </c>
      <c r="C7" s="472">
        <f>IF(ISERROR(('A4-FinPerf RE'!C29-'A7-CFlow'!C33)/'A4-FinPerf RE'!C36),0,(('A4-FinPerf RE'!C29-'A7-CFlow'!C33)/'A4-FinPerf RE'!C36))</f>
        <v>2.7029381387971466E-2</v>
      </c>
      <c r="D7" s="473">
        <f>IF(ISERROR(('A4-FinPerf RE'!D29-'A7-CFlow'!D33)/'A4-FinPerf RE'!D36),0,(('A4-FinPerf RE'!D29-'A7-CFlow'!D33)/'A4-FinPerf RE'!D36))</f>
        <v>2.0728099959037734E-2</v>
      </c>
      <c r="E7" s="474">
        <f>IF(ISERROR(('A4-FinPerf RE'!E29-'A7-CFlow'!E33)/'A4-FinPerf RE'!E36),0,(('A4-FinPerf RE'!E29-'A7-CFlow'!E33)/'A4-FinPerf RE'!E36))</f>
        <v>2.3942827714058101E-2</v>
      </c>
      <c r="F7" s="475">
        <f>IF(ISERROR(('A4-FinPerf RE'!F29-'A7-CFlow'!F33)/'A4-FinPerf RE'!F36),0,(('A4-FinPerf RE'!F29-'A7-CFlow'!F33)/'A4-FinPerf RE'!F36))</f>
        <v>1.6785965937668471E-2</v>
      </c>
      <c r="G7" s="473">
        <f>IF(ISERROR(('A4-FinPerf RE'!G29-'A7-CFlow'!G33)/'A4-FinPerf RE'!G36),0,(('A4-FinPerf RE'!G29-'A7-CFlow'!G33)/'A4-FinPerf RE'!G36))</f>
        <v>1.5255657472150335E-2</v>
      </c>
      <c r="H7" s="474">
        <f>IF(ISERROR(('A4-FinPerf RE'!H29-'A7-CFlow'!H33)/'A4-FinPerf RE'!H36),0,(('A4-FinPerf RE'!H29-'A7-CFlow'!H33)/'A4-FinPerf RE'!H36))</f>
        <v>1.5255657472150335E-2</v>
      </c>
      <c r="I7" s="476">
        <f>IF(ISERROR(('A4-FinPerf RE'!I29-'A7-CFlow'!I33)/'A4-FinPerf RE'!I36),0,(('A4-FinPerf RE'!I29-'A7-CFlow'!I33)/'A4-FinPerf RE'!I36))</f>
        <v>1.5255657472150335E-2</v>
      </c>
      <c r="J7" s="472">
        <f>IF(ISERROR(('A4-FinPerf RE'!J29-'A7-CFlow'!J33)/'A4-FinPerf RE'!J36),0,(('A4-FinPerf RE'!J29-'A7-CFlow'!J33)/'A4-FinPerf RE'!J36))</f>
        <v>3.565112092819555E-2</v>
      </c>
      <c r="K7" s="473">
        <f>IF(ISERROR(('A4-FinPerf RE'!K29-'A7-CFlow'!K33)/'A4-FinPerf RE'!K36),0,(('A4-FinPerf RE'!K29-'A7-CFlow'!K33)/'A4-FinPerf RE'!K36))</f>
        <v>3.5635794055932313E-2</v>
      </c>
      <c r="L7" s="474">
        <f>IF(ISERROR(('A4-FinPerf RE'!L29-'A7-CFlow'!L33)/'A4-FinPerf RE'!L36),0,(('A4-FinPerf RE'!L29-'A7-CFlow'!L33)/'A4-FinPerf RE'!L36))</f>
        <v>4.7690311579381854E-2</v>
      </c>
    </row>
    <row r="8" spans="1:12" ht="20">
      <c r="A8" s="477" t="s">
        <v>2205</v>
      </c>
      <c r="B8" s="471" t="s">
        <v>2217</v>
      </c>
      <c r="C8" s="472">
        <f>IF(ISERROR(('A4-FinPerf RE'!C29-'A7-CFlow'!C33)/('A4-FinPerf RE'!C22-'A4-FinPerf RE'!C19)),0,(('A4-FinPerf RE'!C29-'A7-CFlow'!C33)/('A4-FinPerf RE'!C22-'A4-FinPerf RE'!C19)))</f>
        <v>3.1608377276512244E-2</v>
      </c>
      <c r="D8" s="473">
        <f>IF(ISERROR(('A4-FinPerf RE'!D29-'A7-CFlow'!D33)/('A4-FinPerf RE'!D22-'A4-FinPerf RE'!D19)),0,(('A4-FinPerf RE'!D29-'A7-CFlow'!D33)/('A4-FinPerf RE'!D22-'A4-FinPerf RE'!D19)))</f>
        <v>2.6068956723080638E-2</v>
      </c>
      <c r="E8" s="474">
        <f>IF(ISERROR(('A4-FinPerf RE'!E29-'A7-CFlow'!E33)/('A4-FinPerf RE'!E22-'A4-FinPerf RE'!E19)),0,(('A4-FinPerf RE'!E29-'A7-CFlow'!E33)/('A4-FinPerf RE'!E22-'A4-FinPerf RE'!E19)))</f>
        <v>3.0749889021714178E-2</v>
      </c>
      <c r="F8" s="475">
        <f>IF(ISERROR(('A4-FinPerf RE'!F29-'A7-CFlow'!F33)/('A4-FinPerf RE'!F22-'A4-FinPerf RE'!F19)),0,(('A4-FinPerf RE'!F29-'A7-CFlow'!F33)/('A4-FinPerf RE'!F22-'A4-FinPerf RE'!F19)))</f>
        <v>1.7992937002098731E-2</v>
      </c>
      <c r="G8" s="473">
        <f>IF(ISERROR(('A4-FinPerf RE'!G29-'A7-CFlow'!G33)/('A4-FinPerf RE'!G22-'A4-FinPerf RE'!G19)),0,(('A4-FinPerf RE'!G29-'A7-CFlow'!G33)/('A4-FinPerf RE'!G22-'A4-FinPerf RE'!G19)))</f>
        <v>1.6891075573398577E-2</v>
      </c>
      <c r="H8" s="474">
        <f>IF(ISERROR(('A4-FinPerf RE'!H29-'A7-CFlow'!H33)/('A4-FinPerf RE'!H22-'A4-FinPerf RE'!H19)),0,(('A4-FinPerf RE'!H29-'A7-CFlow'!H33)/('A4-FinPerf RE'!H22-'A4-FinPerf RE'!H19)))</f>
        <v>1.6891075573398577E-2</v>
      </c>
      <c r="I8" s="476">
        <f>IF(ISERROR(('A4-FinPerf RE'!I29-'A7-CFlow'!I33)/('A4-FinPerf RE'!I22-'A4-FinPerf RE'!I19)),0,(('A4-FinPerf RE'!I29-'A7-CFlow'!I33)/('A4-FinPerf RE'!I22-'A4-FinPerf RE'!I19)))</f>
        <v>1.6891075573398577E-2</v>
      </c>
      <c r="J8" s="472">
        <f>IF(ISERROR(('A4-FinPerf RE'!J29-'A7-CFlow'!J33)/('A4-FinPerf RE'!J22-'A4-FinPerf RE'!J19)),0,(('A4-FinPerf RE'!J29-'A7-CFlow'!J33)/('A4-FinPerf RE'!J22-'A4-FinPerf RE'!J19)))</f>
        <v>4.0480449212162137E-2</v>
      </c>
      <c r="K8" s="473">
        <f>IF(ISERROR(('A4-FinPerf RE'!K29-'A7-CFlow'!K33)/('A4-FinPerf RE'!K22-'A4-FinPerf RE'!K19)),0,(('A4-FinPerf RE'!K29-'A7-CFlow'!K33)/('A4-FinPerf RE'!K22-'A4-FinPerf RE'!K19)))</f>
        <v>4.0444705379141223E-2</v>
      </c>
      <c r="L8" s="474">
        <f>IF(ISERROR(('A4-FinPerf RE'!L29-'A7-CFlow'!L33)/('A4-FinPerf RE'!L22-'A4-FinPerf RE'!L19)),0,(('A4-FinPerf RE'!L29-'A7-CFlow'!L33)/('A4-FinPerf RE'!L22-'A4-FinPerf RE'!L19)))</f>
        <v>5.3947380005491812E-2</v>
      </c>
    </row>
    <row r="9" spans="1:12" ht="20">
      <c r="A9" s="477" t="s">
        <v>912</v>
      </c>
      <c r="B9" s="471" t="s">
        <v>372</v>
      </c>
      <c r="C9" s="472">
        <f>IF(ISERROR(C45/C44),0,(C45/C44))</f>
        <v>0</v>
      </c>
      <c r="D9" s="473">
        <f>IF(ISERROR(D45/D44),0,(D45/D44))</f>
        <v>0</v>
      </c>
      <c r="E9" s="474">
        <f t="shared" ref="E9:L9" si="0">IF(ISERROR(E45/E44),0,(E45/E44))</f>
        <v>0</v>
      </c>
      <c r="F9" s="475">
        <f t="shared" si="0"/>
        <v>0</v>
      </c>
      <c r="G9" s="473">
        <f t="shared" si="0"/>
        <v>0</v>
      </c>
      <c r="H9" s="474">
        <f t="shared" si="0"/>
        <v>0</v>
      </c>
      <c r="I9" s="476">
        <f t="shared" si="0"/>
        <v>0</v>
      </c>
      <c r="J9" s="472">
        <f t="shared" si="0"/>
        <v>0.59268032192966513</v>
      </c>
      <c r="K9" s="473">
        <f t="shared" si="0"/>
        <v>0.6694708225276883</v>
      </c>
      <c r="L9" s="474">
        <f t="shared" si="0"/>
        <v>0.16988731837501236</v>
      </c>
    </row>
    <row r="10" spans="1:12">
      <c r="A10" s="481" t="s">
        <v>347</v>
      </c>
      <c r="B10" s="471"/>
      <c r="C10" s="482"/>
      <c r="D10" s="483"/>
      <c r="E10" s="484"/>
      <c r="F10" s="485"/>
      <c r="G10" s="483"/>
      <c r="H10" s="484"/>
      <c r="I10" s="486"/>
      <c r="J10" s="482"/>
      <c r="K10" s="483"/>
      <c r="L10" s="484"/>
    </row>
    <row r="11" spans="1:12">
      <c r="A11" s="477" t="s">
        <v>346</v>
      </c>
      <c r="B11" s="471" t="s">
        <v>295</v>
      </c>
      <c r="C11" s="472">
        <f>IF(ISERROR(('A6-FinPos'!C37/'A6-FinPos'!C46)),0,(('A6-FinPos'!C37/'A6-FinPos'!C46)))</f>
        <v>0.299761403987723</v>
      </c>
      <c r="D11" s="473">
        <f>IF(ISERROR(('A6-FinPos'!D37/'A6-FinPos'!D46)),0,(('A6-FinPos'!D37/'A6-FinPos'!D46)))</f>
        <v>0.20725642921708315</v>
      </c>
      <c r="E11" s="474">
        <f>IF(ISERROR(('A6-FinPos'!E37/'A6-FinPos'!E46)),0,(('A6-FinPos'!E37/'A6-FinPos'!E46)))</f>
        <v>0.18319802593726753</v>
      </c>
      <c r="F11" s="475">
        <f>IF(ISERROR(('A6-FinPos'!F37/'A6-FinPos'!F46)),0,(('A6-FinPos'!F37/'A6-FinPos'!F46)))</f>
        <v>0.25036398858708797</v>
      </c>
      <c r="G11" s="473">
        <f>IF(ISERROR(('A6-FinPos'!G37/'A6-FinPos'!G46)),0,(('A6-FinPos'!G37/'A6-FinPos'!G46)))</f>
        <v>0.22476122954784944</v>
      </c>
      <c r="H11" s="474">
        <f>IF(ISERROR(('A6-FinPos'!H37/'A6-FinPos'!H46)),0,(('A6-FinPos'!H37/'A6-FinPos'!H46)))</f>
        <v>0.22476122954784944</v>
      </c>
      <c r="I11" s="476">
        <f>IF(ISERROR(('A6-FinPos'!I37/'A6-FinPos'!I46)),0,(('A6-FinPos'!I37/'A6-FinPos'!I46)))</f>
        <v>0.22476122954784944</v>
      </c>
      <c r="J11" s="472">
        <f>IF(ISERROR(('A6-FinPos'!J37/'A6-FinPos'!J46)),0,(('A6-FinPos'!J37/'A6-FinPos'!J46)))</f>
        <v>1.0396125156261646</v>
      </c>
      <c r="K11" s="473">
        <f>IF(ISERROR(('A6-FinPos'!K37/'A6-FinPos'!K46)),0,(('A6-FinPos'!K37/'A6-FinPos'!K46)))</f>
        <v>1.000237556082157</v>
      </c>
      <c r="L11" s="474">
        <f>IF(ISERROR(('A6-FinPos'!L37/'A6-FinPos'!L46)),0,(('A6-FinPos'!L37/'A6-FinPos'!L46)))</f>
        <v>0.96198112341184838</v>
      </c>
    </row>
    <row r="12" spans="1:12">
      <c r="A12" s="481" t="s">
        <v>348</v>
      </c>
      <c r="B12" s="471"/>
      <c r="C12" s="482"/>
      <c r="D12" s="483"/>
      <c r="E12" s="484"/>
      <c r="F12" s="485"/>
      <c r="G12" s="483"/>
      <c r="H12" s="484"/>
      <c r="I12" s="486"/>
      <c r="J12" s="482"/>
      <c r="K12" s="483"/>
      <c r="L12" s="484"/>
    </row>
    <row r="13" spans="1:12">
      <c r="A13" s="477" t="s">
        <v>591</v>
      </c>
      <c r="B13" s="471" t="s">
        <v>1453</v>
      </c>
      <c r="C13" s="487">
        <f>IF(ISERROR('A6-FinPos'!C12/'A6-FinPos'!C34),0,('A6-FinPos'!C12/'A6-FinPos'!C34))</f>
        <v>2.0067892359063646</v>
      </c>
      <c r="D13" s="488">
        <f>IF(ISERROR('A6-FinPos'!D12/'A6-FinPos'!D34),0,('A6-FinPos'!D12/'A6-FinPos'!D34))</f>
        <v>1.9344056545647403</v>
      </c>
      <c r="E13" s="489">
        <f>IF(ISERROR('A6-FinPos'!E12/'A6-FinPos'!E34),0,('A6-FinPos'!E12/'A6-FinPos'!E34))</f>
        <v>1.880941440581799</v>
      </c>
      <c r="F13" s="490">
        <f>IF(ISERROR('A6-FinPos'!F12/'A6-FinPos'!F34),0,('A6-FinPos'!F12/'A6-FinPos'!F34))</f>
        <v>3.1358799811552767</v>
      </c>
      <c r="G13" s="488">
        <f>IF(ISERROR('A6-FinPos'!G12/'A6-FinPos'!G34),0,('A6-FinPos'!G12/'A6-FinPos'!G34))</f>
        <v>4.4933709623894718</v>
      </c>
      <c r="H13" s="489">
        <f>IF(ISERROR('A6-FinPos'!H12/'A6-FinPos'!H34),0,('A6-FinPos'!H12/'A6-FinPos'!H34))</f>
        <v>5.9291940206131004</v>
      </c>
      <c r="I13" s="491">
        <f>IF(ISERROR('A6-FinPos'!I12/'A6-FinPos'!I34),0,('A6-FinPos'!I12/'A6-FinPos'!I34))</f>
        <v>5.9291940206131004</v>
      </c>
      <c r="J13" s="487">
        <f>IF(ISERROR('A6-FinPos'!J12/'A6-FinPos'!J34),0,('A6-FinPos'!J12/'A6-FinPos'!J34))</f>
        <v>4.3792131824429941</v>
      </c>
      <c r="K13" s="488">
        <f>IF(ISERROR('A6-FinPos'!K12/'A6-FinPos'!K34),0,('A6-FinPos'!K12/'A6-FinPos'!K34))</f>
        <v>2.2409044982016733</v>
      </c>
      <c r="L13" s="489">
        <f>IF(ISERROR('A6-FinPos'!L12/'A6-FinPos'!L34),0,('A6-FinPos'!L12/'A6-FinPos'!L34))</f>
        <v>2.7153872058996988</v>
      </c>
    </row>
    <row r="14" spans="1:12" ht="20">
      <c r="A14" s="477" t="s">
        <v>1450</v>
      </c>
      <c r="B14" s="471" t="s">
        <v>1397</v>
      </c>
      <c r="C14" s="487">
        <f>IF(ISERROR(('A6-FinPos'!C12-'SA8'!C41)/'A6-FinPos'!C34),0,(('A6-FinPos'!C12-'SA8'!C41)/'A6-FinPos'!C34))</f>
        <v>2.0067892359063646</v>
      </c>
      <c r="D14" s="488">
        <f>IF(ISERROR(('A6-FinPos'!D12-'SA8'!D41)/'A6-FinPos'!D34),0,(('A6-FinPos'!D12-'SA8'!D41)/'A6-FinPos'!D34))</f>
        <v>1.9344056545647403</v>
      </c>
      <c r="E14" s="489">
        <f>IF(ISERROR(('A6-FinPos'!E12-'SA8'!E41)/'A6-FinPos'!E34),0,(('A6-FinPos'!E12-'SA8'!E41)/'A6-FinPos'!E34))</f>
        <v>1.880941440581799</v>
      </c>
      <c r="F14" s="490">
        <f>IF(ISERROR(('A6-FinPos'!F12-'SA8'!F41)/'A6-FinPos'!F34),0,(('A6-FinPos'!F12-'SA8'!F41)/'A6-FinPos'!F34))</f>
        <v>3.1358799811552767</v>
      </c>
      <c r="G14" s="488">
        <f>IF(ISERROR(('A6-FinPos'!G12-'SA8'!G41)/'A6-FinPos'!G34),0,(('A6-FinPos'!G12-'SA8'!G41)/'A6-FinPos'!G34))</f>
        <v>4.4933709623894718</v>
      </c>
      <c r="H14" s="489">
        <f>IF(ISERROR(('A6-FinPos'!H12-'SA8'!H41)/'A6-FinPos'!H34),0,(('A6-FinPos'!H12-'SA8'!H41)/'A6-FinPos'!H34))</f>
        <v>5.9291940206131004</v>
      </c>
      <c r="I14" s="491">
        <f>IF(ISERROR(('A6-FinPos'!I12-'SA8'!I41)/'A6-FinPos'!I34),0,(('A6-FinPos'!I12-'SA8'!I41)/'A6-FinPos'!I34))</f>
        <v>5.9291940206131004</v>
      </c>
      <c r="J14" s="487">
        <f>IF(ISERROR(('A6-FinPos'!J12-'SA8'!J41)/'A6-FinPos'!J34),0,(('A6-FinPos'!J12-'SA8'!J41)/'A6-FinPos'!J34))</f>
        <v>4.3792131824429941</v>
      </c>
      <c r="K14" s="488">
        <f>IF(ISERROR(('A6-FinPos'!K12-'SA8'!K41)/'A6-FinPos'!K34),0,(('A6-FinPos'!K12-'SA8'!K41)/'A6-FinPos'!K34))</f>
        <v>2.2409044982016733</v>
      </c>
      <c r="L14" s="489">
        <f>IF(ISERROR(('A6-FinPos'!L12-'SA8'!L41)/'A6-FinPos'!L34),0,(('A6-FinPos'!L12-'SA8'!L41)/'A6-FinPos'!L34))</f>
        <v>2.7153872058996988</v>
      </c>
    </row>
    <row r="15" spans="1:12">
      <c r="A15" s="477" t="s">
        <v>349</v>
      </c>
      <c r="B15" s="471" t="s">
        <v>898</v>
      </c>
      <c r="C15" s="487">
        <f>IF(ISERROR(('A6-FinPos'!C6+'A6-FinPos'!C7)/'A6-FinPos'!C34),0,(('A6-FinPos'!C6+'A6-FinPos'!C7)/'A6-FinPos'!C34))</f>
        <v>1.3400744127738942</v>
      </c>
      <c r="D15" s="488">
        <f>IF(ISERROR(('A6-FinPos'!D6+'A6-FinPos'!D7)/'A6-FinPos'!D34),0,(('A6-FinPos'!D6+'A6-FinPos'!D7)/'A6-FinPos'!D34))</f>
        <v>1.6263264949538931</v>
      </c>
      <c r="E15" s="489">
        <f>IF(ISERROR(('A6-FinPos'!E6+'A6-FinPos'!E7)/'A6-FinPos'!E34),0,(('A6-FinPos'!E6+'A6-FinPos'!E7)/'A6-FinPos'!E34))</f>
        <v>1.226633992814288</v>
      </c>
      <c r="F15" s="490">
        <f>IF(ISERROR(('A6-FinPos'!F6+'A6-FinPos'!F7)/'A6-FinPos'!F34),0,(('A6-FinPos'!F6+'A6-FinPos'!F7)/'A6-FinPos'!F34))</f>
        <v>2.5376063335642236</v>
      </c>
      <c r="G15" s="488">
        <f>IF(ISERROR(('A6-FinPos'!G6+'A6-FinPos'!G7)/'A6-FinPos'!G34),0,(('A6-FinPos'!G6+'A6-FinPos'!G7)/'A6-FinPos'!G34))</f>
        <v>3.2436539853806372</v>
      </c>
      <c r="H15" s="489">
        <f>IF(ISERROR(('A6-FinPos'!H6+'A6-FinPos'!H7)/'A6-FinPos'!H34),0,(('A6-FinPos'!H6+'A6-FinPos'!H7)/'A6-FinPos'!H34))</f>
        <v>4.4349121285273112</v>
      </c>
      <c r="I15" s="491">
        <f>IF(ISERROR(('A6-FinPos'!I6+'A6-FinPos'!I7)/'A6-FinPos'!I34),0,(('A6-FinPos'!I6+'A6-FinPos'!I7)/'A6-FinPos'!I34))</f>
        <v>4.4349121285273112</v>
      </c>
      <c r="J15" s="487">
        <f>IF(ISERROR(('A6-FinPos'!J6+'A6-FinPos'!J7)/'A6-FinPos'!J34),0,(('A6-FinPos'!J6+'A6-FinPos'!J7)/'A6-FinPos'!J34))</f>
        <v>3.3713541765868125</v>
      </c>
      <c r="K15" s="488">
        <f>IF(ISERROR(('A6-FinPos'!K6+'A6-FinPos'!K7)/'A6-FinPos'!K34),0,(('A6-FinPos'!K6+'A6-FinPos'!K7)/'A6-FinPos'!K34))</f>
        <v>1.5579582064429862</v>
      </c>
      <c r="L15" s="489">
        <f>IF(ISERROR(('A6-FinPos'!L6+'A6-FinPos'!L7)/'A6-FinPos'!L34),0,(('A6-FinPos'!L6+'A6-FinPos'!L7)/'A6-FinPos'!L34))</f>
        <v>1.8567673932736735</v>
      </c>
    </row>
    <row r="16" spans="1:12">
      <c r="A16" s="481" t="s">
        <v>899</v>
      </c>
      <c r="B16" s="471"/>
      <c r="C16" s="492"/>
      <c r="D16" s="493"/>
      <c r="E16" s="494"/>
      <c r="F16" s="495"/>
      <c r="G16" s="493"/>
      <c r="H16" s="494"/>
      <c r="I16" s="496"/>
      <c r="J16" s="492"/>
      <c r="K16" s="493"/>
      <c r="L16" s="494"/>
    </row>
    <row r="17" spans="1:13">
      <c r="A17" s="477" t="s">
        <v>900</v>
      </c>
      <c r="B17" s="471" t="s">
        <v>1398</v>
      </c>
      <c r="C17" s="497"/>
      <c r="D17" s="498">
        <f>IF(ISERROR(('A7-CFlow'!C6+'A7-CFlow'!C20+'A7-CFlow'!C21)/(SUM('A4-FinPerf RE'!C5:C12)+'A4-FinPerf RE'!C14+SUM('A4-FinPerf RE'!C16:C18)+'A4-FinPerf RE'!C20)),0,(('A7-CFlow'!C6+'A7-CFlow'!C20+'A7-CFlow'!C21)/(SUM('A4-FinPerf RE'!C5:C12)+'A4-FinPerf RE'!C14+SUM('A4-FinPerf RE'!C16:C18)+'A4-FinPerf RE'!C20)))</f>
        <v>0.88846186591780996</v>
      </c>
      <c r="E17" s="498">
        <f>IF(ISERROR(('A7-CFlow'!D6+'A7-CFlow'!D20+'A7-CFlow'!D21)/(SUM('A4-FinPerf RE'!D5:D12)+'A4-FinPerf RE'!D14+SUM('A4-FinPerf RE'!D16:D18)+'A4-FinPerf RE'!D20)),0,(('A7-CFlow'!D6+'A7-CFlow'!D20+'A7-CFlow'!D21)/(SUM('A4-FinPerf RE'!D5:D12)+'A4-FinPerf RE'!D14+SUM('A4-FinPerf RE'!D16:D18)+'A4-FinPerf RE'!D20)))</f>
        <v>0.76032492218110115</v>
      </c>
      <c r="F17" s="500">
        <f>IF(ISERROR(('A7-CFlow'!E6+'A7-CFlow'!E20+'A7-CFlow'!E21)/(SUM('A4-FinPerf RE'!E5:E12)+'A4-FinPerf RE'!E14+SUM('A4-FinPerf RE'!E16:E18)+'A4-FinPerf RE'!E20)),0,(('A7-CFlow'!E6+'A7-CFlow'!E20+'A7-CFlow'!E21)/(SUM('A4-FinPerf RE'!E5:E12)+'A4-FinPerf RE'!E14+SUM('A4-FinPerf RE'!E16:E18)+'A4-FinPerf RE'!E20)))</f>
        <v>0.92709824563532961</v>
      </c>
      <c r="G17" s="498">
        <f>IF(ISERROR(('A7-CFlow'!F6+'A7-CFlow'!F20+'A7-CFlow'!F21)/(SUM('A4-FinPerf RE'!F5:F12)+'A4-FinPerf RE'!F14+SUM('A4-FinPerf RE'!F16:F18)+'A4-FinPerf RE'!F20)),0,(('A7-CFlow'!F6+'A7-CFlow'!F20+'A7-CFlow'!F21)/(SUM('A4-FinPerf RE'!F5:F12)+'A4-FinPerf RE'!F14+SUM('A4-FinPerf RE'!F16:F18)+'A4-FinPerf RE'!F20)))</f>
        <v>0.86710367156287482</v>
      </c>
      <c r="H17" s="499">
        <f>IF(ISERROR(('A7-CFlow'!G6+'A7-CFlow'!G20+'A7-CFlow'!G21)/(SUM('A4-FinPerf RE'!G5:G12)+'A4-FinPerf RE'!G14+SUM('A4-FinPerf RE'!G16:G18)+'A4-FinPerf RE'!G20)),0,(('A7-CFlow'!G6+'A7-CFlow'!G20+'A7-CFlow'!G21)/(SUM('A4-FinPerf RE'!G5:G12)+'A4-FinPerf RE'!G14+SUM('A4-FinPerf RE'!G16:G18)+'A4-FinPerf RE'!G20)))</f>
        <v>0.86426997061037603</v>
      </c>
      <c r="I17" s="501">
        <f>IF(ISERROR(('A7-CFlow'!H6+'A7-CFlow'!H20+'A7-CFlow'!H21)/(SUM('A4-FinPerf RE'!H5:H12)+'A4-FinPerf RE'!H14+SUM('A4-FinPerf RE'!H16:H18)+'A4-FinPerf RE'!H20)),0,(('A7-CFlow'!H6+'A7-CFlow'!H20+'A7-CFlow'!H21)/(SUM('A4-FinPerf RE'!H5:H12)+'A4-FinPerf RE'!H14+SUM('A4-FinPerf RE'!H16:H18)+'A4-FinPerf RE'!H20)))</f>
        <v>0.86426997061037603</v>
      </c>
      <c r="J17" s="497">
        <f>IF(ISERROR(('A7-CFlow'!I6+'A7-CFlow'!I20+'A7-CFlow'!I21)/(SUM('A4-FinPerf RE'!I5:I12)+'A4-FinPerf RE'!I14+SUM('A4-FinPerf RE'!I16:I18)+'A4-FinPerf RE'!I20)),0,(('A7-CFlow'!I6+'A7-CFlow'!I20+'A7-CFlow'!I21)/(SUM('A4-FinPerf RE'!I5:I12)+'A4-FinPerf RE'!I14+SUM('A4-FinPerf RE'!I16:I18)+'A4-FinPerf RE'!I20)))</f>
        <v>0.86426997061037603</v>
      </c>
      <c r="K17" s="498">
        <f>IF(ISERROR(('A7-CFlow'!J6+'A7-CFlow'!J20+'A7-CFlow'!J21)/(SUM('A4-FinPerf RE'!J5:J12)+'A4-FinPerf RE'!J14+SUM('A4-FinPerf RE'!J16:J18)+'A4-FinPerf RE'!J20)),0,(('A7-CFlow'!J6+'A7-CFlow'!J20+'A7-CFlow'!J21)/(SUM('A4-FinPerf RE'!J5:J12)+'A4-FinPerf RE'!J14+SUM('A4-FinPerf RE'!J16:J18)+'A4-FinPerf RE'!J20)))</f>
        <v>0.93644056126626851</v>
      </c>
      <c r="L17" s="499">
        <f>IF(ISERROR(('A7-CFlow'!K6+'A7-CFlow'!K20+'A7-CFlow'!K21)/(SUM('A4-FinPerf RE'!K5:K12)+'A4-FinPerf RE'!K14+SUM('A4-FinPerf RE'!K16:K18)+'A4-FinPerf RE'!K20)),0,(('A7-CFlow'!K6+'A7-CFlow'!K20+'A7-CFlow'!K21)/(SUM('A4-FinPerf RE'!K5:K12)+'A4-FinPerf RE'!K14+SUM('A4-FinPerf RE'!K16:K18)+'A4-FinPerf RE'!K20)))</f>
        <v>0.95490711895433622</v>
      </c>
    </row>
    <row r="18" spans="1:13" ht="25.5" customHeight="1">
      <c r="A18" s="477" t="s">
        <v>2255</v>
      </c>
      <c r="B18" s="471"/>
      <c r="C18" s="497"/>
      <c r="D18" s="498">
        <f>IF(ISERROR(('A7-CFlow'!C6)/(SUM('A4-FinPerf RE'!C5:C12)+'A4-FinPerf RE'!C14+SUM('A4-FinPerf RE'!C16:C18)+'A4-FinPerf RE'!C20)),0,(('A7-CFlow'!C6)/(SUM('A4-FinPerf RE'!C5:C12)+'A4-FinPerf RE'!C14+SUM('A4-FinPerf RE'!C16:C18)+'A4-FinPerf RE'!C20)))</f>
        <v>0.88781854765905932</v>
      </c>
      <c r="E18" s="501">
        <f>IF(ISERROR(('A7-CFlow'!D6)/(SUM('A4-FinPerf RE'!D5:D12)+'A4-FinPerf RE'!D14+SUM('A4-FinPerf RE'!D16:D18)+'A4-FinPerf RE'!D20)),0,(('A7-CFlow'!D6)/(SUM('A4-FinPerf RE'!D5:D12)+'A4-FinPerf RE'!D14+SUM('A4-FinPerf RE'!D16:D18)+'A4-FinPerf RE'!D20)))</f>
        <v>0.75869191942610426</v>
      </c>
      <c r="F18" s="500">
        <f>IF(ISERROR(('A7-CFlow'!E6)/(SUM('A4-FinPerf RE'!E5:E12)+'A4-FinPerf RE'!E14+SUM('A4-FinPerf RE'!E16:E18)+'A4-FinPerf RE'!E20)),0,(('A7-CFlow'!E6)/(SUM('A4-FinPerf RE'!E5:E12)+'A4-FinPerf RE'!E14+SUM('A4-FinPerf RE'!E16:E18)+'A4-FinPerf RE'!E20)))</f>
        <v>0.92709824563532961</v>
      </c>
      <c r="G18" s="498">
        <f>IF(ISERROR(('A7-CFlow'!F6)/(SUM('A4-FinPerf RE'!F5:F12)+'A4-FinPerf RE'!F14+SUM('A4-FinPerf RE'!F16:F18)+'A4-FinPerf RE'!F20)),0,(('A7-CFlow'!F6)/(SUM('A4-FinPerf RE'!F5:F12)+'A4-FinPerf RE'!F14+SUM('A4-FinPerf RE'!F16:F18)+'A4-FinPerf RE'!F20)))</f>
        <v>0.86643634340211328</v>
      </c>
      <c r="H18" s="499">
        <f>IF(ISERROR(('A7-CFlow'!G6)/(SUM('A4-FinPerf RE'!G5:G12)+'A4-FinPerf RE'!G14+SUM('A4-FinPerf RE'!G16:G18)+'A4-FinPerf RE'!G20)),0,(('A7-CFlow'!G6)/(SUM('A4-FinPerf RE'!G5:G12)+'A4-FinPerf RE'!G14+SUM('A4-FinPerf RE'!G16:G18)+'A4-FinPerf RE'!G20)))</f>
        <v>0.86360215347858937</v>
      </c>
      <c r="I18" s="501">
        <f>IF(ISERROR(('A7-CFlow'!H6)/(SUM('A4-FinPerf RE'!H5:H12)+'A4-FinPerf RE'!H14+SUM('A4-FinPerf RE'!H16:H18)+'A4-FinPerf RE'!H20)),0,(('A7-CFlow'!H6)/(SUM('A4-FinPerf RE'!H5:H12)+'A4-FinPerf RE'!H14+SUM('A4-FinPerf RE'!H16:H18)+'A4-FinPerf RE'!H20)))</f>
        <v>0.86360215347858937</v>
      </c>
      <c r="J18" s="497">
        <f>IF(ISERROR(('A7-CFlow'!I6)/(SUM('A4-FinPerf RE'!I5:I12)+'A4-FinPerf RE'!I14+SUM('A4-FinPerf RE'!I16:I18)+'A4-FinPerf RE'!I20)),0,(('A7-CFlow'!I6)/(SUM('A4-FinPerf RE'!I5:I12)+'A4-FinPerf RE'!I14+SUM('A4-FinPerf RE'!I16:I18)+'A4-FinPerf RE'!I20)))</f>
        <v>0.86360215347858937</v>
      </c>
      <c r="K18" s="498">
        <f>IF(ISERROR(('A7-CFlow'!J6)/(SUM('A4-FinPerf RE'!J5:J12)+'A4-FinPerf RE'!J14+SUM('A4-FinPerf RE'!J16:J18)+'A4-FinPerf RE'!J20)),0,(('A7-CFlow'!J6)/(SUM('A4-FinPerf RE'!J5:J12)+'A4-FinPerf RE'!J14+SUM('A4-FinPerf RE'!J16:J18)+'A4-FinPerf RE'!J20)))</f>
        <v>0.93644056126626851</v>
      </c>
      <c r="L18" s="499">
        <f>IF(ISERROR(('A7-CFlow'!K6)/(SUM('A4-FinPerf RE'!K5:K12)+'A4-FinPerf RE'!K14+SUM('A4-FinPerf RE'!K16:K18)+'A4-FinPerf RE'!K20)),0,(('A7-CFlow'!K6)/(SUM('A4-FinPerf RE'!K5:K12)+'A4-FinPerf RE'!K14+SUM('A4-FinPerf RE'!K16:K18)+'A4-FinPerf RE'!K20)))</f>
        <v>0.95490711895433622</v>
      </c>
    </row>
    <row r="19" spans="1:13">
      <c r="A19" s="477" t="s">
        <v>491</v>
      </c>
      <c r="B19" s="471" t="s">
        <v>1361</v>
      </c>
      <c r="C19" s="472">
        <f>IF(ISERROR(('A6-FinPos'!C8+'A6-FinPos'!C9+'A6-FinPos'!C10+'A6-FinPos'!C15)/'A4-FinPerf RE'!C22),0,(('A6-FinPos'!C8+'A6-FinPos'!C9+'A6-FinPos'!C10+'A6-FinPos'!C15)/'A4-FinPerf RE'!C22))</f>
        <v>0.12039496346122888</v>
      </c>
      <c r="D19" s="473">
        <f>IF(ISERROR(('A6-FinPos'!D8+'A6-FinPos'!D9+'A6-FinPos'!D10+'A6-FinPos'!D15)/'A4-FinPerf RE'!D22),0,(('A6-FinPos'!D8+'A6-FinPos'!D9+'A6-FinPos'!D10+'A6-FinPos'!D15)/'A4-FinPerf RE'!D22))</f>
        <v>5.1179556450875893E-2</v>
      </c>
      <c r="E19" s="474">
        <f>IF(ISERROR(('A6-FinPos'!E8+'A6-FinPos'!E9+'A6-FinPos'!E10+'A6-FinPos'!E15)/'A4-FinPerf RE'!E22),0,(('A6-FinPos'!E8+'A6-FinPos'!E9+'A6-FinPos'!E10+'A6-FinPos'!E15)/'A4-FinPerf RE'!E22))</f>
        <v>0.20767212330324775</v>
      </c>
      <c r="F19" s="475">
        <f>IF(ISERROR(('A6-FinPos'!F8+'A6-FinPos'!F9+'A6-FinPos'!F10+'A6-FinPos'!F15)/'A4-FinPerf RE'!F22),0,(('A6-FinPos'!F8+'A6-FinPos'!F9+'A6-FinPos'!F10+'A6-FinPos'!F15)/'A4-FinPerf RE'!F22))</f>
        <v>9.2140884821110325E-2</v>
      </c>
      <c r="G19" s="473">
        <f>IF(ISERROR(('A6-FinPos'!G8+'A6-FinPos'!G9+'A6-FinPos'!G10+'A6-FinPos'!G15)/'A4-FinPerf RE'!G22),0,(('A6-FinPos'!G8+'A6-FinPos'!G9+'A6-FinPos'!G10+'A6-FinPos'!G15)/'A4-FinPerf RE'!G22))</f>
        <v>0.10830481649426042</v>
      </c>
      <c r="H19" s="474">
        <f>IF(ISERROR(('A6-FinPos'!H8+'A6-FinPos'!H9+'A6-FinPos'!H10+'A6-FinPos'!H15)/'A4-FinPerf RE'!H22),0,(('A6-FinPos'!H8+'A6-FinPos'!H9+'A6-FinPos'!H10+'A6-FinPos'!H15)/'A4-FinPerf RE'!H22))</f>
        <v>0.13065723321832079</v>
      </c>
      <c r="I19" s="476">
        <f>IF(ISERROR(('A6-FinPos'!I8+'A6-FinPos'!I9+'A6-FinPos'!I10+'A6-FinPos'!I15)/'A4-FinPerf RE'!I22),0,(('A6-FinPos'!I8+'A6-FinPos'!I9+'A6-FinPos'!I10+'A6-FinPos'!I15)/'A4-FinPerf RE'!I22))</f>
        <v>0.13065723321832079</v>
      </c>
      <c r="J19" s="472">
        <f>IF(ISERROR(('A6-FinPos'!J8+'A6-FinPos'!J9+'A6-FinPos'!J10+'A6-FinPos'!J15)/'A4-FinPerf RE'!J22),0,(('A6-FinPos'!J8+'A6-FinPos'!J9+'A6-FinPos'!J10+'A6-FinPos'!J15)/'A4-FinPerf RE'!J22))</f>
        <v>0.10723842121054082</v>
      </c>
      <c r="K19" s="473">
        <f>IF(ISERROR(('A6-FinPos'!K8+'A6-FinPos'!K9+'A6-FinPos'!K10+'A6-FinPos'!K15)/'A4-FinPerf RE'!K22),0,(('A6-FinPos'!K8+'A6-FinPos'!K9+'A6-FinPos'!K10+'A6-FinPos'!K15)/'A4-FinPerf RE'!K22))</f>
        <v>0.11919353791648786</v>
      </c>
      <c r="L19" s="474">
        <f>IF(ISERROR(('A6-FinPos'!L8+'A6-FinPos'!L9+'A6-FinPos'!L10+'A6-FinPos'!L15)/'A4-FinPerf RE'!L22),0,(('A6-FinPos'!L8+'A6-FinPos'!L9+'A6-FinPos'!L10+'A6-FinPos'!L15)/'A4-FinPerf RE'!L22))</f>
        <v>0.13775553109550392</v>
      </c>
    </row>
    <row r="20" spans="1:13" ht="20">
      <c r="A20" s="477" t="s">
        <v>1725</v>
      </c>
      <c r="B20" s="471" t="s">
        <v>564</v>
      </c>
      <c r="C20" s="1761"/>
      <c r="D20" s="1762"/>
      <c r="E20" s="1703"/>
      <c r="F20" s="1763"/>
      <c r="G20" s="1762"/>
      <c r="H20" s="1703"/>
      <c r="I20" s="1764"/>
      <c r="J20" s="1761"/>
      <c r="K20" s="1762"/>
      <c r="L20" s="1703"/>
    </row>
    <row r="21" spans="1:13">
      <c r="A21" s="481" t="s">
        <v>791</v>
      </c>
      <c r="B21" s="471"/>
      <c r="C21" s="482"/>
      <c r="D21" s="483"/>
      <c r="E21" s="484"/>
      <c r="F21" s="485"/>
      <c r="G21" s="483"/>
      <c r="H21" s="484"/>
      <c r="I21" s="486"/>
      <c r="J21" s="482"/>
      <c r="K21" s="483"/>
      <c r="L21" s="484"/>
    </row>
    <row r="22" spans="1:13" ht="24.75" customHeight="1">
      <c r="A22" s="477" t="s">
        <v>792</v>
      </c>
      <c r="B22" s="471" t="s">
        <v>338</v>
      </c>
      <c r="C22" s="1761"/>
      <c r="D22" s="1762"/>
      <c r="E22" s="1703"/>
      <c r="F22" s="1763"/>
      <c r="G22" s="1762"/>
      <c r="H22" s="1703"/>
      <c r="I22" s="1764"/>
      <c r="J22" s="1761"/>
      <c r="K22" s="1762"/>
      <c r="L22" s="1703"/>
    </row>
    <row r="23" spans="1:13">
      <c r="A23" s="477" t="s">
        <v>2219</v>
      </c>
      <c r="B23" s="471"/>
      <c r="C23" s="497">
        <f>IF(ISERROR('SA3'!C35/'A7-CFlow'!C38), 0, ('SA3'!C35/'A7-CFlow'!C38))</f>
        <v>0.5113208757584794</v>
      </c>
      <c r="D23" s="498">
        <f>IF(ISERROR('SA3'!D35/'A7-CFlow'!D38), 0, ('SA3'!D35/'A7-CFlow'!D38))</f>
        <v>0.31376859582150546</v>
      </c>
      <c r="E23" s="499">
        <f>IF(ISERROR('SA3'!E35/'A7-CFlow'!E38), 0, ('SA3'!E35/'A7-CFlow'!E38))</f>
        <v>0.36397217294364703</v>
      </c>
      <c r="F23" s="500">
        <f>IF(ISERROR('SA3'!F35/'A7-CFlow'!F38), 0, ('SA3'!F35/'A7-CFlow'!F38))</f>
        <v>0.43959430747946071</v>
      </c>
      <c r="G23" s="498">
        <f>IF(ISERROR('SA3'!G35/'A7-CFlow'!G38), 0, ('SA3'!G35/'A7-CFlow'!G38))</f>
        <v>0.22095285963044856</v>
      </c>
      <c r="H23" s="499">
        <f>IF(ISERROR('SA3'!H35/'A7-CFlow'!H38), 0, ('SA3'!H35/'A7-CFlow'!H38))</f>
        <v>0.16160291763744147</v>
      </c>
      <c r="I23" s="501">
        <f>IF(ISERROR('SA3'!I35/'A7-CFlow'!I38), 0, ('SA3'!I35/'A7-CFlow'!I38))</f>
        <v>0.16160291763744147</v>
      </c>
      <c r="J23" s="497">
        <f>IF(ISERROR('SA3'!J35/'A7-CFlow'!J38), 0, ('SA3'!J35/'A7-CFlow'!J38))</f>
        <v>0.11897217920859351</v>
      </c>
      <c r="K23" s="498">
        <f>IF(ISERROR('SA3'!K35/'A7-CFlow'!K38), 0, ('SA3'!K35/'A7-CFlow'!K38))</f>
        <v>0.39878670355125106</v>
      </c>
      <c r="L23" s="499">
        <f>IF(ISERROR('SA3'!L35/'A7-CFlow'!L38), 0, ('SA3'!L35/'A7-CFlow'!L38))</f>
        <v>0.31770048393097611</v>
      </c>
      <c r="M23" s="370"/>
    </row>
    <row r="24" spans="1:13" ht="8.25" customHeight="1">
      <c r="A24" s="477"/>
      <c r="B24" s="471"/>
      <c r="C24" s="1765"/>
      <c r="D24" s="1766"/>
      <c r="E24" s="1767"/>
      <c r="F24" s="1768"/>
      <c r="G24" s="1766"/>
      <c r="H24" s="1767"/>
      <c r="I24" s="1769"/>
      <c r="J24" s="1765"/>
      <c r="K24" s="1766"/>
      <c r="L24" s="1767"/>
      <c r="M24" s="370"/>
    </row>
    <row r="25" spans="1:13">
      <c r="A25" s="481" t="s">
        <v>793</v>
      </c>
      <c r="B25" s="471"/>
      <c r="C25" s="482"/>
      <c r="D25" s="483"/>
      <c r="E25" s="484"/>
      <c r="F25" s="485"/>
      <c r="G25" s="483"/>
      <c r="H25" s="484"/>
      <c r="I25" s="486"/>
      <c r="J25" s="482"/>
      <c r="K25" s="483"/>
      <c r="L25" s="484"/>
      <c r="M25" s="370"/>
    </row>
    <row r="26" spans="1:13" ht="20">
      <c r="A26" s="477" t="s">
        <v>341</v>
      </c>
      <c r="B26" s="1355" t="s">
        <v>373</v>
      </c>
      <c r="C26" s="1765">
        <v>0.13150000000000001</v>
      </c>
      <c r="D26" s="1766">
        <v>0.13619999999999999</v>
      </c>
      <c r="E26" s="2709">
        <v>0.22320000000000001</v>
      </c>
      <c r="F26" s="1766">
        <v>0.15</v>
      </c>
      <c r="G26" s="1766">
        <v>0.15</v>
      </c>
      <c r="H26" s="1766">
        <v>0.15</v>
      </c>
      <c r="I26" s="1766">
        <v>0.15</v>
      </c>
      <c r="J26" s="1766">
        <v>0.14299999999999999</v>
      </c>
      <c r="K26" s="2710">
        <v>0.13109999999999999</v>
      </c>
      <c r="L26" s="1767">
        <v>0.122</v>
      </c>
    </row>
    <row r="27" spans="1:13" ht="20">
      <c r="A27" s="477" t="s">
        <v>1289</v>
      </c>
      <c r="B27" s="1355" t="s">
        <v>374</v>
      </c>
      <c r="C27" s="1765">
        <v>0.35439999999999999</v>
      </c>
      <c r="D27" s="1766">
        <v>0.39019999999999999</v>
      </c>
      <c r="E27" s="2709">
        <v>0.41670000000000001</v>
      </c>
      <c r="F27" s="1766">
        <v>0.32329999999999998</v>
      </c>
      <c r="G27" s="1766">
        <v>0.32329999999999998</v>
      </c>
      <c r="H27" s="1766">
        <v>0.32329999999999998</v>
      </c>
      <c r="I27" s="1766">
        <v>0.32329999999999998</v>
      </c>
      <c r="J27" s="1766">
        <v>0.312</v>
      </c>
      <c r="K27" s="2710">
        <v>0.3009</v>
      </c>
      <c r="L27" s="1767">
        <v>0.28299999999999997</v>
      </c>
    </row>
    <row r="28" spans="1:13">
      <c r="A28" s="477" t="s">
        <v>494</v>
      </c>
      <c r="B28" s="471" t="s">
        <v>1663</v>
      </c>
      <c r="C28" s="497">
        <f>IF(ISERROR('A4-FinPerf RE'!C25/'A4-FinPerf RE'!C22),0,('A4-FinPerf RE'!C25/'A4-FinPerf RE'!C22))</f>
        <v>8.9730213825314806E-2</v>
      </c>
      <c r="D28" s="498">
        <f>IF(ISERROR('A4-FinPerf RE'!D25/'A4-FinPerf RE'!D22),0,('A4-FinPerf RE'!D25/'A4-FinPerf RE'!D22))</f>
        <v>0.14544424480748464</v>
      </c>
      <c r="E28" s="499">
        <f>IF(ISERROR('A4-FinPerf RE'!E25/'A4-FinPerf RE'!E22),0,('A4-FinPerf RE'!E25/'A4-FinPerf RE'!E22))</f>
        <v>0.16088031209747758</v>
      </c>
      <c r="F28" s="500">
        <f>IF(ISERROR('A4-FinPerf RE'!F25/'A4-FinPerf RE'!F22),0,('A4-FinPerf RE'!F25/'A4-FinPerf RE'!F22))</f>
        <v>0.14348341727038386</v>
      </c>
      <c r="G28" s="498">
        <f>IF(ISERROR('A4-FinPerf RE'!G25/'A4-FinPerf RE'!G22),0,('A4-FinPerf RE'!G25/'A4-FinPerf RE'!G22))</f>
        <v>0.14958377443238779</v>
      </c>
      <c r="H28" s="499">
        <f>IF(ISERROR('A4-FinPerf RE'!H25/'A4-FinPerf RE'!H22),0,('A4-FinPerf RE'!H25/'A4-FinPerf RE'!H22))</f>
        <v>0.14958377443238779</v>
      </c>
      <c r="I28" s="501">
        <f>IF(ISERROR('A4-FinPerf RE'!I25/'A4-FinPerf RE'!I22),0,('A4-FinPerf RE'!I25/'A4-FinPerf RE'!I22))</f>
        <v>0.14958377443238779</v>
      </c>
      <c r="J28" s="497">
        <f>IF(ISERROR('A4-FinPerf RE'!J25/'A4-FinPerf RE'!J22),0,('A4-FinPerf RE'!J25/'A4-FinPerf RE'!J22))</f>
        <v>0.16954909794404471</v>
      </c>
      <c r="K28" s="498">
        <f>IF(ISERROR('A4-FinPerf RE'!K25/'A4-FinPerf RE'!K22),0,('A4-FinPerf RE'!K25/'A4-FinPerf RE'!K22))</f>
        <v>0.17589042722932097</v>
      </c>
      <c r="L28" s="499">
        <f>IF(ISERROR('A4-FinPerf RE'!L25/'A4-FinPerf RE'!L22),0,('A4-FinPerf RE'!L25/'A4-FinPerf RE'!L22))</f>
        <v>0.17324137135121201</v>
      </c>
    </row>
    <row r="29" spans="1:13" ht="20">
      <c r="A29" s="477" t="s">
        <v>726</v>
      </c>
      <c r="B29" s="471" t="s">
        <v>727</v>
      </c>
      <c r="C29" s="497">
        <f>IF(ISERROR('SA22'!C102/'A4-FinPerf RE'!C22),0,('SA22'!C102/'A4-FinPerf RE'!C22))</f>
        <v>0.1102520961503258</v>
      </c>
      <c r="D29" s="498">
        <f>IF(ISERROR('SA22'!D102/'A4-FinPerf RE'!D22),0,('SA22'!D102/'A4-FinPerf RE'!D22))</f>
        <v>0.11975016619868301</v>
      </c>
      <c r="E29" s="499">
        <f>IF(ISERROR('SA22'!E102/'A4-FinPerf RE'!E22),0,('SA22'!E102/'A4-FinPerf RE'!E22))</f>
        <v>8.9460052563470449E-2</v>
      </c>
      <c r="F29" s="500">
        <f>IF(ISERROR('SA22'!F102/'A4-FinPerf RE'!F22),0,('SA22'!F102/'A4-FinPerf RE'!F22))</f>
        <v>0.10851820759662621</v>
      </c>
      <c r="G29" s="498">
        <f>IF(ISERROR('SA22'!G102/'A4-FinPerf RE'!G22),0,('SA22'!G102/'A4-FinPerf RE'!G22))</f>
        <v>0.11575597805421566</v>
      </c>
      <c r="H29" s="499">
        <f>IF(ISERROR('SA22'!H102/'A4-FinPerf RE'!H22),0,('SA22'!H102/'A4-FinPerf RE'!H22))</f>
        <v>0.11681375130139655</v>
      </c>
      <c r="I29" s="501"/>
      <c r="J29" s="497">
        <f>IF(ISERROR('SA22'!I102/'A4-FinPerf RE'!J22),0,('SA22'!I102/'A4-FinPerf RE'!J22))</f>
        <v>0.1825513696256395</v>
      </c>
      <c r="K29" s="498">
        <f>IF(ISERROR('SA22'!J102/'A4-FinPerf RE'!K22),0,('SA22'!J102/'A4-FinPerf RE'!K22))</f>
        <v>0.18920886440159787</v>
      </c>
      <c r="L29" s="499">
        <f>IF(ISERROR('SA22'!K102/'A4-FinPerf RE'!L22),0,('SA22'!K102/'A4-FinPerf RE'!L22))</f>
        <v>0.18631239836786992</v>
      </c>
    </row>
    <row r="30" spans="1:13">
      <c r="A30" s="477" t="s">
        <v>599</v>
      </c>
      <c r="B30" s="471" t="s">
        <v>600</v>
      </c>
      <c r="C30" s="498">
        <f>IF(ISERROR('A9-Asset'!C69/'A4-FinPerf RE'!C22),0,('A9-Asset'!C69/'A4-FinPerf RE'!C22))</f>
        <v>1.4436717216393022E-2</v>
      </c>
      <c r="D30" s="498">
        <f>IF(ISERROR('A9-Asset'!D69/'A4-FinPerf RE'!D22),0,('A9-Asset'!D69/'A4-FinPerf RE'!D22))</f>
        <v>1.3014366389365178E-2</v>
      </c>
      <c r="E30" s="499">
        <f>IF(ISERROR('A9-Asset'!E69/'A4-FinPerf RE'!E22),0,('A9-Asset'!E69/'A4-FinPerf RE'!E22))</f>
        <v>0</v>
      </c>
      <c r="F30" s="500">
        <f>IF(ISERROR('A9-Asset'!F69/'A4-FinPerf RE'!F22),0,('A9-Asset'!F69/'A4-FinPerf RE'!F22))</f>
        <v>4.8147983943096072E-2</v>
      </c>
      <c r="G30" s="498">
        <f>IF(ISERROR('A9-Asset'!G69/'A4-FinPerf RE'!G22),0,('A9-Asset'!G69/'A4-FinPerf RE'!G22))</f>
        <v>2.4460343325389353E-2</v>
      </c>
      <c r="H30" s="499">
        <f>IF(ISERROR('A9-Asset'!H69/'A4-FinPerf RE'!H22),0,('A9-Asset'!H69/'A4-FinPerf RE'!H22))</f>
        <v>2.4460343325389353E-2</v>
      </c>
      <c r="I30" s="501"/>
      <c r="J30" s="497">
        <f>IF(ISERROR('A9-Asset'!I69/'A4-FinPerf RE'!J22),0,('A9-Asset'!I69/'A4-FinPerf RE'!J22))</f>
        <v>5.6897599384372895E-2</v>
      </c>
      <c r="K30" s="498">
        <f>IF(ISERROR('A9-Asset'!J69/'A4-FinPerf RE'!K22),0,('A9-Asset'!J69/'A4-FinPerf RE'!K22))</f>
        <v>5.7581602204737986E-2</v>
      </c>
      <c r="L30" s="2140">
        <f>IF(ISERROR('A9-Asset'!K69/'A4-FinPerf RE'!L22),0,('A9-Asset'!K69/'A4-FinPerf RE'!L22))</f>
        <v>5.6402942342896403E-2</v>
      </c>
    </row>
    <row r="31" spans="1:13">
      <c r="A31" s="477" t="s">
        <v>1448</v>
      </c>
      <c r="B31" s="471" t="s">
        <v>601</v>
      </c>
      <c r="C31" s="497">
        <f>IF(ISERROR(('A4-FinPerf RE'!C29+'A4-FinPerf RE'!C28)/'A4-FinPerf RE'!C22),0,(('A4-FinPerf RE'!C29+'A4-FinPerf RE'!C28)/'A4-FinPerf RE'!C22))</f>
        <v>7.8630361325819215E-2</v>
      </c>
      <c r="D31" s="498">
        <f>IF(ISERROR(('A4-FinPerf RE'!D29+'A4-FinPerf RE'!D28)/'A4-FinPerf RE'!D22),0,(('A4-FinPerf RE'!D29+'A4-FinPerf RE'!D28)/'A4-FinPerf RE'!D22))</f>
        <v>0.2029907346357134</v>
      </c>
      <c r="E31" s="499">
        <f>IF(ISERROR(('A4-FinPerf RE'!E29+'A4-FinPerf RE'!E28)/'A4-FinPerf RE'!E22),0,(('A4-FinPerf RE'!E29+'A4-FinPerf RE'!E28)/'A4-FinPerf RE'!E22))</f>
        <v>0.20632307083874007</v>
      </c>
      <c r="F31" s="500">
        <f>IF(ISERROR(('A4-FinPerf RE'!F29+'A4-FinPerf RE'!F28)/'A4-FinPerf RE'!F22),0,(('A4-FinPerf RE'!F29+'A4-FinPerf RE'!F28)/'A4-FinPerf RE'!F22))</f>
        <v>5.8112128914874439E-2</v>
      </c>
      <c r="G31" s="498">
        <f>IF(ISERROR(('A4-FinPerf RE'!G29+'A4-FinPerf RE'!G28)/'A4-FinPerf RE'!G22),0,(('A4-FinPerf RE'!G29+'A4-FinPerf RE'!G28)/'A4-FinPerf RE'!G22))</f>
        <v>5.9353596358288498E-2</v>
      </c>
      <c r="H31" s="499">
        <f>IF(ISERROR(('A4-FinPerf RE'!H29+'A4-FinPerf RE'!H28)/'A4-FinPerf RE'!H22),0,(('A4-FinPerf RE'!H29+'A4-FinPerf RE'!H28)/'A4-FinPerf RE'!H22))</f>
        <v>5.9353596358288498E-2</v>
      </c>
      <c r="I31" s="501">
        <f>IF(ISERROR(('A4-FinPerf RE'!I29+'A4-FinPerf RE'!I28)/'A4-FinPerf RE'!I22),0,(('A4-FinPerf RE'!I29+'A4-FinPerf RE'!I28)/'A4-FinPerf RE'!I22))</f>
        <v>5.9353596358288498E-2</v>
      </c>
      <c r="J31" s="497">
        <f>IF(ISERROR(('A4-FinPerf RE'!J29+'A4-FinPerf RE'!J28)/'A4-FinPerf RE'!J22),0,(('A4-FinPerf RE'!J29+'A4-FinPerf RE'!J28)/'A4-FinPerf RE'!J22))</f>
        <v>0.12436147308959775</v>
      </c>
      <c r="K31" s="498">
        <f>IF(ISERROR(('A4-FinPerf RE'!K29+'A4-FinPerf RE'!K28)/'A4-FinPerf RE'!K22),0,(('A4-FinPerf RE'!K29+'A4-FinPerf RE'!K28)/'A4-FinPerf RE'!K22))</f>
        <v>0.12476539804882578</v>
      </c>
      <c r="L31" s="499">
        <f>IF(ISERROR(('A4-FinPerf RE'!L29+'A4-FinPerf RE'!L28)/'A4-FinPerf RE'!L22),0,(('A4-FinPerf RE'!L29+'A4-FinPerf RE'!L28)/'A4-FinPerf RE'!L22))</f>
        <v>0.13255749761584584</v>
      </c>
    </row>
    <row r="32" spans="1:13">
      <c r="A32" s="502" t="s">
        <v>1646</v>
      </c>
      <c r="B32" s="503"/>
      <c r="C32" s="504"/>
      <c r="D32" s="505"/>
      <c r="E32" s="506"/>
      <c r="F32" s="507"/>
      <c r="G32" s="505"/>
      <c r="H32" s="506"/>
      <c r="I32" s="508"/>
      <c r="J32" s="504"/>
      <c r="K32" s="505"/>
      <c r="L32" s="506"/>
    </row>
    <row r="33" spans="1:13" ht="30">
      <c r="A33" s="477" t="s">
        <v>1647</v>
      </c>
      <c r="B33" s="471" t="s">
        <v>1726</v>
      </c>
      <c r="C33" s="487">
        <f>IF(ISERROR(('A4-FinPerf RE'!C22-'A4-FinPerf RE'!C19)/('A7-CFlow'!D9-'A7-CFlow'!D33)),0,(('A4-FinPerf RE'!C22-'A4-FinPerf RE'!C19)/('A7-CFlow'!D9-'A7-CFlow'!D33)))</f>
        <v>10.953199508735283</v>
      </c>
      <c r="D33" s="488">
        <f>IF(ISERROR(('A4-FinPerf RE'!D22-'A4-FinPerf RE'!D19)/('A7-CFlow'!E9-'A7-CFlow'!E33)),0,(('A4-FinPerf RE'!D22-'A4-FinPerf RE'!D19)/('A7-CFlow'!E9-'A7-CFlow'!E33)))</f>
        <v>30.070651800416794</v>
      </c>
      <c r="E33" s="489">
        <f>IF(ISERROR(('A4-FinPerf RE'!E22-'A4-FinPerf RE'!E19)/('A7-CFlow'!F9-'A7-CFlow'!F33)),0,(('A4-FinPerf RE'!E22-'A4-FinPerf RE'!E19)/('A7-CFlow'!F9-'A7-CFlow'!F33)))</f>
        <v>10.286979893828732</v>
      </c>
      <c r="F33" s="490">
        <f>IF(ISERROR(('A4-FinPerf RE'!F22-'A4-FinPerf RE'!F19)/('A7-CFlow'!G9-'A7-CFlow'!G33)),0,(('A4-FinPerf RE'!F22-'A4-FinPerf RE'!F19)/('A7-CFlow'!G9-'A7-CFlow'!G33)))</f>
        <v>16.29599268894448</v>
      </c>
      <c r="G33" s="488">
        <f>F33</f>
        <v>16.29599268894448</v>
      </c>
      <c r="H33" s="489">
        <f>G33</f>
        <v>16.29599268894448</v>
      </c>
      <c r="I33" s="491">
        <f>IF(ISERROR(('A4-FinPerf RE'!I22-'A4-FinPerf RE'!I19)/('A7-CFlow'!J9-'A7-CFlow'!J33)),0,(('A4-FinPerf RE'!I22-'A4-FinPerf RE'!I19)/('A7-CFlow'!J9-'A7-CFlow'!J33)))</f>
        <v>21.83248437001642</v>
      </c>
      <c r="J33" s="487">
        <f>IF(ISERROR(('A4-FinPerf RE'!J22-'A4-FinPerf RE'!J19)/('A7-CFlow'!K9-'A7-CFlow'!K33)),0,(('A4-FinPerf RE'!J22-'A4-FinPerf RE'!J19)/('A7-CFlow'!K9-'A7-CFlow'!K33)))</f>
        <v>19.607141387126724</v>
      </c>
      <c r="K33" s="488">
        <f>IF(ISERROR(('A4-FinPerf RE'!K22-'A4-FinPerf RE'!K19)/('A7-CFlow'!L9-'A7-CFlow'!L33)),0,(('A4-FinPerf RE'!K22-'A4-FinPerf RE'!K19)/('A7-CFlow'!L9-'A7-CFlow'!L33)))</f>
        <v>18.757715947975097</v>
      </c>
      <c r="L33" s="489">
        <f>IF(ISERROR(('A4-FinPerf RE'!L22-'A4-FinPerf RE'!L19)/('A7-CFlow'!L9-'A7-CFlow'!L33)),0,(('A4-FinPerf RE'!L22-'A4-FinPerf RE'!L19)/('A7-CFlow'!L9-'A7-CFlow'!L33)))</f>
        <v>20.044339794440663</v>
      </c>
    </row>
    <row r="34" spans="1:13" ht="20">
      <c r="A34" s="477" t="s">
        <v>1648</v>
      </c>
      <c r="B34" s="471" t="s">
        <v>748</v>
      </c>
      <c r="C34" s="497">
        <f>IF(ISERROR(('A6-FinPos'!C8+'A6-FinPos'!C9+'A6-FinPos'!C10)/SUM('A4-FinPerf RE'!C5:C12)),0,(('A6-FinPos'!C8+'A6-FinPos'!C9+'A6-FinPos'!C10)/SUM('A4-FinPerf RE'!C5:C12)))</f>
        <v>0.17211758084768183</v>
      </c>
      <c r="D34" s="498">
        <f>IF(ISERROR(('A6-FinPos'!D8+'A6-FinPos'!D9+'A6-FinPos'!D10)/SUM('A4-FinPerf RE'!D5:D12)),0,(('A6-FinPos'!D8+'A6-FinPos'!D9+'A6-FinPos'!D10)/SUM('A4-FinPerf RE'!D5:D12)))</f>
        <v>6.990397378593402E-2</v>
      </c>
      <c r="E34" s="499">
        <f>IF(ISERROR(('A6-FinPos'!E8+'A6-FinPos'!E9+'A6-FinPos'!E10)/SUM('A4-FinPerf RE'!E5:E12)),0,(('A6-FinPos'!E8+'A6-FinPos'!E9+'A6-FinPos'!E10)/SUM('A4-FinPerf RE'!E5:E12)))</f>
        <v>0.30206702289086002</v>
      </c>
      <c r="F34" s="500">
        <f>IF(ISERROR(('A6-FinPos'!F8+'A6-FinPos'!F9+'A6-FinPos'!F10)/SUM('A4-FinPerf RE'!F5:F12)),0,(('A6-FinPos'!F8+'A6-FinPos'!F9+'A6-FinPos'!F10)/SUM('A4-FinPerf RE'!F5:F12)))</f>
        <v>0.11834123801482747</v>
      </c>
      <c r="G34" s="498">
        <f>IF(ISERROR(('A6-FinPos'!G8+'A6-FinPos'!G9+'A6-FinPos'!G10)/SUM('A4-FinPerf RE'!G5:G12)),0,(('A6-FinPos'!G8+'A6-FinPos'!G9+'A6-FinPos'!G10)/SUM('A4-FinPerf RE'!G5:G12)))</f>
        <v>0.1381907633817879</v>
      </c>
      <c r="H34" s="499">
        <f>IF(ISERROR(('A6-FinPos'!H8+'A6-FinPos'!H9+'A6-FinPos'!H10)/SUM('A4-FinPerf RE'!H5:H12)),0,(('A6-FinPos'!H8+'A6-FinPos'!H9+'A6-FinPos'!H10)/SUM('A4-FinPerf RE'!H5:H12)))</f>
        <v>0.16671117115783027</v>
      </c>
      <c r="I34" s="501">
        <f>IF(ISERROR(('A6-FinPos'!I8+'A6-FinPos'!I9+'A6-FinPos'!I10)/SUM('A4-FinPerf RE'!I5:I12)),0,(('A6-FinPos'!I8+'A6-FinPos'!I9+'A6-FinPos'!I10)/SUM('A4-FinPerf RE'!I5:I12)))</f>
        <v>0.16671117115783027</v>
      </c>
      <c r="J34" s="497">
        <f>IF(ISERROR(('A6-FinPos'!J8+'A6-FinPos'!J9+'A6-FinPos'!J10)/SUM('A4-FinPerf RE'!J5:J12)),0,(('A6-FinPos'!J8+'A6-FinPos'!J9+'A6-FinPos'!J10)/SUM('A4-FinPerf RE'!J5:J12)))</f>
        <v>0.14540656567870996</v>
      </c>
      <c r="K34" s="498">
        <f>IF(ISERROR(('A6-FinPos'!K8+'A6-FinPos'!K9+'A6-FinPos'!K10)/SUM('A4-FinPerf RE'!K5:K12)),0,(('A6-FinPos'!K8+'A6-FinPos'!K9+'A6-FinPos'!K10)/SUM('A4-FinPerf RE'!K5:K12)))</f>
        <v>0.15660230321823074</v>
      </c>
      <c r="L34" s="499">
        <f>IF(ISERROR(('A6-FinPos'!L8+'A6-FinPos'!L9+'A6-FinPos'!L10)/SUM('A4-FinPerf RE'!L5:L12)),0,(('A6-FinPos'!L8+'A6-FinPos'!L9+'A6-FinPos'!L10)/SUM('A4-FinPerf RE'!L5:L12)))</f>
        <v>0.17768314263784271</v>
      </c>
    </row>
    <row r="35" spans="1:13" ht="20">
      <c r="A35" s="509" t="s">
        <v>1649</v>
      </c>
      <c r="B35" s="510" t="s">
        <v>1558</v>
      </c>
      <c r="C35" s="511">
        <f>IF(ISERROR('A7-CFlow'!C38/'SA8'!C42),0,('A7-CFlow'!C38/'SA8'!C42))</f>
        <v>4.0373381446484196</v>
      </c>
      <c r="D35" s="512">
        <f>IF(ISERROR('A7-CFlow'!D38/'SA8'!D42),0,('A7-CFlow'!D38/'SA8'!D42))</f>
        <v>4.3896146002314298</v>
      </c>
      <c r="E35" s="513">
        <f>IF(ISERROR('A7-CFlow'!E38/'SA8'!E42),0,('A7-CFlow'!E38/'SA8'!E42))</f>
        <v>6.2445866278247202</v>
      </c>
      <c r="F35" s="514">
        <f>IF(ISERROR('A7-CFlow'!F38/'SA8'!F42),0,('A7-CFlow'!F38/'SA8'!F42))</f>
        <v>3.8938883715589281</v>
      </c>
      <c r="G35" s="512">
        <f>IF(ISERROR('A7-CFlow'!G38/'SA8'!G42),0,('A7-CFlow'!G38/'SA8'!G42))</f>
        <v>4.2794202825136161</v>
      </c>
      <c r="H35" s="513">
        <f>IF(ISERROR('A7-CFlow'!H38/'SA8'!H42),0,('A7-CFlow'!H38/'SA8'!H42))</f>
        <v>5.8510710252353313</v>
      </c>
      <c r="I35" s="515">
        <f>IF(ISERROR('A7-CFlow'!I38/'SA8'!I42),0,('A7-CFlow'!I38/'SA8'!I42))</f>
        <v>5.8510710252353313</v>
      </c>
      <c r="J35" s="511">
        <f>IF(ISERROR('A7-CFlow'!J38/'SA8'!J42),0,('A7-CFlow'!J38/'SA8'!J42))</f>
        <v>5.9385465904895405</v>
      </c>
      <c r="K35" s="512">
        <f>IF(ISERROR('A7-CFlow'!K38/'SA8'!K42),0,('A7-CFlow'!K38/'SA8'!K42))</f>
        <v>4.4771208924006407</v>
      </c>
      <c r="L35" s="513">
        <f>IF(ISERROR('A7-CFlow'!L38/'SA8'!L42),0,('A7-CFlow'!L38/'SA8'!L42))</f>
        <v>4.9486245103576723</v>
      </c>
    </row>
    <row r="36" spans="1:13">
      <c r="A36" s="356" t="str">
        <f>head27a</f>
        <v>References</v>
      </c>
    </row>
    <row r="37" spans="1:13">
      <c r="A37" s="461" t="s">
        <v>1288</v>
      </c>
    </row>
    <row r="38" spans="1:13">
      <c r="A38" s="461" t="s">
        <v>1287</v>
      </c>
    </row>
    <row r="40" spans="1:13">
      <c r="A40" s="464" t="s">
        <v>787</v>
      </c>
    </row>
    <row r="41" spans="1:13">
      <c r="A41" s="149" t="s">
        <v>1446</v>
      </c>
      <c r="C41" s="210"/>
      <c r="D41" s="210"/>
      <c r="E41" s="1637"/>
      <c r="F41" s="1637"/>
      <c r="G41" s="1637"/>
      <c r="H41" s="1637"/>
      <c r="I41" s="1637"/>
      <c r="J41" s="1637"/>
      <c r="K41" s="1637"/>
      <c r="L41" s="1637"/>
      <c r="M41" s="370"/>
    </row>
    <row r="42" spans="1:13">
      <c r="A42" s="149" t="s">
        <v>1451</v>
      </c>
      <c r="C42" s="202">
        <f>(('A4-FinPerf RE'!C25+'A4-FinPerf RE'!C26+'A4-FinPerf RE'!C27+'A4-FinPerf RE'!C29+'A4-FinPerf RE'!C30+'A4-FinPerf RE'!C32+'SA1'!C87+'A7-CFlow'!C33)+(('A4-FinPerf RE'!C31+'A4-FinPerf RE'!C34)*'SA8'!C43))/12</f>
        <v>120975295.97500001</v>
      </c>
      <c r="D42" s="202">
        <f>(('A4-FinPerf RE'!D25+'A4-FinPerf RE'!D26+'A4-FinPerf RE'!D27+'A4-FinPerf RE'!D29+'A4-FinPerf RE'!D30+'A4-FinPerf RE'!D32+'SA1'!D87+'A7-CFlow'!D33)+(('A4-FinPerf RE'!D31+'A4-FinPerf RE'!D34)*'SA8'!D43))/12</f>
        <v>140838649.70000002</v>
      </c>
      <c r="E42" s="202">
        <f>(('A4-FinPerf RE'!E25+'A4-FinPerf RE'!E26+'A4-FinPerf RE'!E27+'A4-FinPerf RE'!E29+'A4-FinPerf RE'!E30+'A4-FinPerf RE'!E32+'SA1'!E87+'A7-CFlow'!E33)+(('A4-FinPerf RE'!E31+'A4-FinPerf RE'!E34)*'SA8'!E43))/12</f>
        <v>135301834.75</v>
      </c>
      <c r="F42" s="202">
        <f>(('A4-FinPerf RE'!F25+'A4-FinPerf RE'!F26+'A4-FinPerf RE'!F27+'A4-FinPerf RE'!F29+'A4-FinPerf RE'!F30+'A4-FinPerf RE'!F32+'SA1'!F87+'A7-CFlow'!F33)+(('A4-FinPerf RE'!F31+'A4-FinPerf RE'!F34)*'SA8'!F43))/12</f>
        <v>194247113.63699999</v>
      </c>
      <c r="G42" s="202">
        <f>(('A4-FinPerf RE'!G25+'A4-FinPerf RE'!G26+'A4-FinPerf RE'!G27+'A4-FinPerf RE'!G29+'A4-FinPerf RE'!G30+'A4-FinPerf RE'!G32+'SA1'!G87+'A7-CFlow'!G33)+(('A4-FinPerf RE'!G31+'A4-FinPerf RE'!G34)*'SA8'!G43))/12</f>
        <v>190882103.66666666</v>
      </c>
      <c r="H42" s="202">
        <f>(('A4-FinPerf RE'!H25+'A4-FinPerf RE'!H26+'A4-FinPerf RE'!H27+'A4-FinPerf RE'!H29+'A4-FinPerf RE'!H30+'A4-FinPerf RE'!H32+'SA1'!H87+'A7-CFlow'!H33)+(('A4-FinPerf RE'!H31+'A4-FinPerf RE'!H34)*'SA8'!H43))/12</f>
        <v>190882103.66666666</v>
      </c>
      <c r="I42" s="202">
        <f>(('A4-FinPerf RE'!I25+'A4-FinPerf RE'!I26+'A4-FinPerf RE'!I27+'A4-FinPerf RE'!I29+'A4-FinPerf RE'!I30+'A4-FinPerf RE'!I32+'SA1'!I87+'A7-CFlow'!I33)+(('A4-FinPerf RE'!I31+'A4-FinPerf RE'!I34)*'SA8'!I43))/12</f>
        <v>190882103.66666666</v>
      </c>
      <c r="J42" s="202">
        <f>(('A4-FinPerf RE'!J25+'A4-FinPerf RE'!J26+'A4-FinPerf RE'!J27+'A4-FinPerf RE'!J29+'A4-FinPerf RE'!J30+'A4-FinPerf RE'!J32+'SA1'!J87+'A7-CFlow'!J33)+(('A4-FinPerf RE'!J31+'A4-FinPerf RE'!J34)*'SA8'!J43))/12</f>
        <v>175738488.81666669</v>
      </c>
      <c r="K42" s="202">
        <f>(('A4-FinPerf RE'!K25+'A4-FinPerf RE'!K26+'A4-FinPerf RE'!K27+'A4-FinPerf RE'!K29+'A4-FinPerf RE'!K30+'A4-FinPerf RE'!K32+'SA1'!K87+'A7-CFlow'!K33)+(('A4-FinPerf RE'!K31+'A4-FinPerf RE'!K34)*'SA8'!K43))/12</f>
        <v>182572438.71333334</v>
      </c>
      <c r="L42" s="202">
        <f>(('A4-FinPerf RE'!L25+'A4-FinPerf RE'!L26+'A4-FinPerf RE'!L27+'A4-FinPerf RE'!L29+'A4-FinPerf RE'!L30+'A4-FinPerf RE'!L32+'SA1'!L87+'A7-CFlow'!L33)+(('A4-FinPerf RE'!L31+'A4-FinPerf RE'!L34)*'SA8'!L43))/12</f>
        <v>194431873.76333335</v>
      </c>
    </row>
    <row r="43" spans="1:13">
      <c r="A43" s="149" t="s">
        <v>1452</v>
      </c>
      <c r="C43" s="1770">
        <v>0.4</v>
      </c>
      <c r="D43" s="518">
        <f>$C$43</f>
        <v>0.4</v>
      </c>
      <c r="E43" s="518">
        <f t="shared" ref="E43:L43" si="1">$C$43</f>
        <v>0.4</v>
      </c>
      <c r="F43" s="518">
        <f t="shared" si="1"/>
        <v>0.4</v>
      </c>
      <c r="G43" s="518">
        <f t="shared" si="1"/>
        <v>0.4</v>
      </c>
      <c r="H43" s="518">
        <f t="shared" si="1"/>
        <v>0.4</v>
      </c>
      <c r="I43" s="518">
        <f t="shared" si="1"/>
        <v>0.4</v>
      </c>
      <c r="J43" s="518">
        <f t="shared" si="1"/>
        <v>0.4</v>
      </c>
      <c r="K43" s="518">
        <f t="shared" si="1"/>
        <v>0.4</v>
      </c>
      <c r="L43" s="518">
        <f t="shared" si="1"/>
        <v>0.4</v>
      </c>
    </row>
    <row r="44" spans="1:13">
      <c r="A44" s="149" t="s">
        <v>913</v>
      </c>
      <c r="C44" s="2141">
        <f>'A5-Capex'!C40-'A5-Capex'!C70-'A5-Capex'!C71</f>
        <v>84972733</v>
      </c>
      <c r="D44" s="2141">
        <f>'A5-Capex'!D40-'A5-Capex'!D70-'A5-Capex'!D71</f>
        <v>69071435</v>
      </c>
      <c r="E44" s="2141">
        <f>'A5-Capex'!E40-'A5-Capex'!E70-'A5-Capex'!E71</f>
        <v>99939893</v>
      </c>
      <c r="F44" s="2141">
        <f>'A5-Capex'!F40-'A5-Capex'!F70-'A5-Capex'!F71</f>
        <v>393408037</v>
      </c>
      <c r="G44" s="2141">
        <f>'A5-Capex'!G40-'A5-Capex'!G70-'A5-Capex'!G71</f>
        <v>349889295</v>
      </c>
      <c r="H44" s="2141">
        <f>'A5-Capex'!H40-'A5-Capex'!H70-'A5-Capex'!H71</f>
        <v>349889295</v>
      </c>
      <c r="I44" s="2141">
        <f>'A5-Capex'!I40-'A5-Capex'!I70-'A5-Capex'!I71</f>
        <v>349889295</v>
      </c>
      <c r="J44" s="2141">
        <f>'A5-Capex'!J40-'A5-Capex'!J70-'A5-Capex'!J71</f>
        <v>589398681</v>
      </c>
      <c r="K44" s="2141">
        <f>'A5-Capex'!K40-'A5-Capex'!K70-'A5-Capex'!K71</f>
        <v>690844148</v>
      </c>
      <c r="L44" s="2141">
        <f>'A5-Capex'!L40-'A5-Capex'!L70-'A5-Capex'!L71</f>
        <v>161872000</v>
      </c>
    </row>
    <row r="45" spans="1:13">
      <c r="A45" s="149" t="s">
        <v>1284</v>
      </c>
      <c r="C45" s="2141">
        <f>'A7-CFlow'!C29+'A7-CFlow'!C30</f>
        <v>0</v>
      </c>
      <c r="D45" s="2141">
        <f>'A7-CFlow'!D29+'A7-CFlow'!D30</f>
        <v>0</v>
      </c>
      <c r="E45" s="2141">
        <f>'A7-CFlow'!E29+'A7-CFlow'!E30</f>
        <v>0</v>
      </c>
      <c r="F45" s="2141">
        <f>'A7-CFlow'!F29+'A7-CFlow'!F30</f>
        <v>0</v>
      </c>
      <c r="G45" s="2141">
        <f>'A7-CFlow'!G29+'A7-CFlow'!G30</f>
        <v>0</v>
      </c>
      <c r="H45" s="2141">
        <f>'A7-CFlow'!H29+'A7-CFlow'!H30</f>
        <v>0</v>
      </c>
      <c r="I45" s="2141">
        <f>'A7-CFlow'!I29+'A7-CFlow'!I30</f>
        <v>0</v>
      </c>
      <c r="J45" s="2141">
        <f>'A7-CFlow'!J29+'A7-CFlow'!J30</f>
        <v>349325000</v>
      </c>
      <c r="K45" s="2141">
        <f>'A7-CFlow'!K29+'A7-CFlow'!K30</f>
        <v>462500000</v>
      </c>
      <c r="L45" s="2141">
        <f>'A7-CFlow'!L29+'A7-CFlow'!L30</f>
        <v>27500000</v>
      </c>
    </row>
  </sheetData>
  <sheetProtection password="C646" sheet="1" objects="1" scenarios="1"/>
  <dataConsolidate/>
  <mergeCells count="4">
    <mergeCell ref="A2:A3"/>
    <mergeCell ref="J2:L2"/>
    <mergeCell ref="B2:B3"/>
    <mergeCell ref="F2:I2"/>
  </mergeCells>
  <phoneticPr fontId="5" type="noConversion"/>
  <dataValidations count="1">
    <dataValidation type="decimal" allowBlank="1" showInputMessage="1" showErrorMessage="1" sqref="C20:L20 C22:L22 C24:L24 C26:L27 E41:L41 C43">
      <formula1>-9999999999999990000</formula1>
      <formula2>99999999999999900000</formula2>
    </dataValidation>
  </dataValidations>
  <printOptions horizontalCentered="1"/>
  <pageMargins left="0.37" right="0.14000000000000001" top="0.78740157480314965" bottom="0.39370078740157483" header="0.51181102362204722" footer="0.59055118110236227"/>
  <headerFooter alignWithMargins="0"/>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indexed="42"/>
  </sheetPr>
  <dimension ref="A1:M261"/>
  <sheetViews>
    <sheetView showGridLines="0" workbookViewId="0">
      <selection activeCell="K13" sqref="K13"/>
    </sheetView>
  </sheetViews>
  <sheetFormatPr baseColWidth="10" defaultColWidth="8.83203125" defaultRowHeight="11.25" customHeight="1" x14ac:dyDescent="0"/>
  <cols>
    <col min="1" max="1" width="35.33203125" style="149" customWidth="1"/>
    <col min="2" max="2" width="3.6640625" style="149" customWidth="1"/>
    <col min="3" max="3" width="30.33203125" style="149" customWidth="1"/>
    <col min="4" max="12" width="9.33203125" style="149" customWidth="1"/>
    <col min="13" max="16384" width="8.83203125" style="149"/>
  </cols>
  <sheetData>
    <row r="1" spans="1:13" s="179" customFormat="1" ht="12">
      <c r="A1" s="147" t="str">
        <f>muni&amp;" - "&amp;TableA9</f>
        <v>NW373 Rustenburg - Supporting Table SA9 Social, economic and demographic statistics and assumptions</v>
      </c>
      <c r="B1" s="2316"/>
      <c r="C1" s="147"/>
      <c r="D1" s="147"/>
      <c r="E1" s="147"/>
      <c r="F1" s="147"/>
      <c r="G1" s="147"/>
      <c r="H1" s="147"/>
      <c r="I1" s="147"/>
      <c r="J1" s="147"/>
      <c r="K1" s="147"/>
      <c r="L1" s="147"/>
      <c r="M1" s="147"/>
    </row>
    <row r="2" spans="1:13" ht="33.75" customHeight="1">
      <c r="A2" s="2805" t="s">
        <v>646</v>
      </c>
      <c r="B2" s="2807" t="s">
        <v>2003</v>
      </c>
      <c r="C2" s="2805" t="s">
        <v>1089</v>
      </c>
      <c r="D2" s="2805" t="str">
        <f>Head44</f>
        <v>1996 Census</v>
      </c>
      <c r="E2" s="2805" t="str">
        <f>Head45</f>
        <v>2001 Census</v>
      </c>
      <c r="F2" s="2805" t="s">
        <v>202</v>
      </c>
      <c r="G2" s="2380" t="str">
        <f>head1b</f>
        <v>2009/10</v>
      </c>
      <c r="H2" s="2381" t="str">
        <f>head1A</f>
        <v>2010/11</v>
      </c>
      <c r="I2" s="2382" t="str">
        <f>Head1</f>
        <v>2011/12</v>
      </c>
      <c r="J2" s="2383" t="str">
        <f>Head2</f>
        <v>Current Year 2012/13</v>
      </c>
      <c r="K2" s="2803" t="str">
        <f>Head3</f>
        <v>2013/14 Medium Term Revenue &amp; Expenditure Framework</v>
      </c>
      <c r="L2" s="2803"/>
      <c r="M2" s="2804"/>
    </row>
    <row r="3" spans="1:13" ht="25" customHeight="1">
      <c r="A3" s="2806"/>
      <c r="B3" s="2808"/>
      <c r="C3" s="2806"/>
      <c r="D3" s="2806"/>
      <c r="E3" s="2806"/>
      <c r="F3" s="2806"/>
      <c r="G3" s="1004" t="str">
        <f t="shared" ref="G3:M3" si="0">Head5A</f>
        <v>Outcome</v>
      </c>
      <c r="H3" s="1005" t="str">
        <f t="shared" si="0"/>
        <v>Outcome</v>
      </c>
      <c r="I3" s="2384" t="str">
        <f t="shared" si="0"/>
        <v>Outcome</v>
      </c>
      <c r="J3" s="2385" t="str">
        <f>Head6</f>
        <v>Original Budget</v>
      </c>
      <c r="K3" s="2386" t="str">
        <f t="shared" si="0"/>
        <v>Outcome</v>
      </c>
      <c r="L3" s="1005" t="str">
        <f t="shared" si="0"/>
        <v>Outcome</v>
      </c>
      <c r="M3" s="2387" t="str">
        <f t="shared" si="0"/>
        <v>Outcome</v>
      </c>
    </row>
    <row r="4" spans="1:13" ht="11.25" customHeight="1">
      <c r="A4" s="520" t="s">
        <v>651</v>
      </c>
      <c r="B4" s="2416"/>
      <c r="C4" s="2317"/>
      <c r="D4" s="521"/>
      <c r="E4" s="521"/>
      <c r="F4" s="521"/>
      <c r="G4" s="469"/>
      <c r="H4" s="439"/>
      <c r="I4" s="522"/>
      <c r="J4" s="523"/>
      <c r="K4" s="470"/>
      <c r="L4" s="439"/>
      <c r="M4" s="468"/>
    </row>
    <row r="5" spans="1:13" ht="11.25" customHeight="1">
      <c r="A5" s="304" t="s">
        <v>1120</v>
      </c>
      <c r="B5" s="2417"/>
      <c r="C5" s="2612"/>
      <c r="D5" s="1771"/>
      <c r="E5" s="1771">
        <v>216463</v>
      </c>
      <c r="F5" s="1771">
        <v>219493.48199999999</v>
      </c>
      <c r="G5" s="1772">
        <v>222566.39074799998</v>
      </c>
      <c r="H5" s="1773">
        <v>225682.32021847198</v>
      </c>
      <c r="I5" s="1774">
        <v>251173</v>
      </c>
      <c r="J5" s="1775">
        <v>286337.21999999997</v>
      </c>
      <c r="K5" s="1776">
        <v>326424.43079999997</v>
      </c>
      <c r="L5" s="1773">
        <v>372123.85111199995</v>
      </c>
      <c r="M5" s="1777">
        <v>424221.19026767992</v>
      </c>
    </row>
    <row r="6" spans="1:13" ht="11.25" customHeight="1">
      <c r="A6" s="524" t="s">
        <v>1118</v>
      </c>
      <c r="B6" s="2418"/>
      <c r="C6" s="2612"/>
      <c r="D6" s="1771"/>
      <c r="E6" s="1771">
        <v>34026</v>
      </c>
      <c r="F6" s="1771">
        <v>34502.364000000001</v>
      </c>
      <c r="G6" s="1778">
        <v>34985.397096000001</v>
      </c>
      <c r="H6" s="1779">
        <v>35475.192655343999</v>
      </c>
      <c r="I6" s="1780">
        <v>36638</v>
      </c>
      <c r="J6" s="1781">
        <v>41767.32</v>
      </c>
      <c r="K6" s="1782">
        <v>47614.7448</v>
      </c>
      <c r="L6" s="1779">
        <v>54280.809072000004</v>
      </c>
      <c r="M6" s="1783">
        <v>61880.122342080009</v>
      </c>
    </row>
    <row r="7" spans="1:13" ht="11.25" customHeight="1">
      <c r="A7" s="524" t="s">
        <v>129</v>
      </c>
      <c r="B7" s="2418"/>
      <c r="C7" s="2612"/>
      <c r="D7" s="1771"/>
      <c r="E7" s="1771">
        <v>34728</v>
      </c>
      <c r="F7" s="1771">
        <v>35214.192000000003</v>
      </c>
      <c r="G7" s="1778">
        <v>35707.190688000002</v>
      </c>
      <c r="H7" s="1779">
        <v>36207.091357632002</v>
      </c>
      <c r="I7" s="1780">
        <v>38001</v>
      </c>
      <c r="J7" s="1781">
        <v>43321.14</v>
      </c>
      <c r="K7" s="1782">
        <v>49386.099600000001</v>
      </c>
      <c r="L7" s="1779">
        <v>56300.153544000001</v>
      </c>
      <c r="M7" s="1783">
        <v>64182.17504016</v>
      </c>
    </row>
    <row r="8" spans="1:13" ht="11.25" customHeight="1">
      <c r="A8" s="524" t="s">
        <v>1119</v>
      </c>
      <c r="B8" s="2418"/>
      <c r="C8" s="2612"/>
      <c r="D8" s="1771"/>
      <c r="E8" s="1771">
        <v>66199</v>
      </c>
      <c r="F8" s="1771">
        <v>67125.785999999993</v>
      </c>
      <c r="G8" s="1778">
        <v>68065.547003999993</v>
      </c>
      <c r="H8" s="1779">
        <v>69018.464662055994</v>
      </c>
      <c r="I8" s="1780">
        <v>81414</v>
      </c>
      <c r="J8" s="1781">
        <v>92811.96</v>
      </c>
      <c r="K8" s="1782">
        <v>105805.63440000001</v>
      </c>
      <c r="L8" s="1779">
        <v>120618.42321600001</v>
      </c>
      <c r="M8" s="1783">
        <v>137505.00246624002</v>
      </c>
    </row>
    <row r="9" spans="1:13" ht="11.25" customHeight="1">
      <c r="A9" s="524" t="s">
        <v>130</v>
      </c>
      <c r="B9" s="2418"/>
      <c r="C9" s="2612"/>
      <c r="D9" s="1771"/>
      <c r="E9" s="1771">
        <v>81511</v>
      </c>
      <c r="F9" s="1771">
        <v>82652.153999999995</v>
      </c>
      <c r="G9" s="1778">
        <v>83809.284155999994</v>
      </c>
      <c r="H9" s="1779">
        <v>84982.614134183998</v>
      </c>
      <c r="I9" s="1780">
        <v>95120</v>
      </c>
      <c r="J9" s="1781">
        <v>108436.8</v>
      </c>
      <c r="K9" s="1782">
        <v>123617.952</v>
      </c>
      <c r="L9" s="1779">
        <v>140924.46528</v>
      </c>
      <c r="M9" s="1783">
        <v>160653.8904192</v>
      </c>
    </row>
    <row r="10" spans="1:13" ht="12.75" customHeight="1">
      <c r="A10" s="1113" t="s">
        <v>1121</v>
      </c>
      <c r="B10" s="2419"/>
      <c r="C10" s="2613"/>
      <c r="D10" s="1784"/>
      <c r="E10" s="1784">
        <v>25000</v>
      </c>
      <c r="F10" s="1784">
        <v>25350</v>
      </c>
      <c r="G10" s="1785">
        <v>25704.9</v>
      </c>
      <c r="H10" s="1786">
        <v>26064.768600000003</v>
      </c>
      <c r="I10" s="1787">
        <v>18000</v>
      </c>
      <c r="J10" s="1788">
        <v>20520</v>
      </c>
      <c r="K10" s="1789">
        <v>23392.799999999999</v>
      </c>
      <c r="L10" s="1786">
        <v>26667.792000000001</v>
      </c>
      <c r="M10" s="1790">
        <v>30401.282880000002</v>
      </c>
    </row>
    <row r="11" spans="1:13" ht="11.25" customHeight="1">
      <c r="A11" s="524"/>
      <c r="B11" s="2418"/>
      <c r="C11" s="2319"/>
      <c r="D11" s="526"/>
      <c r="E11" s="526"/>
      <c r="F11" s="526"/>
      <c r="G11" s="451"/>
      <c r="H11" s="441"/>
      <c r="I11" s="528"/>
      <c r="J11" s="443"/>
      <c r="K11" s="529"/>
      <c r="L11" s="441"/>
      <c r="M11" s="450"/>
    </row>
    <row r="12" spans="1:13" ht="11.25" customHeight="1">
      <c r="A12" s="527" t="s">
        <v>2209</v>
      </c>
      <c r="B12" s="2417" t="s">
        <v>2170</v>
      </c>
      <c r="C12" s="2319"/>
      <c r="D12" s="526"/>
      <c r="E12" s="526"/>
      <c r="F12" s="526"/>
      <c r="G12" s="451"/>
      <c r="H12" s="441"/>
      <c r="I12" s="528"/>
      <c r="J12" s="443"/>
      <c r="K12" s="529"/>
      <c r="L12" s="441"/>
      <c r="M12" s="450"/>
    </row>
    <row r="13" spans="1:13" ht="11.25" customHeight="1">
      <c r="A13" s="2414" t="s">
        <v>2169</v>
      </c>
      <c r="B13" s="2324"/>
      <c r="C13" s="2612"/>
      <c r="D13" s="1792"/>
      <c r="E13" s="1792">
        <v>105</v>
      </c>
      <c r="F13" s="1792">
        <v>106.47</v>
      </c>
      <c r="G13" s="1722">
        <v>107.96057999999999</v>
      </c>
      <c r="H13" s="1720">
        <v>109.47202811999999</v>
      </c>
      <c r="I13" s="1793">
        <v>111.00463651367998</v>
      </c>
      <c r="J13" s="1794">
        <v>112.5587014248715</v>
      </c>
      <c r="K13" s="1723">
        <v>114.1345232448197</v>
      </c>
      <c r="L13" s="1720">
        <v>115.73240657024718</v>
      </c>
      <c r="M13" s="1721">
        <v>117.35266026223064</v>
      </c>
    </row>
    <row r="14" spans="1:13" ht="11.25" customHeight="1">
      <c r="A14" s="2414" t="s">
        <v>2185</v>
      </c>
      <c r="B14" s="2324"/>
      <c r="C14" s="2612"/>
      <c r="D14" s="1792"/>
      <c r="E14" s="1792">
        <v>105</v>
      </c>
      <c r="F14" s="1792">
        <v>106.47</v>
      </c>
      <c r="G14" s="1722">
        <v>107.96057999999999</v>
      </c>
      <c r="H14" s="1720">
        <v>109.47202811999999</v>
      </c>
      <c r="I14" s="1793">
        <v>111.00463651367998</v>
      </c>
      <c r="J14" s="1794">
        <v>112.5587014248715</v>
      </c>
      <c r="K14" s="1723">
        <v>114.1345232448197</v>
      </c>
      <c r="L14" s="1720">
        <v>115.73240657024718</v>
      </c>
      <c r="M14" s="1721">
        <v>117.35266026223064</v>
      </c>
    </row>
    <row r="15" spans="1:13" ht="11.25" customHeight="1">
      <c r="A15" s="2414" t="s">
        <v>2186</v>
      </c>
      <c r="B15" s="2324"/>
      <c r="C15" s="2612"/>
      <c r="D15" s="1792"/>
      <c r="E15" s="1792">
        <v>32</v>
      </c>
      <c r="F15" s="1792">
        <v>32.448</v>
      </c>
      <c r="G15" s="1722">
        <v>32.869824000000001</v>
      </c>
      <c r="H15" s="1720">
        <v>33.330001536000005</v>
      </c>
      <c r="I15" s="1793">
        <v>33.696631552896008</v>
      </c>
      <c r="J15" s="1794">
        <v>34.168384394636554</v>
      </c>
      <c r="K15" s="1723">
        <v>34.510068238582917</v>
      </c>
      <c r="L15" s="1720">
        <v>34.993209193923079</v>
      </c>
      <c r="M15" s="1721">
        <v>35.483114122638</v>
      </c>
    </row>
    <row r="16" spans="1:13" ht="11.25" customHeight="1">
      <c r="A16" s="2414" t="s">
        <v>2187</v>
      </c>
      <c r="B16" s="2324"/>
      <c r="C16" s="2612"/>
      <c r="D16" s="1792"/>
      <c r="E16" s="1792">
        <v>5352</v>
      </c>
      <c r="F16" s="1792">
        <v>5426.9279999999999</v>
      </c>
      <c r="G16" s="1722">
        <v>5481.1972800000003</v>
      </c>
      <c r="H16" s="1720">
        <v>5557.9340419200007</v>
      </c>
      <c r="I16" s="1793">
        <v>5635.7451185068803</v>
      </c>
      <c r="J16" s="1794">
        <v>5714.6455501659766</v>
      </c>
      <c r="K16" s="1723">
        <v>5777.5066512178028</v>
      </c>
      <c r="L16" s="1720">
        <v>5858.3917443348519</v>
      </c>
      <c r="M16" s="1721">
        <v>5940.4092287555395</v>
      </c>
    </row>
    <row r="17" spans="1:13" ht="11.25" customHeight="1">
      <c r="A17" s="2414" t="s">
        <v>2188</v>
      </c>
      <c r="B17" s="2324"/>
      <c r="C17" s="2612"/>
      <c r="D17" s="1792"/>
      <c r="E17" s="1792">
        <v>7621</v>
      </c>
      <c r="F17" s="1792">
        <v>7727.6940000000004</v>
      </c>
      <c r="G17" s="1722">
        <v>7835.8817160000008</v>
      </c>
      <c r="H17" s="1720">
        <v>7945.5840600240008</v>
      </c>
      <c r="I17" s="1793">
        <v>8056.8222368643364</v>
      </c>
      <c r="J17" s="1794">
        <v>8169.617748180437</v>
      </c>
      <c r="K17" s="1723">
        <v>8283.9923966549632</v>
      </c>
      <c r="L17" s="1720">
        <v>8399.9682902081331</v>
      </c>
      <c r="M17" s="1721">
        <v>8517.5678462710475</v>
      </c>
    </row>
    <row r="18" spans="1:13" ht="11.25" customHeight="1">
      <c r="A18" s="2414" t="s">
        <v>2189</v>
      </c>
      <c r="B18" s="2324"/>
      <c r="C18" s="2612"/>
      <c r="D18" s="1792"/>
      <c r="E18" s="1792">
        <v>11819</v>
      </c>
      <c r="F18" s="1792">
        <v>11984.466</v>
      </c>
      <c r="G18" s="1722">
        <v>12152.248524000001</v>
      </c>
      <c r="H18" s="1720">
        <v>12322.380003336</v>
      </c>
      <c r="I18" s="1793">
        <v>12482.570943379369</v>
      </c>
      <c r="J18" s="1794">
        <v>12657.32693658668</v>
      </c>
      <c r="K18" s="1723">
        <v>12834.529513698893</v>
      </c>
      <c r="L18" s="1720">
        <v>13014.212926890677</v>
      </c>
      <c r="M18" s="1721">
        <v>13196.411907867147</v>
      </c>
    </row>
    <row r="19" spans="1:13" ht="11.25" customHeight="1">
      <c r="A19" s="2414" t="s">
        <v>2190</v>
      </c>
      <c r="B19" s="2324"/>
      <c r="C19" s="2612"/>
      <c r="D19" s="1792"/>
      <c r="E19" s="1792">
        <v>11673</v>
      </c>
      <c r="F19" s="1792">
        <v>11836.422</v>
      </c>
      <c r="G19" s="1722">
        <v>12002.131908000001</v>
      </c>
      <c r="H19" s="1720">
        <v>12170.161754712</v>
      </c>
      <c r="I19" s="1793">
        <v>12304.033534013832</v>
      </c>
      <c r="J19" s="1794">
        <v>12476.290003490025</v>
      </c>
      <c r="K19" s="1723">
        <v>12650.958063538885</v>
      </c>
      <c r="L19" s="1720">
        <v>12828.071476428429</v>
      </c>
      <c r="M19" s="1721">
        <v>13007.664477098428</v>
      </c>
    </row>
    <row r="20" spans="1:13" ht="11.25" customHeight="1">
      <c r="A20" s="2414" t="s">
        <v>2191</v>
      </c>
      <c r="B20" s="2324"/>
      <c r="C20" s="2612"/>
      <c r="D20" s="1792"/>
      <c r="E20" s="1792">
        <v>37746</v>
      </c>
      <c r="F20" s="1792">
        <v>38274.444000000003</v>
      </c>
      <c r="G20" s="1722">
        <v>38810.286216</v>
      </c>
      <c r="H20" s="1720">
        <v>39353.630223024003</v>
      </c>
      <c r="I20" s="1793">
        <v>39865.227415923313</v>
      </c>
      <c r="J20" s="1794">
        <v>40423.34059974624</v>
      </c>
      <c r="K20" s="1723">
        <v>40989.26736814269</v>
      </c>
      <c r="L20" s="1720">
        <v>41563.117111296684</v>
      </c>
      <c r="M20" s="1721">
        <v>42145.000750854837</v>
      </c>
    </row>
    <row r="21" spans="1:13" ht="11.25" customHeight="1">
      <c r="A21" s="2414" t="s">
        <v>2192</v>
      </c>
      <c r="B21" s="2324"/>
      <c r="C21" s="2612"/>
      <c r="D21" s="1792"/>
      <c r="E21" s="1792">
        <v>33503</v>
      </c>
      <c r="F21" s="1792">
        <v>33972.042000000001</v>
      </c>
      <c r="G21" s="1722">
        <v>34379.706504000002</v>
      </c>
      <c r="H21" s="1720">
        <v>34861.022395056003</v>
      </c>
      <c r="I21" s="1793">
        <v>35349.076708586785</v>
      </c>
      <c r="J21" s="1794">
        <v>35843.963782507002</v>
      </c>
      <c r="K21" s="1723">
        <v>36345.779275462097</v>
      </c>
      <c r="L21" s="1720">
        <v>36854.620185318563</v>
      </c>
      <c r="M21" s="1721">
        <v>37370.584867913021</v>
      </c>
    </row>
    <row r="22" spans="1:13" ht="11.25" customHeight="1">
      <c r="A22" s="2414" t="s">
        <v>2193</v>
      </c>
      <c r="B22" s="2324"/>
      <c r="C22" s="2612"/>
      <c r="D22" s="1792"/>
      <c r="E22" s="1792">
        <v>29450</v>
      </c>
      <c r="F22" s="1792">
        <v>29862.3</v>
      </c>
      <c r="G22" s="1722">
        <v>30280.372199999998</v>
      </c>
      <c r="H22" s="1720">
        <v>30704.297410799998</v>
      </c>
      <c r="I22" s="1793">
        <v>31134.157574551198</v>
      </c>
      <c r="J22" s="1794">
        <v>31570.035780594913</v>
      </c>
      <c r="K22" s="1723">
        <v>32012.016281523243</v>
      </c>
      <c r="L22" s="1720">
        <v>32364.148460619999</v>
      </c>
      <c r="M22" s="1721">
        <v>32720.154093686819</v>
      </c>
    </row>
    <row r="23" spans="1:13" ht="11.25" customHeight="1">
      <c r="A23" s="2414" t="s">
        <v>2194</v>
      </c>
      <c r="B23" s="2324"/>
      <c r="C23" s="2612"/>
      <c r="D23" s="1792"/>
      <c r="E23" s="1792">
        <v>14856</v>
      </c>
      <c r="F23" s="1792">
        <v>15063.984</v>
      </c>
      <c r="G23" s="1722">
        <v>15274.879776</v>
      </c>
      <c r="H23" s="1720">
        <v>15488.728092863999</v>
      </c>
      <c r="I23" s="1793">
        <v>15705.570286164095</v>
      </c>
      <c r="J23" s="1794">
        <v>15894.037129598064</v>
      </c>
      <c r="K23" s="1723">
        <v>16116.553649412437</v>
      </c>
      <c r="L23" s="1720">
        <v>16342.185400504211</v>
      </c>
      <c r="M23" s="1721">
        <v>16570.975996111269</v>
      </c>
    </row>
    <row r="24" spans="1:13" ht="11.25" customHeight="1">
      <c r="A24" s="2414" t="s">
        <v>2195</v>
      </c>
      <c r="B24" s="2324"/>
      <c r="C24" s="2612"/>
      <c r="D24" s="1792"/>
      <c r="E24" s="1792">
        <v>6711</v>
      </c>
      <c r="F24" s="1792">
        <v>6804.9539999999997</v>
      </c>
      <c r="G24" s="1722">
        <v>6900.2233559999995</v>
      </c>
      <c r="H24" s="1720">
        <v>6996.8264829839991</v>
      </c>
      <c r="I24" s="1793">
        <v>7094.7820537457746</v>
      </c>
      <c r="J24" s="1794">
        <v>7165.7298742832327</v>
      </c>
      <c r="K24" s="1723">
        <v>7266.0500925231981</v>
      </c>
      <c r="L24" s="1720">
        <v>7367.774793818523</v>
      </c>
      <c r="M24" s="1721">
        <v>7470.9236409319819</v>
      </c>
    </row>
    <row r="25" spans="1:13" ht="3.75" customHeight="1">
      <c r="A25" s="2415"/>
      <c r="B25" s="2334"/>
      <c r="C25" s="2613"/>
      <c r="D25" s="1796"/>
      <c r="E25" s="1796"/>
      <c r="F25" s="1796"/>
      <c r="G25" s="1797"/>
      <c r="H25" s="1798"/>
      <c r="I25" s="1799"/>
      <c r="J25" s="1800"/>
      <c r="K25" s="1801"/>
      <c r="L25" s="1798"/>
      <c r="M25" s="1802"/>
    </row>
    <row r="26" spans="1:13" ht="11.25" customHeight="1">
      <c r="A26" s="524"/>
      <c r="B26" s="2418"/>
      <c r="C26" s="2320"/>
      <c r="D26" s="530"/>
      <c r="E26" s="530"/>
      <c r="F26" s="530"/>
      <c r="G26" s="459"/>
      <c r="H26" s="457"/>
      <c r="I26" s="531"/>
      <c r="J26" s="532"/>
      <c r="K26" s="460"/>
      <c r="L26" s="457"/>
      <c r="M26" s="458"/>
    </row>
    <row r="27" spans="1:13" ht="11.25" customHeight="1">
      <c r="A27" s="527" t="s">
        <v>2210</v>
      </c>
      <c r="B27" s="2417"/>
      <c r="C27" s="2320"/>
      <c r="D27" s="530"/>
      <c r="E27" s="530"/>
      <c r="F27" s="530"/>
      <c r="G27" s="459"/>
      <c r="H27" s="457"/>
      <c r="I27" s="531"/>
      <c r="J27" s="532"/>
      <c r="K27" s="460"/>
      <c r="L27" s="457"/>
      <c r="M27" s="458"/>
    </row>
    <row r="28" spans="1:13" ht="12.75" customHeight="1">
      <c r="A28" s="2414" t="s">
        <v>2212</v>
      </c>
      <c r="B28" s="2324">
        <v>13</v>
      </c>
      <c r="C28" s="2318"/>
      <c r="D28" s="1803"/>
      <c r="E28" s="1803"/>
      <c r="F28" s="1803"/>
      <c r="G28" s="1804"/>
      <c r="H28" s="1805"/>
      <c r="I28" s="1806"/>
      <c r="J28" s="1807"/>
      <c r="K28" s="1808"/>
      <c r="L28" s="1805"/>
      <c r="M28" s="1809"/>
    </row>
    <row r="29" spans="1:13" ht="12.75" customHeight="1">
      <c r="A29" s="1791" t="s">
        <v>1096</v>
      </c>
      <c r="B29" s="2324">
        <v>2</v>
      </c>
      <c r="C29" s="2318"/>
      <c r="D29" s="1803"/>
      <c r="E29" s="1803"/>
      <c r="F29" s="1803"/>
      <c r="G29" s="1804"/>
      <c r="H29" s="1805"/>
      <c r="I29" s="1806"/>
      <c r="J29" s="1807"/>
      <c r="K29" s="1808"/>
      <c r="L29" s="1805"/>
      <c r="M29" s="1809"/>
    </row>
    <row r="30" spans="1:13" ht="4.5" customHeight="1">
      <c r="A30" s="1114"/>
      <c r="B30" s="2321"/>
      <c r="C30" s="2322"/>
      <c r="D30" s="1115"/>
      <c r="E30" s="1115"/>
      <c r="F30" s="1115"/>
      <c r="G30" s="1116"/>
      <c r="H30" s="1117"/>
      <c r="I30" s="1118"/>
      <c r="J30" s="1119"/>
      <c r="K30" s="1120"/>
      <c r="L30" s="1117"/>
      <c r="M30" s="1121"/>
    </row>
    <row r="31" spans="1:13" ht="11.25" customHeight="1">
      <c r="A31" s="527" t="s">
        <v>1822</v>
      </c>
      <c r="B31" s="2417"/>
      <c r="C31" s="2320"/>
      <c r="D31" s="530"/>
      <c r="E31" s="530"/>
      <c r="F31" s="530"/>
      <c r="G31" s="459"/>
      <c r="H31" s="457"/>
      <c r="I31" s="531"/>
      <c r="J31" s="532"/>
      <c r="K31" s="460"/>
      <c r="L31" s="457"/>
      <c r="M31" s="458"/>
    </row>
    <row r="32" spans="1:13" ht="11.25" customHeight="1">
      <c r="A32" s="1791" t="s">
        <v>1823</v>
      </c>
      <c r="B32" s="2324"/>
      <c r="C32" s="2612"/>
      <c r="D32" s="1803"/>
      <c r="E32" s="1803">
        <v>108721</v>
      </c>
      <c r="F32" s="1803"/>
      <c r="G32" s="1615"/>
      <c r="H32" s="1615"/>
      <c r="I32" s="1616">
        <v>138611</v>
      </c>
      <c r="J32" s="1810"/>
      <c r="K32" s="2535"/>
      <c r="L32" s="1615"/>
      <c r="M32" s="1618"/>
    </row>
    <row r="33" spans="1:13" ht="11.25" customHeight="1">
      <c r="A33" s="1791" t="s">
        <v>1824</v>
      </c>
      <c r="B33" s="2324"/>
      <c r="C33" s="2612"/>
      <c r="D33" s="1803"/>
      <c r="E33" s="1803">
        <v>25000</v>
      </c>
      <c r="F33" s="1803"/>
      <c r="G33" s="1615"/>
      <c r="H33" s="1615"/>
      <c r="I33" s="1616">
        <v>18000</v>
      </c>
      <c r="J33" s="1810"/>
      <c r="K33" s="2535"/>
      <c r="L33" s="1615"/>
      <c r="M33" s="1618"/>
    </row>
    <row r="34" spans="1:13" ht="11.25" customHeight="1">
      <c r="A34" s="1791" t="s">
        <v>1825</v>
      </c>
      <c r="B34" s="2324"/>
      <c r="C34" s="2612"/>
      <c r="D34" s="1803"/>
      <c r="E34" s="1803">
        <v>146543</v>
      </c>
      <c r="F34" s="1803"/>
      <c r="G34" s="1615"/>
      <c r="H34" s="1615"/>
      <c r="I34" s="1616"/>
      <c r="J34" s="1810"/>
      <c r="K34" s="2535"/>
      <c r="L34" s="1615"/>
      <c r="M34" s="1618"/>
    </row>
    <row r="35" spans="1:13" ht="11.25" customHeight="1">
      <c r="A35" s="1791" t="s">
        <v>1826</v>
      </c>
      <c r="B35" s="2324"/>
      <c r="C35" s="2612"/>
      <c r="D35" s="1803"/>
      <c r="E35" s="1803"/>
      <c r="F35" s="1803"/>
      <c r="G35" s="1615"/>
      <c r="H35" s="1615"/>
      <c r="I35" s="1616"/>
      <c r="J35" s="1810"/>
      <c r="K35" s="2535"/>
      <c r="L35" s="1615"/>
      <c r="M35" s="1618"/>
    </row>
    <row r="36" spans="1:13" ht="12.75" customHeight="1">
      <c r="A36" s="1795" t="s">
        <v>301</v>
      </c>
      <c r="B36" s="2334"/>
      <c r="C36" s="2613"/>
      <c r="D36" s="1811"/>
      <c r="E36" s="1811"/>
      <c r="F36" s="1811"/>
      <c r="G36" s="1812"/>
      <c r="H36" s="1812"/>
      <c r="I36" s="1813"/>
      <c r="J36" s="1814"/>
      <c r="K36" s="1815"/>
      <c r="L36" s="1812"/>
      <c r="M36" s="1816"/>
    </row>
    <row r="37" spans="1:13" ht="11.25" customHeight="1">
      <c r="A37" s="527"/>
      <c r="B37" s="2417"/>
      <c r="C37" s="2320"/>
      <c r="D37" s="530"/>
      <c r="E37" s="530"/>
      <c r="F37" s="530"/>
      <c r="G37" s="459"/>
      <c r="H37" s="457"/>
      <c r="I37" s="531"/>
      <c r="J37" s="532"/>
      <c r="K37" s="460"/>
      <c r="L37" s="457"/>
      <c r="M37" s="458"/>
    </row>
    <row r="38" spans="1:13" ht="11.25" customHeight="1">
      <c r="A38" s="527" t="s">
        <v>2083</v>
      </c>
      <c r="B38" s="2417">
        <v>3</v>
      </c>
      <c r="C38" s="2320"/>
      <c r="D38" s="530"/>
      <c r="E38" s="530"/>
      <c r="F38" s="530"/>
      <c r="G38" s="459"/>
      <c r="H38" s="457"/>
      <c r="I38" s="531"/>
      <c r="J38" s="532"/>
      <c r="K38" s="460"/>
      <c r="L38" s="457"/>
      <c r="M38" s="458"/>
    </row>
    <row r="39" spans="1:13" ht="11.25" customHeight="1">
      <c r="A39" s="1791" t="s">
        <v>923</v>
      </c>
      <c r="B39" s="2324"/>
      <c r="C39" s="2612" t="s">
        <v>3955</v>
      </c>
      <c r="D39" s="1803"/>
      <c r="E39" s="1803">
        <v>65695</v>
      </c>
      <c r="F39" s="1803"/>
      <c r="G39" s="1817"/>
      <c r="H39" s="1818"/>
      <c r="I39" s="1819"/>
      <c r="J39" s="1820"/>
      <c r="K39" s="1821"/>
      <c r="L39" s="1818"/>
      <c r="M39" s="1822"/>
    </row>
    <row r="40" spans="1:13" ht="11.25" customHeight="1">
      <c r="A40" s="1791" t="s">
        <v>924</v>
      </c>
      <c r="B40" s="2324"/>
      <c r="C40" s="2612"/>
      <c r="D40" s="1823"/>
      <c r="E40" s="1811">
        <v>80848</v>
      </c>
      <c r="F40" s="1811"/>
      <c r="G40" s="1824"/>
      <c r="H40" s="1825"/>
      <c r="I40" s="1826"/>
      <c r="J40" s="1827"/>
      <c r="K40" s="1828"/>
      <c r="L40" s="1825"/>
      <c r="M40" s="1829"/>
    </row>
    <row r="41" spans="1:13" ht="11.25" customHeight="1">
      <c r="A41" s="2323" t="s">
        <v>1332</v>
      </c>
      <c r="B41" s="2324"/>
      <c r="C41" s="2325"/>
      <c r="D41" s="2326">
        <f>SUM(D39:D40)</f>
        <v>0</v>
      </c>
      <c r="E41" s="2326">
        <f t="shared" ref="E41:M41" si="1">SUM(E39:E40)</f>
        <v>146543</v>
      </c>
      <c r="F41" s="2326">
        <f t="shared" si="1"/>
        <v>0</v>
      </c>
      <c r="G41" s="2327">
        <f t="shared" si="1"/>
        <v>0</v>
      </c>
      <c r="H41" s="2328">
        <f t="shared" si="1"/>
        <v>0</v>
      </c>
      <c r="I41" s="2329">
        <f t="shared" si="1"/>
        <v>0</v>
      </c>
      <c r="J41" s="2330">
        <f t="shared" si="1"/>
        <v>0</v>
      </c>
      <c r="K41" s="2331">
        <f t="shared" si="1"/>
        <v>0</v>
      </c>
      <c r="L41" s="2328">
        <f t="shared" si="1"/>
        <v>0</v>
      </c>
      <c r="M41" s="2332">
        <f t="shared" si="1"/>
        <v>0</v>
      </c>
    </row>
    <row r="42" spans="1:13" ht="11.25" customHeight="1">
      <c r="A42" s="1791" t="s">
        <v>2084</v>
      </c>
      <c r="B42" s="2324">
        <v>4</v>
      </c>
      <c r="C42" s="2612"/>
      <c r="D42" s="1803"/>
      <c r="E42" s="1803">
        <v>146543</v>
      </c>
      <c r="F42" s="1803"/>
      <c r="G42" s="1817"/>
      <c r="H42" s="1818"/>
      <c r="I42" s="1819"/>
      <c r="J42" s="1820"/>
      <c r="K42" s="1821"/>
      <c r="L42" s="1818"/>
      <c r="M42" s="1822"/>
    </row>
    <row r="43" spans="1:13" ht="11.25" customHeight="1">
      <c r="A43" s="1791" t="s">
        <v>518</v>
      </c>
      <c r="B43" s="2324"/>
      <c r="C43" s="2612"/>
      <c r="D43" s="1803"/>
      <c r="E43" s="1803"/>
      <c r="F43" s="1803"/>
      <c r="G43" s="1817"/>
      <c r="H43" s="1818"/>
      <c r="I43" s="1819"/>
      <c r="J43" s="1820"/>
      <c r="K43" s="1821"/>
      <c r="L43" s="1818"/>
      <c r="M43" s="1822"/>
    </row>
    <row r="44" spans="1:13" ht="11.25" customHeight="1">
      <c r="A44" s="1791" t="s">
        <v>2085</v>
      </c>
      <c r="B44" s="2324">
        <v>5</v>
      </c>
      <c r="C44" s="2318"/>
      <c r="D44" s="1830"/>
      <c r="E44" s="1803"/>
      <c r="F44" s="1803"/>
      <c r="G44" s="1817"/>
      <c r="H44" s="1818"/>
      <c r="I44" s="1819"/>
      <c r="J44" s="1820"/>
      <c r="K44" s="1821"/>
      <c r="L44" s="1818"/>
      <c r="M44" s="1822"/>
    </row>
    <row r="45" spans="1:13" ht="12.75" customHeight="1">
      <c r="A45" s="2333" t="s">
        <v>302</v>
      </c>
      <c r="B45" s="2334"/>
      <c r="C45" s="2335"/>
      <c r="D45" s="2336">
        <f>SUM(D42:D44)</f>
        <v>0</v>
      </c>
      <c r="E45" s="2337">
        <f t="shared" ref="E45:M45" si="2">SUM(E42:E44)</f>
        <v>146543</v>
      </c>
      <c r="F45" s="2337">
        <f t="shared" si="2"/>
        <v>0</v>
      </c>
      <c r="G45" s="2338">
        <f t="shared" si="2"/>
        <v>0</v>
      </c>
      <c r="H45" s="2339">
        <f t="shared" si="2"/>
        <v>0</v>
      </c>
      <c r="I45" s="2340">
        <f t="shared" si="2"/>
        <v>0</v>
      </c>
      <c r="J45" s="2341">
        <f t="shared" si="2"/>
        <v>0</v>
      </c>
      <c r="K45" s="2342">
        <f t="shared" si="2"/>
        <v>0</v>
      </c>
      <c r="L45" s="2339">
        <f t="shared" si="2"/>
        <v>0</v>
      </c>
      <c r="M45" s="2343">
        <f t="shared" si="2"/>
        <v>0</v>
      </c>
    </row>
    <row r="46" spans="1:13" ht="11.25" customHeight="1">
      <c r="A46" s="524"/>
      <c r="B46" s="2418"/>
      <c r="C46" s="2320"/>
      <c r="D46" s="526"/>
      <c r="E46" s="526"/>
      <c r="F46" s="526"/>
      <c r="G46" s="454"/>
      <c r="H46" s="533"/>
      <c r="I46" s="534"/>
      <c r="J46" s="453"/>
      <c r="K46" s="535"/>
      <c r="L46" s="533"/>
      <c r="M46" s="452"/>
    </row>
    <row r="47" spans="1:13" ht="11.25" customHeight="1">
      <c r="A47" s="536" t="s">
        <v>2086</v>
      </c>
      <c r="B47" s="2418">
        <v>6</v>
      </c>
      <c r="C47" s="2320"/>
      <c r="D47" s="537"/>
      <c r="E47" s="537"/>
      <c r="F47" s="537"/>
      <c r="G47" s="500"/>
      <c r="H47" s="498"/>
      <c r="I47" s="538"/>
      <c r="J47" s="539"/>
      <c r="K47" s="508"/>
      <c r="L47" s="505"/>
      <c r="M47" s="506"/>
    </row>
    <row r="48" spans="1:13" ht="11.25" customHeight="1">
      <c r="A48" s="524" t="s">
        <v>1049</v>
      </c>
      <c r="B48" s="2418"/>
      <c r="C48" s="2320"/>
      <c r="D48" s="540"/>
      <c r="E48" s="2029"/>
      <c r="F48" s="2029"/>
      <c r="G48" s="1768"/>
      <c r="H48" s="1766"/>
      <c r="I48" s="1831"/>
      <c r="J48" s="1832"/>
      <c r="K48" s="1769"/>
      <c r="L48" s="1766"/>
      <c r="M48" s="1767"/>
    </row>
    <row r="49" spans="1:13" ht="11.25" customHeight="1">
      <c r="A49" s="524" t="s">
        <v>1122</v>
      </c>
      <c r="B49" s="2418"/>
      <c r="C49" s="2320"/>
      <c r="D49" s="540"/>
      <c r="E49" s="2029"/>
      <c r="F49" s="2029"/>
      <c r="G49" s="1768"/>
      <c r="H49" s="1766"/>
      <c r="I49" s="1831"/>
      <c r="J49" s="1832"/>
      <c r="K49" s="1769"/>
      <c r="L49" s="1766"/>
      <c r="M49" s="1767"/>
    </row>
    <row r="50" spans="1:13" ht="11.25" customHeight="1">
      <c r="A50" s="524" t="s">
        <v>1123</v>
      </c>
      <c r="B50" s="2418"/>
      <c r="C50" s="2320"/>
      <c r="D50" s="541"/>
      <c r="E50" s="2030"/>
      <c r="F50" s="2030"/>
      <c r="G50" s="1768"/>
      <c r="H50" s="1766"/>
      <c r="I50" s="1831"/>
      <c r="J50" s="1832"/>
      <c r="K50" s="1769"/>
      <c r="L50" s="1766"/>
      <c r="M50" s="1767"/>
    </row>
    <row r="51" spans="1:13" ht="11.25" customHeight="1">
      <c r="A51" s="524" t="s">
        <v>1124</v>
      </c>
      <c r="B51" s="2418"/>
      <c r="C51" s="2320"/>
      <c r="D51" s="540"/>
      <c r="E51" s="2029"/>
      <c r="F51" s="2029"/>
      <c r="G51" s="1833"/>
      <c r="H51" s="1834"/>
      <c r="I51" s="1835"/>
      <c r="J51" s="1832"/>
      <c r="K51" s="1836"/>
      <c r="L51" s="1834"/>
      <c r="M51" s="1837"/>
    </row>
    <row r="52" spans="1:13" ht="11.25" customHeight="1">
      <c r="A52" s="524" t="s">
        <v>728</v>
      </c>
      <c r="B52" s="2418"/>
      <c r="C52" s="2320"/>
      <c r="D52" s="540"/>
      <c r="E52" s="2029"/>
      <c r="F52" s="2029"/>
      <c r="G52" s="1833"/>
      <c r="H52" s="1834"/>
      <c r="I52" s="1835"/>
      <c r="J52" s="1832"/>
      <c r="K52" s="1836"/>
      <c r="L52" s="1834"/>
      <c r="M52" s="1837"/>
    </row>
    <row r="53" spans="1:13" ht="12.75" customHeight="1">
      <c r="A53" s="524" t="s">
        <v>729</v>
      </c>
      <c r="B53" s="2418"/>
      <c r="C53" s="2320"/>
      <c r="D53" s="540"/>
      <c r="E53" s="2029"/>
      <c r="F53" s="2029"/>
      <c r="G53" s="1833"/>
      <c r="H53" s="1834"/>
      <c r="I53" s="1835"/>
      <c r="J53" s="1832"/>
      <c r="K53" s="1836"/>
      <c r="L53" s="1834"/>
      <c r="M53" s="1837"/>
    </row>
    <row r="54" spans="1:13" ht="11.25" customHeight="1">
      <c r="A54" s="525"/>
      <c r="B54" s="2418"/>
      <c r="C54" s="2320"/>
      <c r="D54" s="526"/>
      <c r="E54" s="526"/>
      <c r="F54" s="526"/>
      <c r="G54" s="455"/>
      <c r="H54" s="542"/>
      <c r="I54" s="538"/>
      <c r="J54" s="456"/>
      <c r="K54" s="501"/>
      <c r="L54" s="498"/>
      <c r="M54" s="499"/>
    </row>
    <row r="55" spans="1:13" ht="11.25" customHeight="1">
      <c r="A55" s="536" t="s">
        <v>2087</v>
      </c>
      <c r="B55" s="2418">
        <v>7</v>
      </c>
      <c r="C55" s="2320"/>
      <c r="D55" s="526"/>
      <c r="E55" s="526"/>
      <c r="F55" s="526"/>
      <c r="G55" s="455"/>
      <c r="H55" s="542"/>
      <c r="I55" s="538"/>
      <c r="J55" s="456"/>
      <c r="K55" s="501"/>
      <c r="L55" s="498"/>
      <c r="M55" s="499"/>
    </row>
    <row r="56" spans="1:13" ht="11.25" customHeight="1">
      <c r="A56" s="524" t="s">
        <v>1125</v>
      </c>
      <c r="B56" s="2418"/>
      <c r="C56" s="2320"/>
      <c r="D56" s="540"/>
      <c r="E56" s="2029"/>
      <c r="F56" s="2029"/>
      <c r="G56" s="1768"/>
      <c r="H56" s="1766"/>
      <c r="I56" s="1831"/>
      <c r="J56" s="1832"/>
      <c r="K56" s="1769"/>
      <c r="L56" s="1766"/>
      <c r="M56" s="1767"/>
    </row>
    <row r="57" spans="1:13" ht="11.25" customHeight="1">
      <c r="A57" s="524" t="s">
        <v>1126</v>
      </c>
      <c r="B57" s="2418"/>
      <c r="C57" s="2320"/>
      <c r="D57" s="540"/>
      <c r="E57" s="2029"/>
      <c r="F57" s="2029"/>
      <c r="G57" s="1768"/>
      <c r="H57" s="1766"/>
      <c r="I57" s="1831"/>
      <c r="J57" s="1832"/>
      <c r="K57" s="1769"/>
      <c r="L57" s="1766"/>
      <c r="M57" s="1767"/>
    </row>
    <row r="58" spans="1:13" ht="11.25" customHeight="1">
      <c r="A58" s="524" t="s">
        <v>583</v>
      </c>
      <c r="B58" s="2418"/>
      <c r="C58" s="2320"/>
      <c r="D58" s="540"/>
      <c r="E58" s="2029"/>
      <c r="F58" s="2029"/>
      <c r="G58" s="1768"/>
      <c r="H58" s="1766"/>
      <c r="I58" s="1831"/>
      <c r="J58" s="1832"/>
      <c r="K58" s="1769"/>
      <c r="L58" s="1766"/>
      <c r="M58" s="1767"/>
    </row>
    <row r="59" spans="1:13" ht="11.25" customHeight="1">
      <c r="A59" s="524" t="s">
        <v>584</v>
      </c>
      <c r="B59" s="2418"/>
      <c r="C59" s="2320"/>
      <c r="D59" s="540"/>
      <c r="E59" s="2029"/>
      <c r="F59" s="2029"/>
      <c r="G59" s="1768"/>
      <c r="H59" s="1766"/>
      <c r="I59" s="1831"/>
      <c r="J59" s="1832"/>
      <c r="K59" s="1769"/>
      <c r="L59" s="1766"/>
      <c r="M59" s="1767"/>
    </row>
    <row r="60" spans="1:13" ht="13.5" customHeight="1">
      <c r="A60" s="524" t="s">
        <v>585</v>
      </c>
      <c r="B60" s="2418"/>
      <c r="C60" s="2320"/>
      <c r="D60" s="540"/>
      <c r="E60" s="2029"/>
      <c r="F60" s="2029"/>
      <c r="G60" s="1768"/>
      <c r="H60" s="1766"/>
      <c r="I60" s="1831"/>
      <c r="J60" s="1832"/>
      <c r="K60" s="1769"/>
      <c r="L60" s="1766"/>
      <c r="M60" s="1767"/>
    </row>
    <row r="61" spans="1:13" s="709" customFormat="1" ht="3.75" customHeight="1">
      <c r="A61" s="543"/>
      <c r="B61" s="2344"/>
      <c r="C61" s="2345"/>
      <c r="D61" s="544"/>
      <c r="E61" s="544"/>
      <c r="F61" s="544"/>
      <c r="G61" s="545"/>
      <c r="H61" s="546"/>
      <c r="I61" s="547"/>
      <c r="J61" s="548"/>
      <c r="K61" s="549"/>
      <c r="L61" s="550"/>
      <c r="M61" s="551"/>
    </row>
    <row r="62" spans="1:13" s="709" customFormat="1" ht="18.75" customHeight="1">
      <c r="A62" s="2346" t="s">
        <v>2088</v>
      </c>
      <c r="B62" s="247"/>
      <c r="C62" s="149"/>
      <c r="D62" s="149"/>
      <c r="E62" s="149"/>
      <c r="F62" s="149"/>
      <c r="G62" s="309"/>
      <c r="H62" s="309"/>
      <c r="I62" s="309"/>
      <c r="J62" s="309"/>
      <c r="K62" s="309"/>
      <c r="L62" s="309"/>
      <c r="M62" s="309"/>
    </row>
    <row r="63" spans="1:13" s="709" customFormat="1" ht="25" customHeight="1">
      <c r="A63" s="2809" t="s">
        <v>2089</v>
      </c>
      <c r="B63" s="2347"/>
      <c r="C63" s="2348"/>
      <c r="D63" s="2349"/>
      <c r="E63" s="2350" t="str">
        <f>head1b</f>
        <v>2009/10</v>
      </c>
      <c r="F63" s="1124" t="str">
        <f>head1A</f>
        <v>2010/11</v>
      </c>
      <c r="G63" s="1125" t="str">
        <f>Head1</f>
        <v>2011/12</v>
      </c>
      <c r="H63" s="2773" t="str">
        <f>Head2</f>
        <v>Current Year 2012/13</v>
      </c>
      <c r="I63" s="2774"/>
      <c r="J63" s="2775"/>
      <c r="K63" s="2773" t="str">
        <f>Head3</f>
        <v>2013/14 Medium Term Revenue &amp; Expenditure Framework</v>
      </c>
      <c r="L63" s="2774"/>
      <c r="M63" s="2775"/>
    </row>
    <row r="64" spans="1:13" s="709" customFormat="1" ht="25" customHeight="1">
      <c r="A64" s="2809"/>
      <c r="B64" s="2351" t="s">
        <v>2003</v>
      </c>
      <c r="C64" s="1586"/>
      <c r="D64" s="1587"/>
      <c r="E64" s="2352" t="str">
        <f>Head5A</f>
        <v>Outcome</v>
      </c>
      <c r="F64" s="2353" t="str">
        <f>Head5A</f>
        <v>Outcome</v>
      </c>
      <c r="G64" s="2354" t="str">
        <f>Head5A</f>
        <v>Outcome</v>
      </c>
      <c r="H64" s="2355" t="str">
        <f>Head6</f>
        <v>Original Budget</v>
      </c>
      <c r="I64" s="2353" t="str">
        <f>Head7</f>
        <v>Adjusted Budget</v>
      </c>
      <c r="J64" s="2354" t="str">
        <f>Head8</f>
        <v>Full Year Forecast</v>
      </c>
      <c r="K64" s="2355" t="str">
        <f>Head9</f>
        <v>Budget Year 2013/14</v>
      </c>
      <c r="L64" s="2353" t="str">
        <f>Head10</f>
        <v>Budget Year +1 2014/15</v>
      </c>
      <c r="M64" s="2354" t="str">
        <f>Head11</f>
        <v>Budget Year +2 2015/16</v>
      </c>
    </row>
    <row r="65" spans="1:13" s="709" customFormat="1" ht="11.25" customHeight="1">
      <c r="A65" s="149"/>
      <c r="B65" s="2356"/>
      <c r="C65" s="2357" t="s">
        <v>201</v>
      </c>
      <c r="D65" s="2388"/>
      <c r="E65" s="556"/>
      <c r="F65" s="2358"/>
      <c r="G65" s="2359"/>
      <c r="H65" s="2360"/>
      <c r="I65" s="2361"/>
      <c r="J65" s="2362"/>
      <c r="K65" s="2363"/>
      <c r="L65" s="2361"/>
      <c r="M65" s="2364"/>
    </row>
    <row r="66" spans="1:13" s="709" customFormat="1" ht="11.25" customHeight="1">
      <c r="A66" s="149"/>
      <c r="B66" s="2356"/>
      <c r="C66" s="2365" t="s">
        <v>1865</v>
      </c>
      <c r="D66" s="2389"/>
      <c r="E66" s="1135"/>
      <c r="F66" s="1131"/>
      <c r="G66" s="1134"/>
      <c r="H66" s="1066"/>
      <c r="I66" s="1064"/>
      <c r="J66" s="1067"/>
      <c r="K66" s="1068"/>
      <c r="L66" s="1064"/>
      <c r="M66" s="1065"/>
    </row>
    <row r="67" spans="1:13" ht="11.25" customHeight="1">
      <c r="B67" s="2356"/>
      <c r="C67" s="2366" t="s">
        <v>1652</v>
      </c>
      <c r="D67" s="2389"/>
      <c r="E67" s="1665"/>
      <c r="F67" s="1661"/>
      <c r="G67" s="1662"/>
      <c r="H67" s="2478"/>
      <c r="I67" s="1661"/>
      <c r="J67" s="1664"/>
      <c r="K67" s="1665"/>
      <c r="L67" s="1661"/>
      <c r="M67" s="1662"/>
    </row>
    <row r="68" spans="1:13" ht="11.25" customHeight="1">
      <c r="B68" s="2356"/>
      <c r="C68" s="2366" t="s">
        <v>1864</v>
      </c>
      <c r="D68" s="2389"/>
      <c r="E68" s="1665"/>
      <c r="F68" s="1661"/>
      <c r="G68" s="1662"/>
      <c r="H68" s="2478"/>
      <c r="I68" s="1661"/>
      <c r="J68" s="1664"/>
      <c r="K68" s="1665"/>
      <c r="L68" s="1661"/>
      <c r="M68" s="1662"/>
    </row>
    <row r="69" spans="1:13" ht="11.25" customHeight="1">
      <c r="B69" s="2367">
        <v>8</v>
      </c>
      <c r="C69" s="2366" t="s">
        <v>131</v>
      </c>
      <c r="D69" s="2389"/>
      <c r="E69" s="1665"/>
      <c r="F69" s="1661"/>
      <c r="G69" s="1662"/>
      <c r="H69" s="2478"/>
      <c r="I69" s="1661"/>
      <c r="J69" s="1664"/>
      <c r="K69" s="1665"/>
      <c r="L69" s="1661"/>
      <c r="M69" s="1662"/>
    </row>
    <row r="70" spans="1:13" ht="11.25" customHeight="1">
      <c r="B70" s="2367">
        <v>10</v>
      </c>
      <c r="C70" s="2366" t="s">
        <v>132</v>
      </c>
      <c r="D70" s="2389"/>
      <c r="E70" s="1665"/>
      <c r="F70" s="1661"/>
      <c r="G70" s="1662"/>
      <c r="H70" s="2478"/>
      <c r="I70" s="1661"/>
      <c r="J70" s="1664"/>
      <c r="K70" s="1665"/>
      <c r="L70" s="1661"/>
      <c r="M70" s="1662"/>
    </row>
    <row r="71" spans="1:13" ht="11.25" customHeight="1">
      <c r="B71" s="2367"/>
      <c r="C71" s="2368" t="s">
        <v>377</v>
      </c>
      <c r="D71" s="2389"/>
      <c r="E71" s="2483">
        <f>SUM(E67:E70)</f>
        <v>0</v>
      </c>
      <c r="F71" s="2479">
        <f t="shared" ref="F71:M71" si="3">SUM(F67:F70)</f>
        <v>0</v>
      </c>
      <c r="G71" s="2480">
        <f t="shared" si="3"/>
        <v>0</v>
      </c>
      <c r="H71" s="2481">
        <f t="shared" si="3"/>
        <v>0</v>
      </c>
      <c r="I71" s="2479">
        <f t="shared" si="3"/>
        <v>0</v>
      </c>
      <c r="J71" s="2482">
        <f t="shared" si="3"/>
        <v>0</v>
      </c>
      <c r="K71" s="2483">
        <f t="shared" si="3"/>
        <v>0</v>
      </c>
      <c r="L71" s="2479">
        <f t="shared" si="3"/>
        <v>0</v>
      </c>
      <c r="M71" s="2480">
        <f t="shared" si="3"/>
        <v>0</v>
      </c>
    </row>
    <row r="72" spans="1:13" ht="11.25" customHeight="1">
      <c r="B72" s="2367">
        <v>9</v>
      </c>
      <c r="C72" s="2366" t="s">
        <v>506</v>
      </c>
      <c r="D72" s="2389"/>
      <c r="E72" s="1665"/>
      <c r="F72" s="1661"/>
      <c r="G72" s="1662"/>
      <c r="H72" s="2478"/>
      <c r="I72" s="1661"/>
      <c r="J72" s="1664"/>
      <c r="K72" s="1665"/>
      <c r="L72" s="1661"/>
      <c r="M72" s="1662"/>
    </row>
    <row r="73" spans="1:13" ht="11.25" customHeight="1">
      <c r="B73" s="2367">
        <v>10</v>
      </c>
      <c r="C73" s="2366" t="s">
        <v>507</v>
      </c>
      <c r="D73" s="2389"/>
      <c r="E73" s="1665"/>
      <c r="F73" s="1661"/>
      <c r="G73" s="1662"/>
      <c r="H73" s="2478"/>
      <c r="I73" s="1661"/>
      <c r="J73" s="1664"/>
      <c r="K73" s="1665"/>
      <c r="L73" s="1661"/>
      <c r="M73" s="1662"/>
    </row>
    <row r="74" spans="1:13" ht="11.25" customHeight="1">
      <c r="B74" s="2356"/>
      <c r="C74" s="2366" t="s">
        <v>974</v>
      </c>
      <c r="D74" s="2389"/>
      <c r="E74" s="1665"/>
      <c r="F74" s="1661"/>
      <c r="G74" s="1662"/>
      <c r="H74" s="2478"/>
      <c r="I74" s="1661"/>
      <c r="J74" s="1664"/>
      <c r="K74" s="1665"/>
      <c r="L74" s="1661"/>
      <c r="M74" s="1662"/>
    </row>
    <row r="75" spans="1:13" ht="11.25" customHeight="1">
      <c r="B75" s="2356"/>
      <c r="C75" s="2368" t="s">
        <v>1294</v>
      </c>
      <c r="D75" s="2389"/>
      <c r="E75" s="2488">
        <f>SUM(E72:E74)</f>
        <v>0</v>
      </c>
      <c r="F75" s="2484">
        <f t="shared" ref="F75:M75" si="4">SUM(F72:F74)</f>
        <v>0</v>
      </c>
      <c r="G75" s="2485">
        <f t="shared" si="4"/>
        <v>0</v>
      </c>
      <c r="H75" s="2486">
        <f t="shared" si="4"/>
        <v>0</v>
      </c>
      <c r="I75" s="2484">
        <f t="shared" si="4"/>
        <v>0</v>
      </c>
      <c r="J75" s="2487">
        <f t="shared" si="4"/>
        <v>0</v>
      </c>
      <c r="K75" s="2488">
        <f t="shared" si="4"/>
        <v>0</v>
      </c>
      <c r="L75" s="2484">
        <f t="shared" si="4"/>
        <v>0</v>
      </c>
      <c r="M75" s="2485">
        <f t="shared" si="4"/>
        <v>0</v>
      </c>
    </row>
    <row r="76" spans="1:13" ht="11.25" customHeight="1">
      <c r="B76" s="2356"/>
      <c r="C76" s="2369" t="s">
        <v>1332</v>
      </c>
      <c r="D76" s="2389"/>
      <c r="E76" s="2493">
        <f>E71+E75</f>
        <v>0</v>
      </c>
      <c r="F76" s="2489">
        <f t="shared" ref="F76:M76" si="5">F71+F75</f>
        <v>0</v>
      </c>
      <c r="G76" s="2490">
        <f t="shared" si="5"/>
        <v>0</v>
      </c>
      <c r="H76" s="2491">
        <f t="shared" si="5"/>
        <v>0</v>
      </c>
      <c r="I76" s="2489">
        <f t="shared" si="5"/>
        <v>0</v>
      </c>
      <c r="J76" s="2492">
        <f t="shared" si="5"/>
        <v>0</v>
      </c>
      <c r="K76" s="2493">
        <f t="shared" si="5"/>
        <v>0</v>
      </c>
      <c r="L76" s="2489">
        <f t="shared" si="5"/>
        <v>0</v>
      </c>
      <c r="M76" s="2490">
        <f t="shared" si="5"/>
        <v>0</v>
      </c>
    </row>
    <row r="77" spans="1:13" ht="11.25" customHeight="1">
      <c r="B77" s="2356"/>
      <c r="C77" s="2365" t="s">
        <v>1333</v>
      </c>
      <c r="D77" s="2389"/>
      <c r="E77" s="2498"/>
      <c r="F77" s="2494"/>
      <c r="G77" s="2497"/>
      <c r="H77" s="2496"/>
      <c r="I77" s="2494"/>
      <c r="J77" s="2497"/>
      <c r="K77" s="2498"/>
      <c r="L77" s="2494"/>
      <c r="M77" s="2495"/>
    </row>
    <row r="78" spans="1:13" ht="11.25" customHeight="1">
      <c r="B78" s="2356"/>
      <c r="C78" s="2366" t="s">
        <v>1334</v>
      </c>
      <c r="D78" s="2389"/>
      <c r="E78" s="1665"/>
      <c r="F78" s="1661"/>
      <c r="G78" s="1662"/>
      <c r="H78" s="2478"/>
      <c r="I78" s="1661"/>
      <c r="J78" s="1664"/>
      <c r="K78" s="1665"/>
      <c r="L78" s="1661"/>
      <c r="M78" s="1662"/>
    </row>
    <row r="79" spans="1:13" ht="11.25" customHeight="1">
      <c r="B79" s="2356"/>
      <c r="C79" s="2366" t="s">
        <v>1335</v>
      </c>
      <c r="D79" s="2389"/>
      <c r="E79" s="1665"/>
      <c r="F79" s="1661"/>
      <c r="G79" s="1662"/>
      <c r="H79" s="2478"/>
      <c r="I79" s="1661"/>
      <c r="J79" s="1664"/>
      <c r="K79" s="1665"/>
      <c r="L79" s="1661"/>
      <c r="M79" s="1662"/>
    </row>
    <row r="80" spans="1:13" ht="11.25" customHeight="1">
      <c r="B80" s="2356"/>
      <c r="C80" s="2366" t="s">
        <v>1407</v>
      </c>
      <c r="D80" s="2389"/>
      <c r="E80" s="1665"/>
      <c r="F80" s="1661"/>
      <c r="G80" s="1662"/>
      <c r="H80" s="2478"/>
      <c r="I80" s="1661"/>
      <c r="J80" s="1664"/>
      <c r="K80" s="1665"/>
      <c r="L80" s="1661"/>
      <c r="M80" s="1662"/>
    </row>
    <row r="81" spans="2:13" ht="11.25" customHeight="1">
      <c r="B81" s="2356"/>
      <c r="C81" s="2366" t="s">
        <v>242</v>
      </c>
      <c r="D81" s="2389"/>
      <c r="E81" s="1665"/>
      <c r="F81" s="1661"/>
      <c r="G81" s="1662"/>
      <c r="H81" s="2478"/>
      <c r="I81" s="1661"/>
      <c r="J81" s="1664"/>
      <c r="K81" s="1665"/>
      <c r="L81" s="1661"/>
      <c r="M81" s="1662"/>
    </row>
    <row r="82" spans="2:13" ht="11.25" customHeight="1">
      <c r="B82" s="2356"/>
      <c r="C82" s="2366" t="s">
        <v>244</v>
      </c>
      <c r="D82" s="2389"/>
      <c r="E82" s="1665"/>
      <c r="F82" s="1661"/>
      <c r="G82" s="1662"/>
      <c r="H82" s="2478"/>
      <c r="I82" s="1661"/>
      <c r="J82" s="1664"/>
      <c r="K82" s="1665"/>
      <c r="L82" s="1661"/>
      <c r="M82" s="1662"/>
    </row>
    <row r="83" spans="2:13" ht="11.25" customHeight="1">
      <c r="B83" s="2356"/>
      <c r="C83" s="2368" t="s">
        <v>377</v>
      </c>
      <c r="D83" s="2389"/>
      <c r="E83" s="2483">
        <f>SUM(E78:E82)</f>
        <v>0</v>
      </c>
      <c r="F83" s="2479">
        <f t="shared" ref="F83:M83" si="6">SUM(F78:F82)</f>
        <v>0</v>
      </c>
      <c r="G83" s="2480">
        <f t="shared" si="6"/>
        <v>0</v>
      </c>
      <c r="H83" s="2481">
        <f t="shared" si="6"/>
        <v>0</v>
      </c>
      <c r="I83" s="2479">
        <f t="shared" si="6"/>
        <v>0</v>
      </c>
      <c r="J83" s="2482">
        <f t="shared" si="6"/>
        <v>0</v>
      </c>
      <c r="K83" s="2483">
        <f t="shared" si="6"/>
        <v>0</v>
      </c>
      <c r="L83" s="2479">
        <f t="shared" si="6"/>
        <v>0</v>
      </c>
      <c r="M83" s="2480">
        <f t="shared" si="6"/>
        <v>0</v>
      </c>
    </row>
    <row r="84" spans="2:13" ht="11.25" customHeight="1">
      <c r="B84" s="2356"/>
      <c r="C84" s="2366" t="s">
        <v>243</v>
      </c>
      <c r="D84" s="2389"/>
      <c r="E84" s="1665"/>
      <c r="F84" s="1661"/>
      <c r="G84" s="1662"/>
      <c r="H84" s="2478"/>
      <c r="I84" s="1661"/>
      <c r="J84" s="1664"/>
      <c r="K84" s="1665"/>
      <c r="L84" s="1661"/>
      <c r="M84" s="1662"/>
    </row>
    <row r="85" spans="2:13" ht="11.25" customHeight="1">
      <c r="B85" s="2356"/>
      <c r="C85" s="2366" t="s">
        <v>1238</v>
      </c>
      <c r="D85" s="2389"/>
      <c r="E85" s="1665"/>
      <c r="F85" s="1661"/>
      <c r="G85" s="1662"/>
      <c r="H85" s="2478"/>
      <c r="I85" s="1661"/>
      <c r="J85" s="1664"/>
      <c r="K85" s="1665"/>
      <c r="L85" s="1661"/>
      <c r="M85" s="1662"/>
    </row>
    <row r="86" spans="2:13" ht="11.25" customHeight="1">
      <c r="B86" s="2356"/>
      <c r="C86" s="2366" t="s">
        <v>1409</v>
      </c>
      <c r="D86" s="2389"/>
      <c r="E86" s="1665"/>
      <c r="F86" s="1661"/>
      <c r="G86" s="1662"/>
      <c r="H86" s="2478"/>
      <c r="I86" s="1661"/>
      <c r="J86" s="1664"/>
      <c r="K86" s="1665"/>
      <c r="L86" s="1661"/>
      <c r="M86" s="1662"/>
    </row>
    <row r="87" spans="2:13" ht="11.25" customHeight="1">
      <c r="B87" s="2356"/>
      <c r="C87" s="2368" t="s">
        <v>1294</v>
      </c>
      <c r="D87" s="2389"/>
      <c r="E87" s="2488">
        <f>SUM(E84:E86)</f>
        <v>0</v>
      </c>
      <c r="F87" s="2484">
        <f t="shared" ref="F87:M87" si="7">SUM(F84:F86)</f>
        <v>0</v>
      </c>
      <c r="G87" s="2485">
        <f t="shared" si="7"/>
        <v>0</v>
      </c>
      <c r="H87" s="2486">
        <f t="shared" si="7"/>
        <v>0</v>
      </c>
      <c r="I87" s="2484">
        <f t="shared" si="7"/>
        <v>0</v>
      </c>
      <c r="J87" s="2487">
        <f t="shared" si="7"/>
        <v>0</v>
      </c>
      <c r="K87" s="2488">
        <f t="shared" si="7"/>
        <v>0</v>
      </c>
      <c r="L87" s="2484">
        <f t="shared" si="7"/>
        <v>0</v>
      </c>
      <c r="M87" s="2485">
        <f t="shared" si="7"/>
        <v>0</v>
      </c>
    </row>
    <row r="88" spans="2:13" ht="11.25" customHeight="1">
      <c r="B88" s="2356"/>
      <c r="C88" s="2369" t="s">
        <v>1332</v>
      </c>
      <c r="D88" s="2389"/>
      <c r="E88" s="2493">
        <f>E83+E87</f>
        <v>0</v>
      </c>
      <c r="F88" s="2489">
        <f t="shared" ref="F88:M88" si="8">F83+F87</f>
        <v>0</v>
      </c>
      <c r="G88" s="2490">
        <f t="shared" si="8"/>
        <v>0</v>
      </c>
      <c r="H88" s="2491">
        <f t="shared" si="8"/>
        <v>0</v>
      </c>
      <c r="I88" s="2489">
        <f t="shared" si="8"/>
        <v>0</v>
      </c>
      <c r="J88" s="2492">
        <f t="shared" si="8"/>
        <v>0</v>
      </c>
      <c r="K88" s="2493">
        <f t="shared" si="8"/>
        <v>0</v>
      </c>
      <c r="L88" s="2489">
        <f t="shared" si="8"/>
        <v>0</v>
      </c>
      <c r="M88" s="2490">
        <f t="shared" si="8"/>
        <v>0</v>
      </c>
    </row>
    <row r="89" spans="2:13" ht="11.25" customHeight="1">
      <c r="B89" s="2356"/>
      <c r="C89" s="2365" t="s">
        <v>689</v>
      </c>
      <c r="D89" s="2389"/>
      <c r="E89" s="2498"/>
      <c r="F89" s="2494"/>
      <c r="G89" s="2497"/>
      <c r="H89" s="2496"/>
      <c r="I89" s="2494"/>
      <c r="J89" s="2497"/>
      <c r="K89" s="2498"/>
      <c r="L89" s="2494"/>
      <c r="M89" s="2495"/>
    </row>
    <row r="90" spans="2:13" ht="11.25" customHeight="1">
      <c r="B90" s="2356"/>
      <c r="C90" s="2366" t="s">
        <v>1239</v>
      </c>
      <c r="D90" s="2389"/>
      <c r="E90" s="1665"/>
      <c r="F90" s="1661"/>
      <c r="G90" s="1662"/>
      <c r="H90" s="2478"/>
      <c r="I90" s="1661"/>
      <c r="J90" s="1664"/>
      <c r="K90" s="1665"/>
      <c r="L90" s="1661"/>
      <c r="M90" s="1662"/>
    </row>
    <row r="91" spans="2:13" ht="11.25" customHeight="1">
      <c r="B91" s="2356"/>
      <c r="C91" s="2366" t="s">
        <v>508</v>
      </c>
      <c r="D91" s="2389"/>
      <c r="E91" s="1665"/>
      <c r="F91" s="1661"/>
      <c r="G91" s="1662"/>
      <c r="H91" s="2478"/>
      <c r="I91" s="1661"/>
      <c r="J91" s="1664"/>
      <c r="K91" s="1665"/>
      <c r="L91" s="1661"/>
      <c r="M91" s="1662"/>
    </row>
    <row r="92" spans="2:13" ht="11.25" customHeight="1">
      <c r="B92" s="2356"/>
      <c r="C92" s="2368" t="s">
        <v>377</v>
      </c>
      <c r="D92" s="2389"/>
      <c r="E92" s="2483">
        <f>SUM(E90:E91)</f>
        <v>0</v>
      </c>
      <c r="F92" s="2479">
        <f t="shared" ref="F92:M92" si="9">SUM(F90:F91)</f>
        <v>0</v>
      </c>
      <c r="G92" s="2480">
        <f t="shared" si="9"/>
        <v>0</v>
      </c>
      <c r="H92" s="2481">
        <f t="shared" si="9"/>
        <v>0</v>
      </c>
      <c r="I92" s="2479">
        <f t="shared" si="9"/>
        <v>0</v>
      </c>
      <c r="J92" s="2482">
        <f t="shared" si="9"/>
        <v>0</v>
      </c>
      <c r="K92" s="2483">
        <f t="shared" si="9"/>
        <v>0</v>
      </c>
      <c r="L92" s="2479">
        <f t="shared" si="9"/>
        <v>0</v>
      </c>
      <c r="M92" s="2480">
        <f t="shared" si="9"/>
        <v>0</v>
      </c>
    </row>
    <row r="93" spans="2:13" ht="11.25" customHeight="1">
      <c r="B93" s="2356"/>
      <c r="C93" s="2366" t="s">
        <v>509</v>
      </c>
      <c r="D93" s="2389"/>
      <c r="E93" s="1665"/>
      <c r="F93" s="1661"/>
      <c r="G93" s="1662"/>
      <c r="H93" s="2478"/>
      <c r="I93" s="1661"/>
      <c r="J93" s="1664"/>
      <c r="K93" s="1665"/>
      <c r="L93" s="1661"/>
      <c r="M93" s="1662"/>
    </row>
    <row r="94" spans="2:13" ht="11.25" customHeight="1">
      <c r="B94" s="2356"/>
      <c r="C94" s="2366" t="s">
        <v>510</v>
      </c>
      <c r="D94" s="2389"/>
      <c r="E94" s="1665"/>
      <c r="F94" s="1661"/>
      <c r="G94" s="1662"/>
      <c r="H94" s="2478"/>
      <c r="I94" s="1661"/>
      <c r="J94" s="1664"/>
      <c r="K94" s="1665"/>
      <c r="L94" s="1661"/>
      <c r="M94" s="1662"/>
    </row>
    <row r="95" spans="2:13" ht="11.25" customHeight="1">
      <c r="B95" s="2356"/>
      <c r="C95" s="2366" t="s">
        <v>690</v>
      </c>
      <c r="D95" s="2389"/>
      <c r="E95" s="1665"/>
      <c r="F95" s="1661"/>
      <c r="G95" s="1662"/>
      <c r="H95" s="2478"/>
      <c r="I95" s="1661"/>
      <c r="J95" s="1664"/>
      <c r="K95" s="1665"/>
      <c r="L95" s="1661"/>
      <c r="M95" s="1662"/>
    </row>
    <row r="96" spans="2:13" ht="11.25" customHeight="1">
      <c r="B96" s="2356"/>
      <c r="C96" s="2368" t="s">
        <v>1294</v>
      </c>
      <c r="D96" s="2389"/>
      <c r="E96" s="2488">
        <f>SUM(E93:E95)</f>
        <v>0</v>
      </c>
      <c r="F96" s="2484">
        <f t="shared" ref="F96:M96" si="10">SUM(F93:F95)</f>
        <v>0</v>
      </c>
      <c r="G96" s="2485">
        <f t="shared" si="10"/>
        <v>0</v>
      </c>
      <c r="H96" s="2486">
        <f t="shared" si="10"/>
        <v>0</v>
      </c>
      <c r="I96" s="2484">
        <f t="shared" si="10"/>
        <v>0</v>
      </c>
      <c r="J96" s="2487">
        <f t="shared" si="10"/>
        <v>0</v>
      </c>
      <c r="K96" s="2488">
        <f t="shared" si="10"/>
        <v>0</v>
      </c>
      <c r="L96" s="2484">
        <f t="shared" si="10"/>
        <v>0</v>
      </c>
      <c r="M96" s="2485">
        <f t="shared" si="10"/>
        <v>0</v>
      </c>
    </row>
    <row r="97" spans="1:13" ht="11.25" customHeight="1">
      <c r="B97" s="2356"/>
      <c r="C97" s="2369" t="s">
        <v>1332</v>
      </c>
      <c r="D97" s="2389"/>
      <c r="E97" s="2493">
        <f>E92+E96</f>
        <v>0</v>
      </c>
      <c r="F97" s="2489">
        <f t="shared" ref="F97:M97" si="11">F92+F96</f>
        <v>0</v>
      </c>
      <c r="G97" s="2490">
        <f t="shared" si="11"/>
        <v>0</v>
      </c>
      <c r="H97" s="2491">
        <f t="shared" si="11"/>
        <v>0</v>
      </c>
      <c r="I97" s="2489">
        <f t="shared" si="11"/>
        <v>0</v>
      </c>
      <c r="J97" s="2492">
        <f t="shared" si="11"/>
        <v>0</v>
      </c>
      <c r="K97" s="2493">
        <f t="shared" si="11"/>
        <v>0</v>
      </c>
      <c r="L97" s="2489">
        <f t="shared" si="11"/>
        <v>0</v>
      </c>
      <c r="M97" s="2490">
        <f t="shared" si="11"/>
        <v>0</v>
      </c>
    </row>
    <row r="98" spans="1:13" ht="11.25" customHeight="1">
      <c r="B98" s="2356"/>
      <c r="C98" s="2365" t="s">
        <v>693</v>
      </c>
      <c r="D98" s="2389"/>
      <c r="E98" s="2498"/>
      <c r="F98" s="2494"/>
      <c r="G98" s="2497"/>
      <c r="H98" s="2496"/>
      <c r="I98" s="2494"/>
      <c r="J98" s="2497"/>
      <c r="K98" s="2498"/>
      <c r="L98" s="2494"/>
      <c r="M98" s="2495"/>
    </row>
    <row r="99" spans="1:13" ht="11.25" customHeight="1">
      <c r="B99" s="2356"/>
      <c r="C99" s="2366" t="s">
        <v>745</v>
      </c>
      <c r="D99" s="2389"/>
      <c r="E99" s="1671"/>
      <c r="F99" s="1669"/>
      <c r="G99" s="1670"/>
      <c r="H99" s="2499"/>
      <c r="I99" s="1669"/>
      <c r="J99" s="2500"/>
      <c r="K99" s="1671"/>
      <c r="L99" s="1669"/>
      <c r="M99" s="1670"/>
    </row>
    <row r="100" spans="1:13" ht="11.25" customHeight="1">
      <c r="B100" s="2356"/>
      <c r="C100" s="2368" t="s">
        <v>377</v>
      </c>
      <c r="D100" s="2389"/>
      <c r="E100" s="2498">
        <f>SUM(E99)</f>
        <v>0</v>
      </c>
      <c r="F100" s="2494">
        <f t="shared" ref="F100:M100" si="12">SUM(F99)</f>
        <v>0</v>
      </c>
      <c r="G100" s="2495">
        <f t="shared" si="12"/>
        <v>0</v>
      </c>
      <c r="H100" s="2496">
        <f t="shared" si="12"/>
        <v>0</v>
      </c>
      <c r="I100" s="2494">
        <f t="shared" si="12"/>
        <v>0</v>
      </c>
      <c r="J100" s="2497">
        <f t="shared" si="12"/>
        <v>0</v>
      </c>
      <c r="K100" s="2498">
        <f t="shared" si="12"/>
        <v>0</v>
      </c>
      <c r="L100" s="2494">
        <f t="shared" si="12"/>
        <v>0</v>
      </c>
      <c r="M100" s="2495">
        <f t="shared" si="12"/>
        <v>0</v>
      </c>
    </row>
    <row r="101" spans="1:13" ht="11.25" customHeight="1">
      <c r="B101" s="2356"/>
      <c r="C101" s="2366" t="s">
        <v>694</v>
      </c>
      <c r="D101" s="2389"/>
      <c r="E101" s="1665"/>
      <c r="F101" s="1661"/>
      <c r="G101" s="1662"/>
      <c r="H101" s="2478"/>
      <c r="I101" s="1661"/>
      <c r="J101" s="1664"/>
      <c r="K101" s="1665"/>
      <c r="L101" s="1661"/>
      <c r="M101" s="1662"/>
    </row>
    <row r="102" spans="1:13" ht="11.25" customHeight="1">
      <c r="B102" s="2356"/>
      <c r="C102" s="2366" t="s">
        <v>695</v>
      </c>
      <c r="D102" s="2389"/>
      <c r="E102" s="1665"/>
      <c r="F102" s="1661"/>
      <c r="G102" s="1662"/>
      <c r="H102" s="2478"/>
      <c r="I102" s="1661"/>
      <c r="J102" s="1664"/>
      <c r="K102" s="1665"/>
      <c r="L102" s="1661"/>
      <c r="M102" s="1662"/>
    </row>
    <row r="103" spans="1:13" ht="11.25" customHeight="1">
      <c r="B103" s="2356"/>
      <c r="C103" s="2366" t="s">
        <v>884</v>
      </c>
      <c r="D103" s="2389"/>
      <c r="E103" s="1665"/>
      <c r="F103" s="1661"/>
      <c r="G103" s="1662"/>
      <c r="H103" s="2478"/>
      <c r="I103" s="1661"/>
      <c r="J103" s="1664"/>
      <c r="K103" s="1665"/>
      <c r="L103" s="1661"/>
      <c r="M103" s="1662"/>
    </row>
    <row r="104" spans="1:13" ht="11.25" customHeight="1">
      <c r="B104" s="2356"/>
      <c r="C104" s="2366" t="s">
        <v>885</v>
      </c>
      <c r="D104" s="2389"/>
      <c r="E104" s="1665"/>
      <c r="F104" s="1661"/>
      <c r="G104" s="1662"/>
      <c r="H104" s="2478"/>
      <c r="I104" s="1661"/>
      <c r="J104" s="1664"/>
      <c r="K104" s="1665"/>
      <c r="L104" s="1661"/>
      <c r="M104" s="1662"/>
    </row>
    <row r="105" spans="1:13" ht="11.25" customHeight="1">
      <c r="B105" s="2356"/>
      <c r="C105" s="2366" t="s">
        <v>199</v>
      </c>
      <c r="D105" s="2389"/>
      <c r="E105" s="1665"/>
      <c r="F105" s="1661"/>
      <c r="G105" s="1662"/>
      <c r="H105" s="2478"/>
      <c r="I105" s="1661"/>
      <c r="J105" s="1664"/>
      <c r="K105" s="1665"/>
      <c r="L105" s="1661"/>
      <c r="M105" s="1662"/>
    </row>
    <row r="106" spans="1:13" ht="11.25" customHeight="1">
      <c r="B106" s="2356"/>
      <c r="C106" s="2368" t="s">
        <v>1294</v>
      </c>
      <c r="D106" s="2389"/>
      <c r="E106" s="2488">
        <f t="shared" ref="E106:M106" si="13">SUM(E101:E105)</f>
        <v>0</v>
      </c>
      <c r="F106" s="2484">
        <f t="shared" si="13"/>
        <v>0</v>
      </c>
      <c r="G106" s="2485">
        <f t="shared" si="13"/>
        <v>0</v>
      </c>
      <c r="H106" s="2486">
        <f t="shared" si="13"/>
        <v>0</v>
      </c>
      <c r="I106" s="2484">
        <f t="shared" si="13"/>
        <v>0</v>
      </c>
      <c r="J106" s="2487">
        <f t="shared" si="13"/>
        <v>0</v>
      </c>
      <c r="K106" s="2488">
        <f t="shared" si="13"/>
        <v>0</v>
      </c>
      <c r="L106" s="2484">
        <f t="shared" si="13"/>
        <v>0</v>
      </c>
      <c r="M106" s="2485">
        <f t="shared" si="13"/>
        <v>0</v>
      </c>
    </row>
    <row r="107" spans="1:13" ht="11.25" customHeight="1">
      <c r="B107" s="2356"/>
      <c r="C107" s="2369" t="s">
        <v>1332</v>
      </c>
      <c r="D107" s="2389"/>
      <c r="E107" s="2493">
        <f>E100+E106</f>
        <v>0</v>
      </c>
      <c r="F107" s="2489">
        <f t="shared" ref="F107:M107" si="14">F100+F106</f>
        <v>0</v>
      </c>
      <c r="G107" s="2490">
        <f t="shared" si="14"/>
        <v>0</v>
      </c>
      <c r="H107" s="2491">
        <f t="shared" si="14"/>
        <v>0</v>
      </c>
      <c r="I107" s="2489">
        <f t="shared" si="14"/>
        <v>0</v>
      </c>
      <c r="J107" s="2492">
        <f t="shared" si="14"/>
        <v>0</v>
      </c>
      <c r="K107" s="2493">
        <f t="shared" si="14"/>
        <v>0</v>
      </c>
      <c r="L107" s="2489">
        <f t="shared" si="14"/>
        <v>0</v>
      </c>
      <c r="M107" s="2490">
        <f t="shared" si="14"/>
        <v>0</v>
      </c>
    </row>
    <row r="108" spans="1:13" ht="5" customHeight="1">
      <c r="B108" s="2356"/>
      <c r="C108" s="2370"/>
      <c r="D108" s="2390"/>
      <c r="E108" s="1147"/>
      <c r="F108" s="1143"/>
      <c r="G108" s="1144"/>
      <c r="H108" s="1145"/>
      <c r="I108" s="1143"/>
      <c r="J108" s="1146"/>
      <c r="K108" s="1147"/>
      <c r="L108" s="1143"/>
      <c r="M108" s="1144"/>
    </row>
    <row r="109" spans="1:13" ht="25" customHeight="1">
      <c r="A109" s="2809" t="s">
        <v>2090</v>
      </c>
      <c r="B109" s="2347"/>
      <c r="C109" s="2348"/>
      <c r="D109" s="2349"/>
      <c r="E109" s="2350" t="str">
        <f>head1b</f>
        <v>2009/10</v>
      </c>
      <c r="F109" s="1124" t="str">
        <f>head1A</f>
        <v>2010/11</v>
      </c>
      <c r="G109" s="1125" t="str">
        <f>Head1</f>
        <v>2011/12</v>
      </c>
      <c r="H109" s="2773" t="str">
        <f>Head2</f>
        <v>Current Year 2012/13</v>
      </c>
      <c r="I109" s="2774"/>
      <c r="J109" s="2775"/>
      <c r="K109" s="2773" t="str">
        <f>Head3</f>
        <v>2013/14 Medium Term Revenue &amp; Expenditure Framework</v>
      </c>
      <c r="L109" s="2774"/>
      <c r="M109" s="2775"/>
    </row>
    <row r="110" spans="1:13" ht="25" customHeight="1">
      <c r="A110" s="2809"/>
      <c r="B110" s="2351" t="s">
        <v>2003</v>
      </c>
      <c r="C110" s="1586"/>
      <c r="D110" s="1587"/>
      <c r="E110" s="2352" t="str">
        <f>Head5A</f>
        <v>Outcome</v>
      </c>
      <c r="F110" s="2353" t="str">
        <f>Head5A</f>
        <v>Outcome</v>
      </c>
      <c r="G110" s="2354" t="str">
        <f>Head5A</f>
        <v>Outcome</v>
      </c>
      <c r="H110" s="2355" t="str">
        <f>Head6</f>
        <v>Original Budget</v>
      </c>
      <c r="I110" s="2353" t="str">
        <f>Head7</f>
        <v>Adjusted Budget</v>
      </c>
      <c r="J110" s="2354" t="str">
        <f>Head8</f>
        <v>Full Year Forecast</v>
      </c>
      <c r="K110" s="2355" t="str">
        <f>Head9</f>
        <v>Budget Year 2013/14</v>
      </c>
      <c r="L110" s="2353" t="str">
        <f>Head10</f>
        <v>Budget Year +1 2014/15</v>
      </c>
      <c r="M110" s="2354" t="str">
        <f>Head11</f>
        <v>Budget Year +2 2015/16</v>
      </c>
    </row>
    <row r="111" spans="1:13" ht="11.25" customHeight="1">
      <c r="B111" s="2356"/>
      <c r="C111" s="2357" t="s">
        <v>201</v>
      </c>
      <c r="D111" s="2389"/>
      <c r="E111" s="556"/>
      <c r="F111" s="2358"/>
      <c r="G111" s="2359"/>
      <c r="H111" s="2360"/>
      <c r="I111" s="2361"/>
      <c r="J111" s="2362"/>
      <c r="K111" s="2363"/>
      <c r="L111" s="2361"/>
      <c r="M111" s="2364"/>
    </row>
    <row r="112" spans="1:13" ht="11.25" customHeight="1">
      <c r="B112" s="2356"/>
      <c r="C112" s="2365" t="s">
        <v>1865</v>
      </c>
      <c r="D112" s="2389"/>
      <c r="E112" s="1135"/>
      <c r="F112" s="1131"/>
      <c r="G112" s="1134"/>
      <c r="H112" s="1066"/>
      <c r="I112" s="1064"/>
      <c r="J112" s="1067"/>
      <c r="K112" s="1068"/>
      <c r="L112" s="1064"/>
      <c r="M112" s="1065"/>
    </row>
    <row r="113" spans="2:13" ht="11.25" customHeight="1">
      <c r="B113" s="2356"/>
      <c r="C113" s="2366" t="s">
        <v>1652</v>
      </c>
      <c r="D113" s="2389"/>
      <c r="E113" s="1665"/>
      <c r="F113" s="1661"/>
      <c r="G113" s="1662"/>
      <c r="H113" s="2478"/>
      <c r="I113" s="1661"/>
      <c r="J113" s="1664"/>
      <c r="K113" s="1665"/>
      <c r="L113" s="1661"/>
      <c r="M113" s="1662"/>
    </row>
    <row r="114" spans="2:13" ht="11.25" customHeight="1">
      <c r="B114" s="2356"/>
      <c r="C114" s="2366" t="s">
        <v>1864</v>
      </c>
      <c r="D114" s="2389"/>
      <c r="E114" s="1665"/>
      <c r="F114" s="1661"/>
      <c r="G114" s="1662"/>
      <c r="H114" s="2478"/>
      <c r="I114" s="1661"/>
      <c r="J114" s="1664"/>
      <c r="K114" s="1665"/>
      <c r="L114" s="1661"/>
      <c r="M114" s="1662"/>
    </row>
    <row r="115" spans="2:13" ht="11.25" customHeight="1">
      <c r="B115" s="2367">
        <v>8</v>
      </c>
      <c r="C115" s="2366" t="s">
        <v>131</v>
      </c>
      <c r="D115" s="2389"/>
      <c r="E115" s="1665"/>
      <c r="F115" s="1661"/>
      <c r="G115" s="1662"/>
      <c r="H115" s="2478"/>
      <c r="I115" s="1661"/>
      <c r="J115" s="1664"/>
      <c r="K115" s="1665"/>
      <c r="L115" s="1661"/>
      <c r="M115" s="1662"/>
    </row>
    <row r="116" spans="2:13" ht="11.25" customHeight="1">
      <c r="B116" s="2367">
        <v>10</v>
      </c>
      <c r="C116" s="2366" t="s">
        <v>132</v>
      </c>
      <c r="D116" s="2389"/>
      <c r="E116" s="1665"/>
      <c r="F116" s="1661"/>
      <c r="G116" s="1662"/>
      <c r="H116" s="2478"/>
      <c r="I116" s="1661"/>
      <c r="J116" s="1664"/>
      <c r="K116" s="1665"/>
      <c r="L116" s="1661"/>
      <c r="M116" s="1662"/>
    </row>
    <row r="117" spans="2:13" ht="11.25" customHeight="1">
      <c r="B117" s="2367"/>
      <c r="C117" s="2368" t="s">
        <v>377</v>
      </c>
      <c r="D117" s="2389"/>
      <c r="E117" s="2483">
        <f>SUM(E113:E116)</f>
        <v>0</v>
      </c>
      <c r="F117" s="2479">
        <f t="shared" ref="F117:M117" si="15">SUM(F113:F116)</f>
        <v>0</v>
      </c>
      <c r="G117" s="2480">
        <f t="shared" si="15"/>
        <v>0</v>
      </c>
      <c r="H117" s="2481">
        <f t="shared" si="15"/>
        <v>0</v>
      </c>
      <c r="I117" s="2479">
        <f t="shared" si="15"/>
        <v>0</v>
      </c>
      <c r="J117" s="2482">
        <f t="shared" si="15"/>
        <v>0</v>
      </c>
      <c r="K117" s="2483">
        <f t="shared" si="15"/>
        <v>0</v>
      </c>
      <c r="L117" s="2479">
        <f t="shared" si="15"/>
        <v>0</v>
      </c>
      <c r="M117" s="2480">
        <f t="shared" si="15"/>
        <v>0</v>
      </c>
    </row>
    <row r="118" spans="2:13" ht="11.25" customHeight="1">
      <c r="B118" s="2367">
        <v>9</v>
      </c>
      <c r="C118" s="2366" t="s">
        <v>506</v>
      </c>
      <c r="D118" s="2389"/>
      <c r="E118" s="1665"/>
      <c r="F118" s="1661"/>
      <c r="G118" s="1662"/>
      <c r="H118" s="2478"/>
      <c r="I118" s="1661"/>
      <c r="J118" s="1664"/>
      <c r="K118" s="1665"/>
      <c r="L118" s="1661"/>
      <c r="M118" s="1662"/>
    </row>
    <row r="119" spans="2:13" ht="11.25" customHeight="1">
      <c r="B119" s="2367">
        <v>10</v>
      </c>
      <c r="C119" s="2366" t="s">
        <v>507</v>
      </c>
      <c r="D119" s="2389"/>
      <c r="E119" s="1665"/>
      <c r="F119" s="1661"/>
      <c r="G119" s="1662"/>
      <c r="H119" s="2478"/>
      <c r="I119" s="1661"/>
      <c r="J119" s="1664"/>
      <c r="K119" s="1665"/>
      <c r="L119" s="1661"/>
      <c r="M119" s="1662"/>
    </row>
    <row r="120" spans="2:13" ht="11.25" customHeight="1">
      <c r="B120" s="2356"/>
      <c r="C120" s="2366" t="s">
        <v>974</v>
      </c>
      <c r="D120" s="2389"/>
      <c r="E120" s="1665"/>
      <c r="F120" s="1661"/>
      <c r="G120" s="1662"/>
      <c r="H120" s="2478"/>
      <c r="I120" s="1661"/>
      <c r="J120" s="1664"/>
      <c r="K120" s="1665"/>
      <c r="L120" s="1661"/>
      <c r="M120" s="1662"/>
    </row>
    <row r="121" spans="2:13" ht="11.25" customHeight="1">
      <c r="B121" s="2356"/>
      <c r="C121" s="2368" t="s">
        <v>1294</v>
      </c>
      <c r="D121" s="2389"/>
      <c r="E121" s="2488">
        <f>SUM(E118:E120)</f>
        <v>0</v>
      </c>
      <c r="F121" s="2484">
        <f t="shared" ref="F121:M121" si="16">SUM(F118:F120)</f>
        <v>0</v>
      </c>
      <c r="G121" s="2485">
        <f t="shared" si="16"/>
        <v>0</v>
      </c>
      <c r="H121" s="2486">
        <f t="shared" si="16"/>
        <v>0</v>
      </c>
      <c r="I121" s="2484">
        <f t="shared" si="16"/>
        <v>0</v>
      </c>
      <c r="J121" s="2487">
        <f t="shared" si="16"/>
        <v>0</v>
      </c>
      <c r="K121" s="2488">
        <f t="shared" si="16"/>
        <v>0</v>
      </c>
      <c r="L121" s="2484">
        <f t="shared" si="16"/>
        <v>0</v>
      </c>
      <c r="M121" s="2485">
        <f t="shared" si="16"/>
        <v>0</v>
      </c>
    </row>
    <row r="122" spans="2:13" ht="11.25" customHeight="1">
      <c r="B122" s="2356"/>
      <c r="C122" s="2369" t="s">
        <v>1332</v>
      </c>
      <c r="D122" s="2389"/>
      <c r="E122" s="2493">
        <f>E117+E121</f>
        <v>0</v>
      </c>
      <c r="F122" s="2489">
        <f t="shared" ref="F122:M122" si="17">F117+F121</f>
        <v>0</v>
      </c>
      <c r="G122" s="2490">
        <f t="shared" si="17"/>
        <v>0</v>
      </c>
      <c r="H122" s="2491">
        <f t="shared" si="17"/>
        <v>0</v>
      </c>
      <c r="I122" s="2489">
        <f t="shared" si="17"/>
        <v>0</v>
      </c>
      <c r="J122" s="2492">
        <f t="shared" si="17"/>
        <v>0</v>
      </c>
      <c r="K122" s="2493">
        <f t="shared" si="17"/>
        <v>0</v>
      </c>
      <c r="L122" s="2489">
        <f t="shared" si="17"/>
        <v>0</v>
      </c>
      <c r="M122" s="2490">
        <f t="shared" si="17"/>
        <v>0</v>
      </c>
    </row>
    <row r="123" spans="2:13" ht="11.25" customHeight="1">
      <c r="B123" s="2356"/>
      <c r="C123" s="2365" t="s">
        <v>1333</v>
      </c>
      <c r="D123" s="2389"/>
      <c r="E123" s="2498"/>
      <c r="F123" s="2494"/>
      <c r="G123" s="2497"/>
      <c r="H123" s="2496"/>
      <c r="I123" s="2494"/>
      <c r="J123" s="2497"/>
      <c r="K123" s="2498"/>
      <c r="L123" s="2494"/>
      <c r="M123" s="2495"/>
    </row>
    <row r="124" spans="2:13" ht="11.25" customHeight="1">
      <c r="B124" s="2356"/>
      <c r="C124" s="2366" t="s">
        <v>1334</v>
      </c>
      <c r="D124" s="2389"/>
      <c r="E124" s="1665"/>
      <c r="F124" s="1661"/>
      <c r="G124" s="1662"/>
      <c r="H124" s="2478"/>
      <c r="I124" s="1661"/>
      <c r="J124" s="1664"/>
      <c r="K124" s="1665"/>
      <c r="L124" s="1661"/>
      <c r="M124" s="1662"/>
    </row>
    <row r="125" spans="2:13" ht="11.25" customHeight="1">
      <c r="B125" s="2356"/>
      <c r="C125" s="2366" t="s">
        <v>1335</v>
      </c>
      <c r="D125" s="2389"/>
      <c r="E125" s="1665"/>
      <c r="F125" s="1661"/>
      <c r="G125" s="1662"/>
      <c r="H125" s="2478"/>
      <c r="I125" s="1661"/>
      <c r="J125" s="1664"/>
      <c r="K125" s="1665"/>
      <c r="L125" s="1661"/>
      <c r="M125" s="1662"/>
    </row>
    <row r="126" spans="2:13" ht="11.25" customHeight="1">
      <c r="B126" s="2356"/>
      <c r="C126" s="2366" t="s">
        <v>1407</v>
      </c>
      <c r="D126" s="2389"/>
      <c r="E126" s="1665"/>
      <c r="F126" s="1661"/>
      <c r="G126" s="1662"/>
      <c r="H126" s="2478"/>
      <c r="I126" s="1661"/>
      <c r="J126" s="1664"/>
      <c r="K126" s="1665"/>
      <c r="L126" s="1661"/>
      <c r="M126" s="1662"/>
    </row>
    <row r="127" spans="2:13" ht="11.25" customHeight="1">
      <c r="B127" s="2356"/>
      <c r="C127" s="2366" t="s">
        <v>242</v>
      </c>
      <c r="D127" s="2389"/>
      <c r="E127" s="1665"/>
      <c r="F127" s="1661"/>
      <c r="G127" s="1662"/>
      <c r="H127" s="2478"/>
      <c r="I127" s="1661"/>
      <c r="J127" s="1664"/>
      <c r="K127" s="1665"/>
      <c r="L127" s="1661"/>
      <c r="M127" s="1662"/>
    </row>
    <row r="128" spans="2:13" ht="11.25" customHeight="1">
      <c r="B128" s="2356"/>
      <c r="C128" s="2366" t="s">
        <v>244</v>
      </c>
      <c r="D128" s="2389"/>
      <c r="E128" s="1665"/>
      <c r="F128" s="1661"/>
      <c r="G128" s="1662"/>
      <c r="H128" s="2478"/>
      <c r="I128" s="1661"/>
      <c r="J128" s="1664"/>
      <c r="K128" s="1665"/>
      <c r="L128" s="1661"/>
      <c r="M128" s="1662"/>
    </row>
    <row r="129" spans="2:13" ht="11.25" customHeight="1">
      <c r="B129" s="2356"/>
      <c r="C129" s="2368" t="s">
        <v>377</v>
      </c>
      <c r="D129" s="2389"/>
      <c r="E129" s="2483">
        <f>SUM(E124:E128)</f>
        <v>0</v>
      </c>
      <c r="F129" s="2479">
        <f t="shared" ref="F129:M129" si="18">SUM(F124:F128)</f>
        <v>0</v>
      </c>
      <c r="G129" s="2480">
        <f t="shared" si="18"/>
        <v>0</v>
      </c>
      <c r="H129" s="2481">
        <f t="shared" si="18"/>
        <v>0</v>
      </c>
      <c r="I129" s="2479">
        <f t="shared" si="18"/>
        <v>0</v>
      </c>
      <c r="J129" s="2482">
        <f t="shared" si="18"/>
        <v>0</v>
      </c>
      <c r="K129" s="2483">
        <f t="shared" si="18"/>
        <v>0</v>
      </c>
      <c r="L129" s="2479">
        <f t="shared" si="18"/>
        <v>0</v>
      </c>
      <c r="M129" s="2480">
        <f t="shared" si="18"/>
        <v>0</v>
      </c>
    </row>
    <row r="130" spans="2:13" ht="11.25" customHeight="1">
      <c r="B130" s="2356"/>
      <c r="C130" s="2366" t="s">
        <v>243</v>
      </c>
      <c r="D130" s="2389"/>
      <c r="E130" s="1665"/>
      <c r="F130" s="1661"/>
      <c r="G130" s="1662"/>
      <c r="H130" s="2478"/>
      <c r="I130" s="1661"/>
      <c r="J130" s="1664"/>
      <c r="K130" s="1665"/>
      <c r="L130" s="1661"/>
      <c r="M130" s="1662"/>
    </row>
    <row r="131" spans="2:13" ht="11.25" customHeight="1">
      <c r="B131" s="2356"/>
      <c r="C131" s="2366" t="s">
        <v>1238</v>
      </c>
      <c r="D131" s="2389"/>
      <c r="E131" s="1665"/>
      <c r="F131" s="1661"/>
      <c r="G131" s="1662"/>
      <c r="H131" s="2478"/>
      <c r="I131" s="1661"/>
      <c r="J131" s="1664"/>
      <c r="K131" s="1665"/>
      <c r="L131" s="1661"/>
      <c r="M131" s="1662"/>
    </row>
    <row r="132" spans="2:13" ht="11.25" customHeight="1">
      <c r="B132" s="2356"/>
      <c r="C132" s="2366" t="s">
        <v>1409</v>
      </c>
      <c r="D132" s="2389"/>
      <c r="E132" s="1665"/>
      <c r="F132" s="1661"/>
      <c r="G132" s="1662"/>
      <c r="H132" s="2478"/>
      <c r="I132" s="1661"/>
      <c r="J132" s="1664"/>
      <c r="K132" s="1665"/>
      <c r="L132" s="1661"/>
      <c r="M132" s="1662"/>
    </row>
    <row r="133" spans="2:13" ht="11.25" customHeight="1">
      <c r="B133" s="2356"/>
      <c r="C133" s="2368" t="s">
        <v>1294</v>
      </c>
      <c r="D133" s="2389"/>
      <c r="E133" s="2488">
        <f>SUM(E130:E132)</f>
        <v>0</v>
      </c>
      <c r="F133" s="2484">
        <f t="shared" ref="F133:M133" si="19">SUM(F130:F132)</f>
        <v>0</v>
      </c>
      <c r="G133" s="2485">
        <f t="shared" si="19"/>
        <v>0</v>
      </c>
      <c r="H133" s="2486">
        <f t="shared" si="19"/>
        <v>0</v>
      </c>
      <c r="I133" s="2484">
        <f t="shared" si="19"/>
        <v>0</v>
      </c>
      <c r="J133" s="2487">
        <f t="shared" si="19"/>
        <v>0</v>
      </c>
      <c r="K133" s="2488">
        <f t="shared" si="19"/>
        <v>0</v>
      </c>
      <c r="L133" s="2484">
        <f t="shared" si="19"/>
        <v>0</v>
      </c>
      <c r="M133" s="2485">
        <f t="shared" si="19"/>
        <v>0</v>
      </c>
    </row>
    <row r="134" spans="2:13" ht="11.25" customHeight="1">
      <c r="B134" s="2356"/>
      <c r="C134" s="2369" t="s">
        <v>1332</v>
      </c>
      <c r="D134" s="2389"/>
      <c r="E134" s="2493">
        <f>E129+E133</f>
        <v>0</v>
      </c>
      <c r="F134" s="2489">
        <f t="shared" ref="F134:M134" si="20">F129+F133</f>
        <v>0</v>
      </c>
      <c r="G134" s="2490">
        <f t="shared" si="20"/>
        <v>0</v>
      </c>
      <c r="H134" s="2491">
        <f t="shared" si="20"/>
        <v>0</v>
      </c>
      <c r="I134" s="2489">
        <f t="shared" si="20"/>
        <v>0</v>
      </c>
      <c r="J134" s="2492">
        <f t="shared" si="20"/>
        <v>0</v>
      </c>
      <c r="K134" s="2493">
        <f t="shared" si="20"/>
        <v>0</v>
      </c>
      <c r="L134" s="2489">
        <f t="shared" si="20"/>
        <v>0</v>
      </c>
      <c r="M134" s="2490">
        <f t="shared" si="20"/>
        <v>0</v>
      </c>
    </row>
    <row r="135" spans="2:13" ht="11.25" customHeight="1">
      <c r="B135" s="2356"/>
      <c r="C135" s="2365" t="s">
        <v>689</v>
      </c>
      <c r="D135" s="2389"/>
      <c r="E135" s="2498"/>
      <c r="F135" s="2494"/>
      <c r="G135" s="2497"/>
      <c r="H135" s="2496"/>
      <c r="I135" s="2494"/>
      <c r="J135" s="2497"/>
      <c r="K135" s="2498"/>
      <c r="L135" s="2494"/>
      <c r="M135" s="2495"/>
    </row>
    <row r="136" spans="2:13" ht="11.25" customHeight="1">
      <c r="B136" s="2356"/>
      <c r="C136" s="2366" t="s">
        <v>1239</v>
      </c>
      <c r="D136" s="2389"/>
      <c r="E136" s="1665"/>
      <c r="F136" s="1661"/>
      <c r="G136" s="1662"/>
      <c r="H136" s="2478"/>
      <c r="I136" s="1661"/>
      <c r="J136" s="1664"/>
      <c r="K136" s="1665"/>
      <c r="L136" s="1661"/>
      <c r="M136" s="1662"/>
    </row>
    <row r="137" spans="2:13" ht="11.25" customHeight="1">
      <c r="B137" s="2356"/>
      <c r="C137" s="2366" t="s">
        <v>508</v>
      </c>
      <c r="D137" s="2389"/>
      <c r="E137" s="1665"/>
      <c r="F137" s="1661"/>
      <c r="G137" s="1662"/>
      <c r="H137" s="2478"/>
      <c r="I137" s="1661"/>
      <c r="J137" s="1664"/>
      <c r="K137" s="1665"/>
      <c r="L137" s="1661"/>
      <c r="M137" s="1662"/>
    </row>
    <row r="138" spans="2:13" ht="11.25" customHeight="1">
      <c r="B138" s="2356"/>
      <c r="C138" s="2368" t="s">
        <v>377</v>
      </c>
      <c r="D138" s="2389"/>
      <c r="E138" s="2483">
        <f>SUM(E136:E137)</f>
        <v>0</v>
      </c>
      <c r="F138" s="2479">
        <f t="shared" ref="F138:M138" si="21">SUM(F136:F137)</f>
        <v>0</v>
      </c>
      <c r="G138" s="2480">
        <f t="shared" si="21"/>
        <v>0</v>
      </c>
      <c r="H138" s="2481">
        <f t="shared" si="21"/>
        <v>0</v>
      </c>
      <c r="I138" s="2479">
        <f t="shared" si="21"/>
        <v>0</v>
      </c>
      <c r="J138" s="2482">
        <f t="shared" si="21"/>
        <v>0</v>
      </c>
      <c r="K138" s="2483">
        <f t="shared" si="21"/>
        <v>0</v>
      </c>
      <c r="L138" s="2479">
        <f t="shared" si="21"/>
        <v>0</v>
      </c>
      <c r="M138" s="2480">
        <f t="shared" si="21"/>
        <v>0</v>
      </c>
    </row>
    <row r="139" spans="2:13" ht="11.25" customHeight="1">
      <c r="B139" s="2356"/>
      <c r="C139" s="2366" t="s">
        <v>509</v>
      </c>
      <c r="D139" s="2389"/>
      <c r="E139" s="1665"/>
      <c r="F139" s="1661"/>
      <c r="G139" s="1662"/>
      <c r="H139" s="2478"/>
      <c r="I139" s="1661"/>
      <c r="J139" s="1664"/>
      <c r="K139" s="1665"/>
      <c r="L139" s="1661"/>
      <c r="M139" s="1662"/>
    </row>
    <row r="140" spans="2:13" ht="11.25" customHeight="1">
      <c r="B140" s="2356"/>
      <c r="C140" s="2366" t="s">
        <v>510</v>
      </c>
      <c r="D140" s="2389"/>
      <c r="E140" s="1665"/>
      <c r="F140" s="1661"/>
      <c r="G140" s="1662"/>
      <c r="H140" s="2478"/>
      <c r="I140" s="1661"/>
      <c r="J140" s="1664"/>
      <c r="K140" s="1665"/>
      <c r="L140" s="1661"/>
      <c r="M140" s="1662"/>
    </row>
    <row r="141" spans="2:13" ht="11.25" customHeight="1">
      <c r="B141" s="2356"/>
      <c r="C141" s="2366" t="s">
        <v>690</v>
      </c>
      <c r="D141" s="2389"/>
      <c r="E141" s="1665"/>
      <c r="F141" s="1661"/>
      <c r="G141" s="1662"/>
      <c r="H141" s="2478"/>
      <c r="I141" s="1661"/>
      <c r="J141" s="1664"/>
      <c r="K141" s="1665"/>
      <c r="L141" s="1661"/>
      <c r="M141" s="1662"/>
    </row>
    <row r="142" spans="2:13" ht="11.25" customHeight="1">
      <c r="B142" s="2356"/>
      <c r="C142" s="2368" t="s">
        <v>1294</v>
      </c>
      <c r="D142" s="2389"/>
      <c r="E142" s="2488">
        <f>SUM(E139:E141)</f>
        <v>0</v>
      </c>
      <c r="F142" s="2484">
        <f t="shared" ref="F142:M142" si="22">SUM(F139:F141)</f>
        <v>0</v>
      </c>
      <c r="G142" s="2485">
        <f t="shared" si="22"/>
        <v>0</v>
      </c>
      <c r="H142" s="2486">
        <f t="shared" si="22"/>
        <v>0</v>
      </c>
      <c r="I142" s="2484">
        <f t="shared" si="22"/>
        <v>0</v>
      </c>
      <c r="J142" s="2487">
        <f t="shared" si="22"/>
        <v>0</v>
      </c>
      <c r="K142" s="2488">
        <f t="shared" si="22"/>
        <v>0</v>
      </c>
      <c r="L142" s="2484">
        <f t="shared" si="22"/>
        <v>0</v>
      </c>
      <c r="M142" s="2485">
        <f t="shared" si="22"/>
        <v>0</v>
      </c>
    </row>
    <row r="143" spans="2:13" ht="11.25" customHeight="1">
      <c r="B143" s="2356"/>
      <c r="C143" s="2369" t="s">
        <v>1332</v>
      </c>
      <c r="D143" s="2389"/>
      <c r="E143" s="2493">
        <f>E138+E142</f>
        <v>0</v>
      </c>
      <c r="F143" s="2489">
        <f t="shared" ref="F143:M143" si="23">F138+F142</f>
        <v>0</v>
      </c>
      <c r="G143" s="2490">
        <f t="shared" si="23"/>
        <v>0</v>
      </c>
      <c r="H143" s="2491">
        <f t="shared" si="23"/>
        <v>0</v>
      </c>
      <c r="I143" s="2489">
        <f t="shared" si="23"/>
        <v>0</v>
      </c>
      <c r="J143" s="2492">
        <f t="shared" si="23"/>
        <v>0</v>
      </c>
      <c r="K143" s="2493">
        <f t="shared" si="23"/>
        <v>0</v>
      </c>
      <c r="L143" s="2489">
        <f t="shared" si="23"/>
        <v>0</v>
      </c>
      <c r="M143" s="2490">
        <f t="shared" si="23"/>
        <v>0</v>
      </c>
    </row>
    <row r="144" spans="2:13" ht="11.25" customHeight="1">
      <c r="B144" s="2356"/>
      <c r="C144" s="2365" t="s">
        <v>693</v>
      </c>
      <c r="D144" s="2389"/>
      <c r="E144" s="2498"/>
      <c r="F144" s="2494"/>
      <c r="G144" s="2497"/>
      <c r="H144" s="2496"/>
      <c r="I144" s="2494"/>
      <c r="J144" s="2497"/>
      <c r="K144" s="2498"/>
      <c r="L144" s="2494"/>
      <c r="M144" s="2495"/>
    </row>
    <row r="145" spans="1:13" ht="11.25" customHeight="1">
      <c r="B145" s="2356"/>
      <c r="C145" s="2366" t="s">
        <v>745</v>
      </c>
      <c r="D145" s="2389"/>
      <c r="E145" s="1671"/>
      <c r="F145" s="1669"/>
      <c r="G145" s="1670"/>
      <c r="H145" s="2499"/>
      <c r="I145" s="1669"/>
      <c r="J145" s="2500"/>
      <c r="K145" s="1671"/>
      <c r="L145" s="1669"/>
      <c r="M145" s="1670"/>
    </row>
    <row r="146" spans="1:13" ht="11.25" customHeight="1">
      <c r="B146" s="2356"/>
      <c r="C146" s="2368" t="s">
        <v>377</v>
      </c>
      <c r="D146" s="2389"/>
      <c r="E146" s="2498">
        <f>SUM(E145)</f>
        <v>0</v>
      </c>
      <c r="F146" s="2494">
        <f t="shared" ref="F146:M146" si="24">SUM(F145)</f>
        <v>0</v>
      </c>
      <c r="G146" s="2495">
        <f t="shared" si="24"/>
        <v>0</v>
      </c>
      <c r="H146" s="2496">
        <f t="shared" si="24"/>
        <v>0</v>
      </c>
      <c r="I146" s="2494">
        <f t="shared" si="24"/>
        <v>0</v>
      </c>
      <c r="J146" s="2497">
        <f t="shared" si="24"/>
        <v>0</v>
      </c>
      <c r="K146" s="2498">
        <f t="shared" si="24"/>
        <v>0</v>
      </c>
      <c r="L146" s="2494">
        <f t="shared" si="24"/>
        <v>0</v>
      </c>
      <c r="M146" s="2495">
        <f t="shared" si="24"/>
        <v>0</v>
      </c>
    </row>
    <row r="147" spans="1:13" ht="11.25" customHeight="1">
      <c r="B147" s="2356"/>
      <c r="C147" s="2366" t="s">
        <v>694</v>
      </c>
      <c r="D147" s="2389"/>
      <c r="E147" s="1665"/>
      <c r="F147" s="1661"/>
      <c r="G147" s="1662"/>
      <c r="H147" s="2478"/>
      <c r="I147" s="1661"/>
      <c r="J147" s="1664"/>
      <c r="K147" s="1665"/>
      <c r="L147" s="1661"/>
      <c r="M147" s="1662"/>
    </row>
    <row r="148" spans="1:13" ht="11.25" customHeight="1">
      <c r="B148" s="2356"/>
      <c r="C148" s="2366" t="s">
        <v>695</v>
      </c>
      <c r="D148" s="2389"/>
      <c r="E148" s="1665"/>
      <c r="F148" s="1661"/>
      <c r="G148" s="1662"/>
      <c r="H148" s="2478"/>
      <c r="I148" s="1661"/>
      <c r="J148" s="1664"/>
      <c r="K148" s="1665"/>
      <c r="L148" s="1661"/>
      <c r="M148" s="1662"/>
    </row>
    <row r="149" spans="1:13" ht="11.25" customHeight="1">
      <c r="B149" s="2356"/>
      <c r="C149" s="2366" t="s">
        <v>884</v>
      </c>
      <c r="D149" s="2389"/>
      <c r="E149" s="1665"/>
      <c r="F149" s="1661"/>
      <c r="G149" s="1662"/>
      <c r="H149" s="2478"/>
      <c r="I149" s="1661"/>
      <c r="J149" s="1664"/>
      <c r="K149" s="1665"/>
      <c r="L149" s="1661"/>
      <c r="M149" s="1662"/>
    </row>
    <row r="150" spans="1:13" ht="11.25" customHeight="1">
      <c r="B150" s="2356"/>
      <c r="C150" s="2366" t="s">
        <v>885</v>
      </c>
      <c r="D150" s="2389"/>
      <c r="E150" s="1665"/>
      <c r="F150" s="1661"/>
      <c r="G150" s="1662"/>
      <c r="H150" s="2478"/>
      <c r="I150" s="1661"/>
      <c r="J150" s="1664"/>
      <c r="K150" s="1665"/>
      <c r="L150" s="1661"/>
      <c r="M150" s="1662"/>
    </row>
    <row r="151" spans="1:13" ht="11.25" customHeight="1">
      <c r="B151" s="2356"/>
      <c r="C151" s="2366" t="s">
        <v>199</v>
      </c>
      <c r="D151" s="2389"/>
      <c r="E151" s="1665"/>
      <c r="F151" s="1661"/>
      <c r="G151" s="1662"/>
      <c r="H151" s="2478"/>
      <c r="I151" s="1661"/>
      <c r="J151" s="1664"/>
      <c r="K151" s="1665"/>
      <c r="L151" s="1661"/>
      <c r="M151" s="1662"/>
    </row>
    <row r="152" spans="1:13" ht="11.25" customHeight="1">
      <c r="B152" s="2356"/>
      <c r="C152" s="2368" t="s">
        <v>1294</v>
      </c>
      <c r="D152" s="2389"/>
      <c r="E152" s="2488">
        <f t="shared" ref="E152:M152" si="25">SUM(E147:E151)</f>
        <v>0</v>
      </c>
      <c r="F152" s="2484">
        <f t="shared" si="25"/>
        <v>0</v>
      </c>
      <c r="G152" s="2485">
        <f t="shared" si="25"/>
        <v>0</v>
      </c>
      <c r="H152" s="2486">
        <f t="shared" si="25"/>
        <v>0</v>
      </c>
      <c r="I152" s="2484">
        <f t="shared" si="25"/>
        <v>0</v>
      </c>
      <c r="J152" s="2487">
        <f t="shared" si="25"/>
        <v>0</v>
      </c>
      <c r="K152" s="2488">
        <f t="shared" si="25"/>
        <v>0</v>
      </c>
      <c r="L152" s="2484">
        <f t="shared" si="25"/>
        <v>0</v>
      </c>
      <c r="M152" s="2485">
        <f t="shared" si="25"/>
        <v>0</v>
      </c>
    </row>
    <row r="153" spans="1:13" ht="11.25" customHeight="1">
      <c r="B153" s="2356"/>
      <c r="C153" s="2369" t="s">
        <v>1332</v>
      </c>
      <c r="D153" s="2389"/>
      <c r="E153" s="2493">
        <f>E146+E152</f>
        <v>0</v>
      </c>
      <c r="F153" s="2489">
        <f t="shared" ref="F153:M153" si="26">F146+F152</f>
        <v>0</v>
      </c>
      <c r="G153" s="2490">
        <f t="shared" si="26"/>
        <v>0</v>
      </c>
      <c r="H153" s="2491">
        <f t="shared" si="26"/>
        <v>0</v>
      </c>
      <c r="I153" s="2489">
        <f t="shared" si="26"/>
        <v>0</v>
      </c>
      <c r="J153" s="2492">
        <f t="shared" si="26"/>
        <v>0</v>
      </c>
      <c r="K153" s="2493">
        <f t="shared" si="26"/>
        <v>0</v>
      </c>
      <c r="L153" s="2489">
        <f t="shared" si="26"/>
        <v>0</v>
      </c>
      <c r="M153" s="2490">
        <f t="shared" si="26"/>
        <v>0</v>
      </c>
    </row>
    <row r="154" spans="1:13" ht="5" customHeight="1">
      <c r="B154" s="2356"/>
      <c r="C154" s="2370"/>
      <c r="D154" s="2390"/>
      <c r="E154" s="1147"/>
      <c r="F154" s="1143"/>
      <c r="G154" s="1144"/>
      <c r="H154" s="1145"/>
      <c r="I154" s="1143"/>
      <c r="J154" s="1146"/>
      <c r="K154" s="1147"/>
      <c r="L154" s="1143"/>
      <c r="M154" s="1144"/>
    </row>
    <row r="155" spans="1:13" ht="25" customHeight="1">
      <c r="A155" s="2809" t="s">
        <v>2091</v>
      </c>
      <c r="B155" s="2347"/>
      <c r="C155" s="2348"/>
      <c r="D155" s="2349"/>
      <c r="E155" s="2350" t="str">
        <f>head1b</f>
        <v>2009/10</v>
      </c>
      <c r="F155" s="1124" t="str">
        <f>head1A</f>
        <v>2010/11</v>
      </c>
      <c r="G155" s="1125" t="str">
        <f>Head1</f>
        <v>2011/12</v>
      </c>
      <c r="H155" s="2773" t="str">
        <f>Head2</f>
        <v>Current Year 2012/13</v>
      </c>
      <c r="I155" s="2774"/>
      <c r="J155" s="2775"/>
      <c r="K155" s="2773" t="str">
        <f>Head3</f>
        <v>2013/14 Medium Term Revenue &amp; Expenditure Framework</v>
      </c>
      <c r="L155" s="2774"/>
      <c r="M155" s="2775"/>
    </row>
    <row r="156" spans="1:13" ht="25" customHeight="1">
      <c r="A156" s="2809"/>
      <c r="B156" s="2351" t="s">
        <v>2003</v>
      </c>
      <c r="C156" s="1586"/>
      <c r="D156" s="1587"/>
      <c r="E156" s="2352" t="str">
        <f>Head5A</f>
        <v>Outcome</v>
      </c>
      <c r="F156" s="2353" t="str">
        <f>Head5A</f>
        <v>Outcome</v>
      </c>
      <c r="G156" s="2354" t="str">
        <f>Head5A</f>
        <v>Outcome</v>
      </c>
      <c r="H156" s="2355" t="str">
        <f>Head6</f>
        <v>Original Budget</v>
      </c>
      <c r="I156" s="2353" t="str">
        <f>Head7</f>
        <v>Adjusted Budget</v>
      </c>
      <c r="J156" s="2354" t="str">
        <f>Head8</f>
        <v>Full Year Forecast</v>
      </c>
      <c r="K156" s="2355" t="str">
        <f>Head9</f>
        <v>Budget Year 2013/14</v>
      </c>
      <c r="L156" s="2353" t="str">
        <f>Head10</f>
        <v>Budget Year +1 2014/15</v>
      </c>
      <c r="M156" s="2354" t="str">
        <f>Head11</f>
        <v>Budget Year +2 2015/16</v>
      </c>
    </row>
    <row r="157" spans="1:13" ht="11.25" customHeight="1">
      <c r="B157" s="2356"/>
      <c r="C157" s="2357" t="s">
        <v>201</v>
      </c>
      <c r="D157" s="2389"/>
      <c r="E157" s="556"/>
      <c r="F157" s="2358"/>
      <c r="G157" s="2359"/>
      <c r="H157" s="2360"/>
      <c r="I157" s="2361"/>
      <c r="J157" s="2362"/>
      <c r="K157" s="2363"/>
      <c r="L157" s="2361"/>
      <c r="M157" s="2364"/>
    </row>
    <row r="158" spans="1:13" ht="11.25" customHeight="1">
      <c r="A158" s="2412" t="s">
        <v>2092</v>
      </c>
      <c r="B158" s="2356"/>
      <c r="C158" s="2365" t="s">
        <v>1865</v>
      </c>
      <c r="D158" s="2389"/>
      <c r="E158" s="1135"/>
      <c r="F158" s="1131"/>
      <c r="G158" s="1134"/>
      <c r="H158" s="1066"/>
      <c r="I158" s="1064"/>
      <c r="J158" s="1067"/>
      <c r="K158" s="1068"/>
      <c r="L158" s="1064"/>
      <c r="M158" s="1065"/>
    </row>
    <row r="159" spans="1:13" ht="11.25" customHeight="1">
      <c r="B159" s="2356"/>
      <c r="C159" s="2366" t="s">
        <v>1652</v>
      </c>
      <c r="D159" s="2389"/>
      <c r="E159" s="1665"/>
      <c r="F159" s="1661"/>
      <c r="G159" s="1662"/>
      <c r="H159" s="2478"/>
      <c r="I159" s="1661"/>
      <c r="J159" s="1664"/>
      <c r="K159" s="1665"/>
      <c r="L159" s="1661"/>
      <c r="M159" s="1662"/>
    </row>
    <row r="160" spans="1:13" ht="11.25" customHeight="1">
      <c r="B160" s="2356"/>
      <c r="C160" s="2366" t="s">
        <v>1864</v>
      </c>
      <c r="D160" s="2389"/>
      <c r="E160" s="1665"/>
      <c r="F160" s="1661"/>
      <c r="G160" s="1662"/>
      <c r="H160" s="2478"/>
      <c r="I160" s="1661"/>
      <c r="J160" s="1664"/>
      <c r="K160" s="1665"/>
      <c r="L160" s="1661"/>
      <c r="M160" s="1662"/>
    </row>
    <row r="161" spans="1:13" ht="11.25" customHeight="1">
      <c r="B161" s="2367">
        <v>8</v>
      </c>
      <c r="C161" s="2366" t="s">
        <v>131</v>
      </c>
      <c r="D161" s="2389"/>
      <c r="E161" s="1665"/>
      <c r="F161" s="1661"/>
      <c r="G161" s="1662"/>
      <c r="H161" s="2478"/>
      <c r="I161" s="1661"/>
      <c r="J161" s="1664"/>
      <c r="K161" s="1665"/>
      <c r="L161" s="1661"/>
      <c r="M161" s="1662"/>
    </row>
    <row r="162" spans="1:13" ht="11.25" customHeight="1">
      <c r="B162" s="2367">
        <v>10</v>
      </c>
      <c r="C162" s="2366" t="s">
        <v>132</v>
      </c>
      <c r="D162" s="2389"/>
      <c r="E162" s="1665"/>
      <c r="F162" s="1661"/>
      <c r="G162" s="1662"/>
      <c r="H162" s="2478"/>
      <c r="I162" s="1661"/>
      <c r="J162" s="1664"/>
      <c r="K162" s="1665"/>
      <c r="L162" s="1661"/>
      <c r="M162" s="1662"/>
    </row>
    <row r="163" spans="1:13" ht="11.25" customHeight="1">
      <c r="B163" s="2367"/>
      <c r="C163" s="2368" t="s">
        <v>377</v>
      </c>
      <c r="D163" s="2389"/>
      <c r="E163" s="2483">
        <f>SUM(E159:E162)</f>
        <v>0</v>
      </c>
      <c r="F163" s="2479">
        <f t="shared" ref="F163:M163" si="27">SUM(F159:F162)</f>
        <v>0</v>
      </c>
      <c r="G163" s="2480">
        <f t="shared" si="27"/>
        <v>0</v>
      </c>
      <c r="H163" s="2481">
        <f t="shared" si="27"/>
        <v>0</v>
      </c>
      <c r="I163" s="2479">
        <f t="shared" si="27"/>
        <v>0</v>
      </c>
      <c r="J163" s="2482">
        <f t="shared" si="27"/>
        <v>0</v>
      </c>
      <c r="K163" s="2483">
        <f t="shared" si="27"/>
        <v>0</v>
      </c>
      <c r="L163" s="2479">
        <f t="shared" si="27"/>
        <v>0</v>
      </c>
      <c r="M163" s="2480">
        <f t="shared" si="27"/>
        <v>0</v>
      </c>
    </row>
    <row r="164" spans="1:13" ht="11.25" customHeight="1">
      <c r="B164" s="2367">
        <v>9</v>
      </c>
      <c r="C164" s="2366" t="s">
        <v>506</v>
      </c>
      <c r="D164" s="2389"/>
      <c r="E164" s="1665"/>
      <c r="F164" s="1661"/>
      <c r="G164" s="1662"/>
      <c r="H164" s="2478"/>
      <c r="I164" s="1661"/>
      <c r="J164" s="1664"/>
      <c r="K164" s="1665"/>
      <c r="L164" s="1661"/>
      <c r="M164" s="1662"/>
    </row>
    <row r="165" spans="1:13" ht="11.25" customHeight="1">
      <c r="B165" s="2367">
        <v>10</v>
      </c>
      <c r="C165" s="2366" t="s">
        <v>507</v>
      </c>
      <c r="D165" s="2389"/>
      <c r="E165" s="1665"/>
      <c r="F165" s="1661"/>
      <c r="G165" s="1662"/>
      <c r="H165" s="2478"/>
      <c r="I165" s="1661"/>
      <c r="J165" s="1664"/>
      <c r="K165" s="1665"/>
      <c r="L165" s="1661"/>
      <c r="M165" s="1662"/>
    </row>
    <row r="166" spans="1:13" ht="11.25" customHeight="1">
      <c r="B166" s="2356"/>
      <c r="C166" s="2366" t="s">
        <v>974</v>
      </c>
      <c r="D166" s="2389"/>
      <c r="E166" s="1665"/>
      <c r="F166" s="1661"/>
      <c r="G166" s="1662"/>
      <c r="H166" s="2478"/>
      <c r="I166" s="1661"/>
      <c r="J166" s="1664"/>
      <c r="K166" s="1665"/>
      <c r="L166" s="1661"/>
      <c r="M166" s="1662"/>
    </row>
    <row r="167" spans="1:13" ht="11.25" customHeight="1">
      <c r="B167" s="2356"/>
      <c r="C167" s="2368" t="s">
        <v>1294</v>
      </c>
      <c r="D167" s="2389"/>
      <c r="E167" s="2488">
        <f>SUM(E164:E166)</f>
        <v>0</v>
      </c>
      <c r="F167" s="2484">
        <f t="shared" ref="F167:M167" si="28">SUM(F164:F166)</f>
        <v>0</v>
      </c>
      <c r="G167" s="2485">
        <f t="shared" si="28"/>
        <v>0</v>
      </c>
      <c r="H167" s="2486">
        <f t="shared" si="28"/>
        <v>0</v>
      </c>
      <c r="I167" s="2484">
        <f t="shared" si="28"/>
        <v>0</v>
      </c>
      <c r="J167" s="2487">
        <f t="shared" si="28"/>
        <v>0</v>
      </c>
      <c r="K167" s="2488">
        <f t="shared" si="28"/>
        <v>0</v>
      </c>
      <c r="L167" s="2484">
        <f t="shared" si="28"/>
        <v>0</v>
      </c>
      <c r="M167" s="2485">
        <f t="shared" si="28"/>
        <v>0</v>
      </c>
    </row>
    <row r="168" spans="1:13" ht="11.25" customHeight="1">
      <c r="B168" s="2356"/>
      <c r="C168" s="2369" t="s">
        <v>1332</v>
      </c>
      <c r="D168" s="2389"/>
      <c r="E168" s="2493">
        <f>E163+E167</f>
        <v>0</v>
      </c>
      <c r="F168" s="2489">
        <f t="shared" ref="F168:M168" si="29">F163+F167</f>
        <v>0</v>
      </c>
      <c r="G168" s="2490">
        <f t="shared" si="29"/>
        <v>0</v>
      </c>
      <c r="H168" s="2491">
        <f t="shared" si="29"/>
        <v>0</v>
      </c>
      <c r="I168" s="2489">
        <f t="shared" si="29"/>
        <v>0</v>
      </c>
      <c r="J168" s="2492">
        <f t="shared" si="29"/>
        <v>0</v>
      </c>
      <c r="K168" s="2493">
        <f t="shared" si="29"/>
        <v>0</v>
      </c>
      <c r="L168" s="2489">
        <f t="shared" si="29"/>
        <v>0</v>
      </c>
      <c r="M168" s="2490">
        <f t="shared" si="29"/>
        <v>0</v>
      </c>
    </row>
    <row r="169" spans="1:13" ht="11.25" customHeight="1">
      <c r="A169" s="2412" t="s">
        <v>2092</v>
      </c>
      <c r="B169" s="2356"/>
      <c r="C169" s="2365" t="s">
        <v>1333</v>
      </c>
      <c r="D169" s="2389"/>
      <c r="E169" s="2498"/>
      <c r="F169" s="2494"/>
      <c r="G169" s="2497"/>
      <c r="H169" s="2496"/>
      <c r="I169" s="2494"/>
      <c r="J169" s="2497"/>
      <c r="K169" s="2498"/>
      <c r="L169" s="2494"/>
      <c r="M169" s="2495"/>
    </row>
    <row r="170" spans="1:13" ht="11.25" customHeight="1">
      <c r="B170" s="2356"/>
      <c r="C170" s="2366" t="s">
        <v>1334</v>
      </c>
      <c r="D170" s="2389"/>
      <c r="E170" s="1665"/>
      <c r="F170" s="1661"/>
      <c r="G170" s="1662"/>
      <c r="H170" s="2478"/>
      <c r="I170" s="1661"/>
      <c r="J170" s="1664"/>
      <c r="K170" s="1665"/>
      <c r="L170" s="1661"/>
      <c r="M170" s="1662"/>
    </row>
    <row r="171" spans="1:13" ht="11.25" customHeight="1">
      <c r="B171" s="2356"/>
      <c r="C171" s="2366" t="s">
        <v>1335</v>
      </c>
      <c r="D171" s="2389"/>
      <c r="E171" s="1665"/>
      <c r="F171" s="1661"/>
      <c r="G171" s="1662"/>
      <c r="H171" s="2478"/>
      <c r="I171" s="1661"/>
      <c r="J171" s="1664"/>
      <c r="K171" s="1665"/>
      <c r="L171" s="1661"/>
      <c r="M171" s="1662"/>
    </row>
    <row r="172" spans="1:13" ht="11.25" customHeight="1">
      <c r="B172" s="2356"/>
      <c r="C172" s="2366" t="s">
        <v>1407</v>
      </c>
      <c r="D172" s="2389"/>
      <c r="E172" s="1665"/>
      <c r="F172" s="1661"/>
      <c r="G172" s="1662"/>
      <c r="H172" s="2478"/>
      <c r="I172" s="1661"/>
      <c r="J172" s="1664"/>
      <c r="K172" s="1665"/>
      <c r="L172" s="1661"/>
      <c r="M172" s="1662"/>
    </row>
    <row r="173" spans="1:13" ht="11.25" customHeight="1">
      <c r="B173" s="2356"/>
      <c r="C173" s="2366" t="s">
        <v>242</v>
      </c>
      <c r="D173" s="2389"/>
      <c r="E173" s="1665"/>
      <c r="F173" s="1661"/>
      <c r="G173" s="1662"/>
      <c r="H173" s="2478"/>
      <c r="I173" s="1661"/>
      <c r="J173" s="1664"/>
      <c r="K173" s="1665"/>
      <c r="L173" s="1661"/>
      <c r="M173" s="1662"/>
    </row>
    <row r="174" spans="1:13" ht="11.25" customHeight="1">
      <c r="B174" s="2356"/>
      <c r="C174" s="2366" t="s">
        <v>244</v>
      </c>
      <c r="D174" s="2389"/>
      <c r="E174" s="1665"/>
      <c r="F174" s="1661"/>
      <c r="G174" s="1662"/>
      <c r="H174" s="2478"/>
      <c r="I174" s="1661"/>
      <c r="J174" s="1664"/>
      <c r="K174" s="1665"/>
      <c r="L174" s="1661"/>
      <c r="M174" s="1662"/>
    </row>
    <row r="175" spans="1:13" ht="11.25" customHeight="1">
      <c r="B175" s="2356"/>
      <c r="C175" s="2368" t="s">
        <v>377</v>
      </c>
      <c r="D175" s="2389"/>
      <c r="E175" s="2483">
        <f>SUM(E170:E174)</f>
        <v>0</v>
      </c>
      <c r="F175" s="2479">
        <f t="shared" ref="F175:M175" si="30">SUM(F170:F174)</f>
        <v>0</v>
      </c>
      <c r="G175" s="2480">
        <f t="shared" si="30"/>
        <v>0</v>
      </c>
      <c r="H175" s="2481">
        <f t="shared" si="30"/>
        <v>0</v>
      </c>
      <c r="I175" s="2479">
        <f t="shared" si="30"/>
        <v>0</v>
      </c>
      <c r="J175" s="2482">
        <f t="shared" si="30"/>
        <v>0</v>
      </c>
      <c r="K175" s="2483">
        <f t="shared" si="30"/>
        <v>0</v>
      </c>
      <c r="L175" s="2479">
        <f t="shared" si="30"/>
        <v>0</v>
      </c>
      <c r="M175" s="2480">
        <f t="shared" si="30"/>
        <v>0</v>
      </c>
    </row>
    <row r="176" spans="1:13" ht="11.25" customHeight="1">
      <c r="B176" s="2356"/>
      <c r="C176" s="2366" t="s">
        <v>243</v>
      </c>
      <c r="D176" s="2389"/>
      <c r="E176" s="1665"/>
      <c r="F176" s="1661"/>
      <c r="G176" s="1662"/>
      <c r="H176" s="2478"/>
      <c r="I176" s="1661"/>
      <c r="J176" s="1664"/>
      <c r="K176" s="1665"/>
      <c r="L176" s="1661"/>
      <c r="M176" s="1662"/>
    </row>
    <row r="177" spans="1:13" ht="11.25" customHeight="1">
      <c r="B177" s="2356"/>
      <c r="C177" s="2366" t="s">
        <v>1238</v>
      </c>
      <c r="D177" s="2389"/>
      <c r="E177" s="1665"/>
      <c r="F177" s="1661"/>
      <c r="G177" s="1662"/>
      <c r="H177" s="2478"/>
      <c r="I177" s="1661"/>
      <c r="J177" s="1664"/>
      <c r="K177" s="1665"/>
      <c r="L177" s="1661"/>
      <c r="M177" s="1662"/>
    </row>
    <row r="178" spans="1:13" ht="11.25" customHeight="1">
      <c r="B178" s="2356"/>
      <c r="C178" s="2366" t="s">
        <v>1409</v>
      </c>
      <c r="D178" s="2389"/>
      <c r="E178" s="1665"/>
      <c r="F178" s="1661"/>
      <c r="G178" s="1662"/>
      <c r="H178" s="2478"/>
      <c r="I178" s="1661"/>
      <c r="J178" s="1664"/>
      <c r="K178" s="1665"/>
      <c r="L178" s="1661"/>
      <c r="M178" s="1662"/>
    </row>
    <row r="179" spans="1:13" ht="11.25" customHeight="1">
      <c r="B179" s="2356"/>
      <c r="C179" s="2368" t="s">
        <v>1294</v>
      </c>
      <c r="D179" s="2389"/>
      <c r="E179" s="2488">
        <f>SUM(E176:E178)</f>
        <v>0</v>
      </c>
      <c r="F179" s="2484">
        <f t="shared" ref="F179:M179" si="31">SUM(F176:F178)</f>
        <v>0</v>
      </c>
      <c r="G179" s="2485">
        <f t="shared" si="31"/>
        <v>0</v>
      </c>
      <c r="H179" s="2486">
        <f t="shared" si="31"/>
        <v>0</v>
      </c>
      <c r="I179" s="2484">
        <f t="shared" si="31"/>
        <v>0</v>
      </c>
      <c r="J179" s="2487">
        <f t="shared" si="31"/>
        <v>0</v>
      </c>
      <c r="K179" s="2488">
        <f t="shared" si="31"/>
        <v>0</v>
      </c>
      <c r="L179" s="2484">
        <f t="shared" si="31"/>
        <v>0</v>
      </c>
      <c r="M179" s="2485">
        <f t="shared" si="31"/>
        <v>0</v>
      </c>
    </row>
    <row r="180" spans="1:13" ht="11.25" customHeight="1">
      <c r="B180" s="2356"/>
      <c r="C180" s="2369" t="s">
        <v>1332</v>
      </c>
      <c r="D180" s="2389"/>
      <c r="E180" s="2493">
        <f>E175+E179</f>
        <v>0</v>
      </c>
      <c r="F180" s="2489">
        <f t="shared" ref="F180:M180" si="32">F175+F179</f>
        <v>0</v>
      </c>
      <c r="G180" s="2490">
        <f t="shared" si="32"/>
        <v>0</v>
      </c>
      <c r="H180" s="2491">
        <f t="shared" si="32"/>
        <v>0</v>
      </c>
      <c r="I180" s="2489">
        <f t="shared" si="32"/>
        <v>0</v>
      </c>
      <c r="J180" s="2492">
        <f t="shared" si="32"/>
        <v>0</v>
      </c>
      <c r="K180" s="2493">
        <f t="shared" si="32"/>
        <v>0</v>
      </c>
      <c r="L180" s="2489">
        <f t="shared" si="32"/>
        <v>0</v>
      </c>
      <c r="M180" s="2490">
        <f t="shared" si="32"/>
        <v>0</v>
      </c>
    </row>
    <row r="181" spans="1:13" ht="11.25" customHeight="1">
      <c r="A181" s="2412" t="s">
        <v>2092</v>
      </c>
      <c r="B181" s="2356"/>
      <c r="C181" s="2365" t="s">
        <v>689</v>
      </c>
      <c r="D181" s="2389"/>
      <c r="E181" s="2498"/>
      <c r="F181" s="2494"/>
      <c r="G181" s="2497"/>
      <c r="H181" s="2496"/>
      <c r="I181" s="2494"/>
      <c r="J181" s="2497"/>
      <c r="K181" s="2498"/>
      <c r="L181" s="2494"/>
      <c r="M181" s="2495"/>
    </row>
    <row r="182" spans="1:13" ht="11.25" customHeight="1">
      <c r="B182" s="2356"/>
      <c r="C182" s="2366" t="s">
        <v>1239</v>
      </c>
      <c r="D182" s="2389"/>
      <c r="E182" s="1665"/>
      <c r="F182" s="1661"/>
      <c r="G182" s="1662"/>
      <c r="H182" s="2478"/>
      <c r="I182" s="1661"/>
      <c r="J182" s="1664"/>
      <c r="K182" s="1665"/>
      <c r="L182" s="1661"/>
      <c r="M182" s="1662"/>
    </row>
    <row r="183" spans="1:13" ht="11.25" customHeight="1">
      <c r="B183" s="2356"/>
      <c r="C183" s="2366" t="s">
        <v>508</v>
      </c>
      <c r="D183" s="2389"/>
      <c r="E183" s="1665"/>
      <c r="F183" s="1661"/>
      <c r="G183" s="1662"/>
      <c r="H183" s="2478"/>
      <c r="I183" s="1661"/>
      <c r="J183" s="1664"/>
      <c r="K183" s="1665"/>
      <c r="L183" s="1661"/>
      <c r="M183" s="1662"/>
    </row>
    <row r="184" spans="1:13" ht="11.25" customHeight="1">
      <c r="B184" s="2356"/>
      <c r="C184" s="2368" t="s">
        <v>377</v>
      </c>
      <c r="D184" s="2389"/>
      <c r="E184" s="2483">
        <f>SUM(E182:E183)</f>
        <v>0</v>
      </c>
      <c r="F184" s="2479">
        <f t="shared" ref="F184:M184" si="33">SUM(F182:F183)</f>
        <v>0</v>
      </c>
      <c r="G184" s="2480">
        <f t="shared" si="33"/>
        <v>0</v>
      </c>
      <c r="H184" s="2481">
        <f t="shared" si="33"/>
        <v>0</v>
      </c>
      <c r="I184" s="2479">
        <f t="shared" si="33"/>
        <v>0</v>
      </c>
      <c r="J184" s="2482">
        <f t="shared" si="33"/>
        <v>0</v>
      </c>
      <c r="K184" s="2483">
        <f t="shared" si="33"/>
        <v>0</v>
      </c>
      <c r="L184" s="2479">
        <f t="shared" si="33"/>
        <v>0</v>
      </c>
      <c r="M184" s="2480">
        <f t="shared" si="33"/>
        <v>0</v>
      </c>
    </row>
    <row r="185" spans="1:13" ht="11.25" customHeight="1">
      <c r="B185" s="2356"/>
      <c r="C185" s="2366" t="s">
        <v>509</v>
      </c>
      <c r="D185" s="2389"/>
      <c r="E185" s="1665"/>
      <c r="F185" s="1661"/>
      <c r="G185" s="1662"/>
      <c r="H185" s="2478"/>
      <c r="I185" s="1661"/>
      <c r="J185" s="1664"/>
      <c r="K185" s="1665"/>
      <c r="L185" s="1661"/>
      <c r="M185" s="1662"/>
    </row>
    <row r="186" spans="1:13" ht="11.25" customHeight="1">
      <c r="B186" s="2356"/>
      <c r="C186" s="2366" t="s">
        <v>510</v>
      </c>
      <c r="D186" s="2389"/>
      <c r="E186" s="1665"/>
      <c r="F186" s="1661"/>
      <c r="G186" s="1662"/>
      <c r="H186" s="2478"/>
      <c r="I186" s="1661"/>
      <c r="J186" s="1664"/>
      <c r="K186" s="1665"/>
      <c r="L186" s="1661"/>
      <c r="M186" s="1662"/>
    </row>
    <row r="187" spans="1:13" ht="11.25" customHeight="1">
      <c r="B187" s="2356"/>
      <c r="C187" s="2366" t="s">
        <v>690</v>
      </c>
      <c r="D187" s="2389"/>
      <c r="E187" s="1665"/>
      <c r="F187" s="1661"/>
      <c r="G187" s="1662"/>
      <c r="H187" s="2478"/>
      <c r="I187" s="1661"/>
      <c r="J187" s="1664"/>
      <c r="K187" s="1665"/>
      <c r="L187" s="1661"/>
      <c r="M187" s="1662"/>
    </row>
    <row r="188" spans="1:13" ht="11.25" customHeight="1">
      <c r="B188" s="2356"/>
      <c r="C188" s="2368" t="s">
        <v>1294</v>
      </c>
      <c r="D188" s="2389"/>
      <c r="E188" s="2488">
        <f>SUM(E185:E187)</f>
        <v>0</v>
      </c>
      <c r="F188" s="2484">
        <f t="shared" ref="F188:M188" si="34">SUM(F185:F187)</f>
        <v>0</v>
      </c>
      <c r="G188" s="2485">
        <f t="shared" si="34"/>
        <v>0</v>
      </c>
      <c r="H188" s="2486">
        <f t="shared" si="34"/>
        <v>0</v>
      </c>
      <c r="I188" s="2484">
        <f t="shared" si="34"/>
        <v>0</v>
      </c>
      <c r="J188" s="2487">
        <f t="shared" si="34"/>
        <v>0</v>
      </c>
      <c r="K188" s="2488">
        <f t="shared" si="34"/>
        <v>0</v>
      </c>
      <c r="L188" s="2484">
        <f t="shared" si="34"/>
        <v>0</v>
      </c>
      <c r="M188" s="2485">
        <f t="shared" si="34"/>
        <v>0</v>
      </c>
    </row>
    <row r="189" spans="1:13" ht="11.25" customHeight="1">
      <c r="B189" s="2356"/>
      <c r="C189" s="2369" t="s">
        <v>1332</v>
      </c>
      <c r="D189" s="2389"/>
      <c r="E189" s="2493">
        <f>E184+E188</f>
        <v>0</v>
      </c>
      <c r="F189" s="2489">
        <f t="shared" ref="F189:M189" si="35">F184+F188</f>
        <v>0</v>
      </c>
      <c r="G189" s="2490">
        <f t="shared" si="35"/>
        <v>0</v>
      </c>
      <c r="H189" s="2491">
        <f t="shared" si="35"/>
        <v>0</v>
      </c>
      <c r="I189" s="2489">
        <f t="shared" si="35"/>
        <v>0</v>
      </c>
      <c r="J189" s="2492">
        <f t="shared" si="35"/>
        <v>0</v>
      </c>
      <c r="K189" s="2493">
        <f t="shared" si="35"/>
        <v>0</v>
      </c>
      <c r="L189" s="2489">
        <f t="shared" si="35"/>
        <v>0</v>
      </c>
      <c r="M189" s="2490">
        <f t="shared" si="35"/>
        <v>0</v>
      </c>
    </row>
    <row r="190" spans="1:13" ht="11.25" customHeight="1">
      <c r="A190" s="2412" t="s">
        <v>2092</v>
      </c>
      <c r="B190" s="2356"/>
      <c r="C190" s="2365" t="s">
        <v>693</v>
      </c>
      <c r="D190" s="2389"/>
      <c r="E190" s="2498"/>
      <c r="F190" s="2494"/>
      <c r="G190" s="2497"/>
      <c r="H190" s="2496"/>
      <c r="I190" s="2494"/>
      <c r="J190" s="2497"/>
      <c r="K190" s="2498"/>
      <c r="L190" s="2494"/>
      <c r="M190" s="2495"/>
    </row>
    <row r="191" spans="1:13" ht="11.25" customHeight="1">
      <c r="B191" s="2356"/>
      <c r="C191" s="2366" t="s">
        <v>745</v>
      </c>
      <c r="D191" s="2389"/>
      <c r="E191" s="1671"/>
      <c r="F191" s="1669"/>
      <c r="G191" s="1670"/>
      <c r="H191" s="2499"/>
      <c r="I191" s="1669"/>
      <c r="J191" s="2500"/>
      <c r="K191" s="1671"/>
      <c r="L191" s="1669"/>
      <c r="M191" s="1670"/>
    </row>
    <row r="192" spans="1:13" ht="11.25" customHeight="1">
      <c r="B192" s="2356"/>
      <c r="C192" s="2368" t="s">
        <v>377</v>
      </c>
      <c r="D192" s="2389"/>
      <c r="E192" s="2498">
        <f>SUM(E191)</f>
        <v>0</v>
      </c>
      <c r="F192" s="2494">
        <f t="shared" ref="F192:M192" si="36">SUM(F191)</f>
        <v>0</v>
      </c>
      <c r="G192" s="2495">
        <f t="shared" si="36"/>
        <v>0</v>
      </c>
      <c r="H192" s="2496">
        <f t="shared" si="36"/>
        <v>0</v>
      </c>
      <c r="I192" s="2494">
        <f t="shared" si="36"/>
        <v>0</v>
      </c>
      <c r="J192" s="2497">
        <f t="shared" si="36"/>
        <v>0</v>
      </c>
      <c r="K192" s="2498">
        <f t="shared" si="36"/>
        <v>0</v>
      </c>
      <c r="L192" s="2494">
        <f t="shared" si="36"/>
        <v>0</v>
      </c>
      <c r="M192" s="2495">
        <f t="shared" si="36"/>
        <v>0</v>
      </c>
    </row>
    <row r="193" spans="1:13" ht="11.25" customHeight="1">
      <c r="B193" s="2356"/>
      <c r="C193" s="2366" t="s">
        <v>694</v>
      </c>
      <c r="D193" s="2389"/>
      <c r="E193" s="1665"/>
      <c r="F193" s="1661"/>
      <c r="G193" s="1662"/>
      <c r="H193" s="2478"/>
      <c r="I193" s="1661"/>
      <c r="J193" s="1664"/>
      <c r="K193" s="1665"/>
      <c r="L193" s="1661"/>
      <c r="M193" s="1662"/>
    </row>
    <row r="194" spans="1:13" ht="11.25" customHeight="1">
      <c r="B194" s="2356"/>
      <c r="C194" s="2366" t="s">
        <v>695</v>
      </c>
      <c r="D194" s="2389"/>
      <c r="E194" s="1665"/>
      <c r="F194" s="1661"/>
      <c r="G194" s="1662"/>
      <c r="H194" s="2478"/>
      <c r="I194" s="1661"/>
      <c r="J194" s="1664"/>
      <c r="K194" s="1665"/>
      <c r="L194" s="1661"/>
      <c r="M194" s="1662"/>
    </row>
    <row r="195" spans="1:13" ht="11.25" customHeight="1">
      <c r="B195" s="2356"/>
      <c r="C195" s="2366" t="s">
        <v>884</v>
      </c>
      <c r="D195" s="2389"/>
      <c r="E195" s="1665"/>
      <c r="F195" s="1661"/>
      <c r="G195" s="1662"/>
      <c r="H195" s="2478"/>
      <c r="I195" s="1661"/>
      <c r="J195" s="1664"/>
      <c r="K195" s="1665"/>
      <c r="L195" s="1661"/>
      <c r="M195" s="1662"/>
    </row>
    <row r="196" spans="1:13" ht="11.25" customHeight="1">
      <c r="B196" s="2356"/>
      <c r="C196" s="2366" t="s">
        <v>885</v>
      </c>
      <c r="D196" s="2389"/>
      <c r="E196" s="1665"/>
      <c r="F196" s="1661"/>
      <c r="G196" s="1662"/>
      <c r="H196" s="2478"/>
      <c r="I196" s="1661"/>
      <c r="J196" s="1664"/>
      <c r="K196" s="1665"/>
      <c r="L196" s="1661"/>
      <c r="M196" s="1662"/>
    </row>
    <row r="197" spans="1:13" ht="11.25" customHeight="1">
      <c r="B197" s="2356"/>
      <c r="C197" s="2366" t="s">
        <v>199</v>
      </c>
      <c r="D197" s="2389"/>
      <c r="E197" s="1665"/>
      <c r="F197" s="1661"/>
      <c r="G197" s="1662"/>
      <c r="H197" s="2478"/>
      <c r="I197" s="1661"/>
      <c r="J197" s="1664"/>
      <c r="K197" s="1665"/>
      <c r="L197" s="1661"/>
      <c r="M197" s="1662"/>
    </row>
    <row r="198" spans="1:13" ht="11.25" customHeight="1">
      <c r="B198" s="2356"/>
      <c r="C198" s="2368" t="s">
        <v>1294</v>
      </c>
      <c r="D198" s="2389"/>
      <c r="E198" s="2488">
        <f t="shared" ref="E198:M198" si="37">SUM(E193:E197)</f>
        <v>0</v>
      </c>
      <c r="F198" s="2484">
        <f t="shared" si="37"/>
        <v>0</v>
      </c>
      <c r="G198" s="2485">
        <f t="shared" si="37"/>
        <v>0</v>
      </c>
      <c r="H198" s="2486">
        <f t="shared" si="37"/>
        <v>0</v>
      </c>
      <c r="I198" s="2484">
        <f t="shared" si="37"/>
        <v>0</v>
      </c>
      <c r="J198" s="2487">
        <f t="shared" si="37"/>
        <v>0</v>
      </c>
      <c r="K198" s="2488">
        <f t="shared" si="37"/>
        <v>0</v>
      </c>
      <c r="L198" s="2484">
        <f t="shared" si="37"/>
        <v>0</v>
      </c>
      <c r="M198" s="2485">
        <f t="shared" si="37"/>
        <v>0</v>
      </c>
    </row>
    <row r="199" spans="1:13" ht="11.25" customHeight="1">
      <c r="B199" s="2356"/>
      <c r="C199" s="2369" t="s">
        <v>1332</v>
      </c>
      <c r="D199" s="2389"/>
      <c r="E199" s="2493">
        <f>E192+E198</f>
        <v>0</v>
      </c>
      <c r="F199" s="2489">
        <f t="shared" ref="F199:M199" si="38">F192+F198</f>
        <v>0</v>
      </c>
      <c r="G199" s="2490">
        <f t="shared" si="38"/>
        <v>0</v>
      </c>
      <c r="H199" s="2491">
        <f t="shared" si="38"/>
        <v>0</v>
      </c>
      <c r="I199" s="2489">
        <f t="shared" si="38"/>
        <v>0</v>
      </c>
      <c r="J199" s="2492">
        <f t="shared" si="38"/>
        <v>0</v>
      </c>
      <c r="K199" s="2493">
        <f t="shared" si="38"/>
        <v>0</v>
      </c>
      <c r="L199" s="2489">
        <f t="shared" si="38"/>
        <v>0</v>
      </c>
      <c r="M199" s="2490">
        <f t="shared" si="38"/>
        <v>0</v>
      </c>
    </row>
    <row r="200" spans="1:13" ht="5" customHeight="1">
      <c r="B200" s="2356"/>
      <c r="C200" s="2370"/>
      <c r="D200" s="2390"/>
      <c r="E200" s="1147"/>
      <c r="F200" s="1143"/>
      <c r="G200" s="1144"/>
      <c r="H200" s="1145"/>
      <c r="I200" s="1143"/>
      <c r="J200" s="1146"/>
      <c r="K200" s="1147"/>
      <c r="L200" s="1143"/>
      <c r="M200" s="1144"/>
    </row>
    <row r="201" spans="1:13" ht="25" customHeight="1">
      <c r="A201" s="2809" t="s">
        <v>2093</v>
      </c>
      <c r="B201" s="2347"/>
      <c r="C201" s="2348"/>
      <c r="D201" s="2349"/>
      <c r="E201" s="2350" t="str">
        <f>head1b</f>
        <v>2009/10</v>
      </c>
      <c r="F201" s="1124" t="str">
        <f>head1A</f>
        <v>2010/11</v>
      </c>
      <c r="G201" s="1125" t="str">
        <f>Head1</f>
        <v>2011/12</v>
      </c>
      <c r="H201" s="2773" t="str">
        <f>Head2</f>
        <v>Current Year 2012/13</v>
      </c>
      <c r="I201" s="2774"/>
      <c r="J201" s="2775"/>
      <c r="K201" s="2773" t="str">
        <f>Head3</f>
        <v>2013/14 Medium Term Revenue &amp; Expenditure Framework</v>
      </c>
      <c r="L201" s="2774"/>
      <c r="M201" s="2775"/>
    </row>
    <row r="202" spans="1:13" ht="25" customHeight="1">
      <c r="A202" s="2809"/>
      <c r="B202" s="2351" t="s">
        <v>2003</v>
      </c>
      <c r="C202" s="1586"/>
      <c r="D202" s="1587"/>
      <c r="E202" s="2352" t="str">
        <f>Head5A</f>
        <v>Outcome</v>
      </c>
      <c r="F202" s="2353" t="str">
        <f>Head5A</f>
        <v>Outcome</v>
      </c>
      <c r="G202" s="2354" t="str">
        <f>Head5A</f>
        <v>Outcome</v>
      </c>
      <c r="H202" s="2355" t="str">
        <f>Head6</f>
        <v>Original Budget</v>
      </c>
      <c r="I202" s="2353" t="str">
        <f>Head7</f>
        <v>Adjusted Budget</v>
      </c>
      <c r="J202" s="2354" t="str">
        <f>Head8</f>
        <v>Full Year Forecast</v>
      </c>
      <c r="K202" s="2355" t="str">
        <f>Head9</f>
        <v>Budget Year 2013/14</v>
      </c>
      <c r="L202" s="2353" t="str">
        <f>Head10</f>
        <v>Budget Year +1 2014/15</v>
      </c>
      <c r="M202" s="2354" t="str">
        <f>Head11</f>
        <v>Budget Year +2 2015/16</v>
      </c>
    </row>
    <row r="203" spans="1:13" ht="11.25" customHeight="1">
      <c r="A203" s="2371" t="s">
        <v>2094</v>
      </c>
      <c r="B203" s="2356"/>
      <c r="C203" s="2357" t="s">
        <v>201</v>
      </c>
      <c r="D203" s="2389"/>
      <c r="E203" s="556"/>
      <c r="F203" s="2358"/>
      <c r="G203" s="2359"/>
      <c r="H203" s="2360"/>
      <c r="I203" s="2361"/>
      <c r="J203" s="2362"/>
      <c r="K203" s="2363"/>
      <c r="L203" s="2361"/>
      <c r="M203" s="2364"/>
    </row>
    <row r="204" spans="1:13" ht="11.25" customHeight="1">
      <c r="A204" s="1651"/>
      <c r="B204" s="2356"/>
      <c r="C204" s="2365" t="s">
        <v>1865</v>
      </c>
      <c r="D204" s="2389"/>
      <c r="E204" s="1135"/>
      <c r="F204" s="1131"/>
      <c r="G204" s="1134"/>
      <c r="H204" s="1066"/>
      <c r="I204" s="1064"/>
      <c r="J204" s="1067"/>
      <c r="K204" s="1068"/>
      <c r="L204" s="1064"/>
      <c r="M204" s="1065"/>
    </row>
    <row r="205" spans="1:13" ht="11.25" customHeight="1">
      <c r="A205" s="1651"/>
      <c r="B205" s="2356"/>
      <c r="C205" s="2366" t="s">
        <v>1652</v>
      </c>
      <c r="D205" s="2389"/>
      <c r="E205" s="1665"/>
      <c r="F205" s="1661"/>
      <c r="G205" s="1662"/>
      <c r="H205" s="2478"/>
      <c r="I205" s="1661"/>
      <c r="J205" s="1664"/>
      <c r="K205" s="1665"/>
      <c r="L205" s="1661"/>
      <c r="M205" s="1662"/>
    </row>
    <row r="206" spans="1:13" ht="11.25" customHeight="1">
      <c r="A206" s="1651"/>
      <c r="B206" s="2356"/>
      <c r="C206" s="2366" t="s">
        <v>1864</v>
      </c>
      <c r="D206" s="2389"/>
      <c r="E206" s="1665"/>
      <c r="F206" s="1661"/>
      <c r="G206" s="1662"/>
      <c r="H206" s="2478"/>
      <c r="I206" s="1661"/>
      <c r="J206" s="1664"/>
      <c r="K206" s="1665"/>
      <c r="L206" s="1661"/>
      <c r="M206" s="1662"/>
    </row>
    <row r="207" spans="1:13" ht="11.25" customHeight="1">
      <c r="A207" s="1651"/>
      <c r="B207" s="2367">
        <v>8</v>
      </c>
      <c r="C207" s="2366" t="s">
        <v>131</v>
      </c>
      <c r="D207" s="2389"/>
      <c r="E207" s="1665"/>
      <c r="F207" s="1661"/>
      <c r="G207" s="1662"/>
      <c r="H207" s="2478"/>
      <c r="I207" s="1661"/>
      <c r="J207" s="1664"/>
      <c r="K207" s="1665"/>
      <c r="L207" s="1661"/>
      <c r="M207" s="1662"/>
    </row>
    <row r="208" spans="1:13" ht="11.25" customHeight="1">
      <c r="A208" s="1651"/>
      <c r="B208" s="2367">
        <v>10</v>
      </c>
      <c r="C208" s="2366" t="s">
        <v>132</v>
      </c>
      <c r="D208" s="2389"/>
      <c r="E208" s="1665"/>
      <c r="F208" s="1661"/>
      <c r="G208" s="1662"/>
      <c r="H208" s="2478"/>
      <c r="I208" s="1661"/>
      <c r="J208" s="1664"/>
      <c r="K208" s="1665"/>
      <c r="L208" s="1661"/>
      <c r="M208" s="1662"/>
    </row>
    <row r="209" spans="1:13" ht="11.25" customHeight="1">
      <c r="A209" s="1651"/>
      <c r="B209" s="2367"/>
      <c r="C209" s="2368" t="s">
        <v>377</v>
      </c>
      <c r="D209" s="2389"/>
      <c r="E209" s="2483">
        <f>SUM(E205:E208)</f>
        <v>0</v>
      </c>
      <c r="F209" s="2479">
        <f t="shared" ref="F209:M209" si="39">SUM(F205:F208)</f>
        <v>0</v>
      </c>
      <c r="G209" s="2480">
        <f t="shared" si="39"/>
        <v>0</v>
      </c>
      <c r="H209" s="2481">
        <f t="shared" si="39"/>
        <v>0</v>
      </c>
      <c r="I209" s="2479">
        <f t="shared" si="39"/>
        <v>0</v>
      </c>
      <c r="J209" s="2482">
        <f t="shared" si="39"/>
        <v>0</v>
      </c>
      <c r="K209" s="2483">
        <f t="shared" si="39"/>
        <v>0</v>
      </c>
      <c r="L209" s="2479">
        <f t="shared" si="39"/>
        <v>0</v>
      </c>
      <c r="M209" s="2480">
        <f t="shared" si="39"/>
        <v>0</v>
      </c>
    </row>
    <row r="210" spans="1:13" ht="11.25" customHeight="1">
      <c r="A210" s="1651"/>
      <c r="B210" s="2367">
        <v>9</v>
      </c>
      <c r="C210" s="2366" t="s">
        <v>506</v>
      </c>
      <c r="D210" s="2389"/>
      <c r="E210" s="1665"/>
      <c r="F210" s="1661"/>
      <c r="G210" s="1662"/>
      <c r="H210" s="2478"/>
      <c r="I210" s="1661"/>
      <c r="J210" s="1664"/>
      <c r="K210" s="1665"/>
      <c r="L210" s="1661"/>
      <c r="M210" s="1662"/>
    </row>
    <row r="211" spans="1:13" ht="11.25" customHeight="1">
      <c r="A211" s="1651"/>
      <c r="B211" s="2367">
        <v>10</v>
      </c>
      <c r="C211" s="2366" t="s">
        <v>507</v>
      </c>
      <c r="D211" s="2389"/>
      <c r="E211" s="1665"/>
      <c r="F211" s="1661"/>
      <c r="G211" s="1662"/>
      <c r="H211" s="2478"/>
      <c r="I211" s="1661"/>
      <c r="J211" s="1664"/>
      <c r="K211" s="1665"/>
      <c r="L211" s="1661"/>
      <c r="M211" s="1662"/>
    </row>
    <row r="212" spans="1:13" ht="11.25" customHeight="1">
      <c r="A212" s="1651"/>
      <c r="B212" s="2356"/>
      <c r="C212" s="2366" t="s">
        <v>974</v>
      </c>
      <c r="D212" s="2389"/>
      <c r="E212" s="1665"/>
      <c r="F212" s="1661"/>
      <c r="G212" s="1662"/>
      <c r="H212" s="2478"/>
      <c r="I212" s="1661"/>
      <c r="J212" s="1664"/>
      <c r="K212" s="1665"/>
      <c r="L212" s="1661"/>
      <c r="M212" s="1662"/>
    </row>
    <row r="213" spans="1:13" ht="11.25" customHeight="1">
      <c r="A213" s="1651"/>
      <c r="B213" s="2356"/>
      <c r="C213" s="2368" t="s">
        <v>1294</v>
      </c>
      <c r="D213" s="2389"/>
      <c r="E213" s="2488">
        <f>SUM(E210:E212)</f>
        <v>0</v>
      </c>
      <c r="F213" s="2484">
        <f t="shared" ref="F213:M213" si="40">SUM(F210:F212)</f>
        <v>0</v>
      </c>
      <c r="G213" s="2485">
        <f t="shared" si="40"/>
        <v>0</v>
      </c>
      <c r="H213" s="2486">
        <f t="shared" si="40"/>
        <v>0</v>
      </c>
      <c r="I213" s="2484">
        <f t="shared" si="40"/>
        <v>0</v>
      </c>
      <c r="J213" s="2487">
        <f t="shared" si="40"/>
        <v>0</v>
      </c>
      <c r="K213" s="2488">
        <f t="shared" si="40"/>
        <v>0</v>
      </c>
      <c r="L213" s="2484">
        <f t="shared" si="40"/>
        <v>0</v>
      </c>
      <c r="M213" s="2485">
        <f t="shared" si="40"/>
        <v>0</v>
      </c>
    </row>
    <row r="214" spans="1:13" ht="11.25" customHeight="1">
      <c r="B214" s="2356"/>
      <c r="C214" s="2369" t="s">
        <v>1332</v>
      </c>
      <c r="D214" s="2389"/>
      <c r="E214" s="2493">
        <f>E209+E213</f>
        <v>0</v>
      </c>
      <c r="F214" s="2489">
        <f t="shared" ref="F214:M214" si="41">F209+F213</f>
        <v>0</v>
      </c>
      <c r="G214" s="2490">
        <f t="shared" si="41"/>
        <v>0</v>
      </c>
      <c r="H214" s="2491">
        <f t="shared" si="41"/>
        <v>0</v>
      </c>
      <c r="I214" s="2489">
        <f t="shared" si="41"/>
        <v>0</v>
      </c>
      <c r="J214" s="2492">
        <f t="shared" si="41"/>
        <v>0</v>
      </c>
      <c r="K214" s="2493">
        <f t="shared" si="41"/>
        <v>0</v>
      </c>
      <c r="L214" s="2489">
        <f t="shared" si="41"/>
        <v>0</v>
      </c>
      <c r="M214" s="2490">
        <f t="shared" si="41"/>
        <v>0</v>
      </c>
    </row>
    <row r="215" spans="1:13" ht="11.25" customHeight="1">
      <c r="A215" s="2371" t="s">
        <v>2094</v>
      </c>
      <c r="B215" s="2356"/>
      <c r="C215" s="2365" t="s">
        <v>1333</v>
      </c>
      <c r="D215" s="2389"/>
      <c r="E215" s="2498"/>
      <c r="F215" s="2494"/>
      <c r="G215" s="2497"/>
      <c r="H215" s="2496"/>
      <c r="I215" s="2494"/>
      <c r="J215" s="2497"/>
      <c r="K215" s="2498"/>
      <c r="L215" s="2494"/>
      <c r="M215" s="2495"/>
    </row>
    <row r="216" spans="1:13" ht="11.25" customHeight="1">
      <c r="A216" s="1651"/>
      <c r="B216" s="2356"/>
      <c r="C216" s="2366" t="s">
        <v>1334</v>
      </c>
      <c r="D216" s="2389"/>
      <c r="E216" s="1665"/>
      <c r="F216" s="1661"/>
      <c r="G216" s="1662"/>
      <c r="H216" s="2478"/>
      <c r="I216" s="1661"/>
      <c r="J216" s="1664"/>
      <c r="K216" s="1665"/>
      <c r="L216" s="1661"/>
      <c r="M216" s="1662"/>
    </row>
    <row r="217" spans="1:13" ht="11.25" customHeight="1">
      <c r="A217" s="1651"/>
      <c r="B217" s="2356"/>
      <c r="C217" s="2366" t="s">
        <v>1335</v>
      </c>
      <c r="D217" s="2389"/>
      <c r="E217" s="1665"/>
      <c r="F217" s="1661"/>
      <c r="G217" s="1662"/>
      <c r="H217" s="2478"/>
      <c r="I217" s="1661"/>
      <c r="J217" s="1664"/>
      <c r="K217" s="1665"/>
      <c r="L217" s="1661"/>
      <c r="M217" s="1662"/>
    </row>
    <row r="218" spans="1:13" ht="11.25" customHeight="1">
      <c r="A218" s="1651"/>
      <c r="B218" s="2356"/>
      <c r="C218" s="2366" t="s">
        <v>1407</v>
      </c>
      <c r="D218" s="2389"/>
      <c r="E218" s="1665"/>
      <c r="F218" s="1661"/>
      <c r="G218" s="1662"/>
      <c r="H218" s="2478"/>
      <c r="I218" s="1661"/>
      <c r="J218" s="1664"/>
      <c r="K218" s="1665"/>
      <c r="L218" s="1661"/>
      <c r="M218" s="1662"/>
    </row>
    <row r="219" spans="1:13" ht="11.25" customHeight="1">
      <c r="A219" s="1651"/>
      <c r="B219" s="2356"/>
      <c r="C219" s="2366" t="s">
        <v>242</v>
      </c>
      <c r="D219" s="2389"/>
      <c r="E219" s="1665"/>
      <c r="F219" s="1661"/>
      <c r="G219" s="1662"/>
      <c r="H219" s="2478"/>
      <c r="I219" s="1661"/>
      <c r="J219" s="1664"/>
      <c r="K219" s="1665"/>
      <c r="L219" s="1661"/>
      <c r="M219" s="1662"/>
    </row>
    <row r="220" spans="1:13" ht="11.25" customHeight="1">
      <c r="A220" s="1651"/>
      <c r="B220" s="2356"/>
      <c r="C220" s="2366" t="s">
        <v>244</v>
      </c>
      <c r="D220" s="2389"/>
      <c r="E220" s="1665"/>
      <c r="F220" s="1661"/>
      <c r="G220" s="1662"/>
      <c r="H220" s="2478"/>
      <c r="I220" s="1661"/>
      <c r="J220" s="1664"/>
      <c r="K220" s="1665"/>
      <c r="L220" s="1661"/>
      <c r="M220" s="1662"/>
    </row>
    <row r="221" spans="1:13" ht="11.25" customHeight="1">
      <c r="A221" s="1651"/>
      <c r="B221" s="2356"/>
      <c r="C221" s="2368" t="s">
        <v>377</v>
      </c>
      <c r="D221" s="2389"/>
      <c r="E221" s="2483">
        <f>SUM(E216:E220)</f>
        <v>0</v>
      </c>
      <c r="F221" s="2479">
        <f t="shared" ref="F221:M221" si="42">SUM(F216:F220)</f>
        <v>0</v>
      </c>
      <c r="G221" s="2480">
        <f t="shared" si="42"/>
        <v>0</v>
      </c>
      <c r="H221" s="2481">
        <f t="shared" si="42"/>
        <v>0</v>
      </c>
      <c r="I221" s="2479">
        <f t="shared" si="42"/>
        <v>0</v>
      </c>
      <c r="J221" s="2482">
        <f t="shared" si="42"/>
        <v>0</v>
      </c>
      <c r="K221" s="2483">
        <f t="shared" si="42"/>
        <v>0</v>
      </c>
      <c r="L221" s="2479">
        <f t="shared" si="42"/>
        <v>0</v>
      </c>
      <c r="M221" s="2480">
        <f t="shared" si="42"/>
        <v>0</v>
      </c>
    </row>
    <row r="222" spans="1:13" ht="11.25" customHeight="1">
      <c r="A222" s="1651"/>
      <c r="B222" s="2356"/>
      <c r="C222" s="2366" t="s">
        <v>243</v>
      </c>
      <c r="D222" s="2389"/>
      <c r="E222" s="1665"/>
      <c r="F222" s="1661"/>
      <c r="G222" s="1662"/>
      <c r="H222" s="2478"/>
      <c r="I222" s="1661"/>
      <c r="J222" s="1664"/>
      <c r="K222" s="1665"/>
      <c r="L222" s="1661"/>
      <c r="M222" s="1662"/>
    </row>
    <row r="223" spans="1:13" ht="11.25" customHeight="1">
      <c r="A223" s="1651"/>
      <c r="B223" s="2356"/>
      <c r="C223" s="2366" t="s">
        <v>1238</v>
      </c>
      <c r="D223" s="2389"/>
      <c r="E223" s="1665"/>
      <c r="F223" s="1661"/>
      <c r="G223" s="1662"/>
      <c r="H223" s="2478"/>
      <c r="I223" s="1661"/>
      <c r="J223" s="1664"/>
      <c r="K223" s="1665"/>
      <c r="L223" s="1661"/>
      <c r="M223" s="1662"/>
    </row>
    <row r="224" spans="1:13" ht="11.25" customHeight="1">
      <c r="A224" s="1651"/>
      <c r="B224" s="2356"/>
      <c r="C224" s="2366" t="s">
        <v>1409</v>
      </c>
      <c r="D224" s="2389"/>
      <c r="E224" s="1665"/>
      <c r="F224" s="1661"/>
      <c r="G224" s="1662"/>
      <c r="H224" s="2478"/>
      <c r="I224" s="1661"/>
      <c r="J224" s="1664"/>
      <c r="K224" s="1665"/>
      <c r="L224" s="1661"/>
      <c r="M224" s="1662"/>
    </row>
    <row r="225" spans="1:13" ht="11.25" customHeight="1">
      <c r="A225" s="1651"/>
      <c r="B225" s="2356"/>
      <c r="C225" s="2368" t="s">
        <v>1294</v>
      </c>
      <c r="D225" s="2389"/>
      <c r="E225" s="2488">
        <f>SUM(E222:E224)</f>
        <v>0</v>
      </c>
      <c r="F225" s="2484">
        <f t="shared" ref="F225:M225" si="43">SUM(F222:F224)</f>
        <v>0</v>
      </c>
      <c r="G225" s="2485">
        <f t="shared" si="43"/>
        <v>0</v>
      </c>
      <c r="H225" s="2486">
        <f t="shared" si="43"/>
        <v>0</v>
      </c>
      <c r="I225" s="2484">
        <f t="shared" si="43"/>
        <v>0</v>
      </c>
      <c r="J225" s="2487">
        <f t="shared" si="43"/>
        <v>0</v>
      </c>
      <c r="K225" s="2488">
        <f t="shared" si="43"/>
        <v>0</v>
      </c>
      <c r="L225" s="2484">
        <f t="shared" si="43"/>
        <v>0</v>
      </c>
      <c r="M225" s="2485">
        <f t="shared" si="43"/>
        <v>0</v>
      </c>
    </row>
    <row r="226" spans="1:13" ht="11.25" customHeight="1">
      <c r="B226" s="2356"/>
      <c r="C226" s="2369" t="s">
        <v>1332</v>
      </c>
      <c r="D226" s="2389"/>
      <c r="E226" s="2493">
        <f>E221+E225</f>
        <v>0</v>
      </c>
      <c r="F226" s="2489">
        <f t="shared" ref="F226:M226" si="44">F221+F225</f>
        <v>0</v>
      </c>
      <c r="G226" s="2490">
        <f t="shared" si="44"/>
        <v>0</v>
      </c>
      <c r="H226" s="2491">
        <f t="shared" si="44"/>
        <v>0</v>
      </c>
      <c r="I226" s="2489">
        <f t="shared" si="44"/>
        <v>0</v>
      </c>
      <c r="J226" s="2492">
        <f t="shared" si="44"/>
        <v>0</v>
      </c>
      <c r="K226" s="2493">
        <f t="shared" si="44"/>
        <v>0</v>
      </c>
      <c r="L226" s="2489">
        <f t="shared" si="44"/>
        <v>0</v>
      </c>
      <c r="M226" s="2490">
        <f t="shared" si="44"/>
        <v>0</v>
      </c>
    </row>
    <row r="227" spans="1:13" ht="11.25" customHeight="1">
      <c r="A227" s="2371" t="s">
        <v>2094</v>
      </c>
      <c r="B227" s="2356"/>
      <c r="C227" s="2365" t="s">
        <v>689</v>
      </c>
      <c r="D227" s="2389"/>
      <c r="E227" s="2498"/>
      <c r="F227" s="2494"/>
      <c r="G227" s="2497"/>
      <c r="H227" s="2496"/>
      <c r="I227" s="2494"/>
      <c r="J227" s="2497"/>
      <c r="K227" s="2498"/>
      <c r="L227" s="2494"/>
      <c r="M227" s="2495"/>
    </row>
    <row r="228" spans="1:13" ht="11.25" customHeight="1">
      <c r="A228" s="1651"/>
      <c r="B228" s="2356"/>
      <c r="C228" s="2366" t="s">
        <v>1239</v>
      </c>
      <c r="D228" s="2389"/>
      <c r="E228" s="1665"/>
      <c r="F228" s="1661"/>
      <c r="G228" s="1662"/>
      <c r="H228" s="2478"/>
      <c r="I228" s="1661"/>
      <c r="J228" s="1664"/>
      <c r="K228" s="1665"/>
      <c r="L228" s="1661"/>
      <c r="M228" s="1662"/>
    </row>
    <row r="229" spans="1:13" ht="11.25" customHeight="1">
      <c r="A229" s="1651"/>
      <c r="B229" s="2356"/>
      <c r="C229" s="2366" t="s">
        <v>508</v>
      </c>
      <c r="D229" s="2389"/>
      <c r="E229" s="1665"/>
      <c r="F229" s="1661"/>
      <c r="G229" s="1662"/>
      <c r="H229" s="2478"/>
      <c r="I229" s="1661"/>
      <c r="J229" s="1664"/>
      <c r="K229" s="1665"/>
      <c r="L229" s="1661"/>
      <c r="M229" s="1662"/>
    </row>
    <row r="230" spans="1:13" ht="11.25" customHeight="1">
      <c r="A230" s="1651"/>
      <c r="B230" s="2356"/>
      <c r="C230" s="2368" t="s">
        <v>377</v>
      </c>
      <c r="D230" s="2389"/>
      <c r="E230" s="2483">
        <f>SUM(E228:E229)</f>
        <v>0</v>
      </c>
      <c r="F230" s="2479">
        <f t="shared" ref="F230:M230" si="45">SUM(F228:F229)</f>
        <v>0</v>
      </c>
      <c r="G230" s="2480">
        <f t="shared" si="45"/>
        <v>0</v>
      </c>
      <c r="H230" s="2481">
        <f t="shared" si="45"/>
        <v>0</v>
      </c>
      <c r="I230" s="2479">
        <f t="shared" si="45"/>
        <v>0</v>
      </c>
      <c r="J230" s="2482">
        <f t="shared" si="45"/>
        <v>0</v>
      </c>
      <c r="K230" s="2483">
        <f t="shared" si="45"/>
        <v>0</v>
      </c>
      <c r="L230" s="2479">
        <f t="shared" si="45"/>
        <v>0</v>
      </c>
      <c r="M230" s="2480">
        <f t="shared" si="45"/>
        <v>0</v>
      </c>
    </row>
    <row r="231" spans="1:13" ht="11.25" customHeight="1">
      <c r="A231" s="1651"/>
      <c r="B231" s="2356"/>
      <c r="C231" s="2366" t="s">
        <v>509</v>
      </c>
      <c r="D231" s="2389"/>
      <c r="E231" s="1665"/>
      <c r="F231" s="1661"/>
      <c r="G231" s="1662"/>
      <c r="H231" s="2478"/>
      <c r="I231" s="1661"/>
      <c r="J231" s="1664"/>
      <c r="K231" s="1665"/>
      <c r="L231" s="1661"/>
      <c r="M231" s="1662"/>
    </row>
    <row r="232" spans="1:13" ht="11.25" customHeight="1">
      <c r="A232" s="1651"/>
      <c r="B232" s="2356"/>
      <c r="C232" s="2366" t="s">
        <v>510</v>
      </c>
      <c r="D232" s="2389"/>
      <c r="E232" s="1665"/>
      <c r="F232" s="1661"/>
      <c r="G232" s="1662"/>
      <c r="H232" s="2478"/>
      <c r="I232" s="1661"/>
      <c r="J232" s="1664"/>
      <c r="K232" s="1665"/>
      <c r="L232" s="1661"/>
      <c r="M232" s="1662"/>
    </row>
    <row r="233" spans="1:13" ht="11.25" customHeight="1">
      <c r="A233" s="1651"/>
      <c r="B233" s="2356"/>
      <c r="C233" s="2366" t="s">
        <v>690</v>
      </c>
      <c r="D233" s="2389"/>
      <c r="E233" s="1665"/>
      <c r="F233" s="1661"/>
      <c r="G233" s="1662"/>
      <c r="H233" s="2478"/>
      <c r="I233" s="1661"/>
      <c r="J233" s="1664"/>
      <c r="K233" s="1665"/>
      <c r="L233" s="1661"/>
      <c r="M233" s="1662"/>
    </row>
    <row r="234" spans="1:13" ht="11.25" customHeight="1">
      <c r="A234" s="1651"/>
      <c r="B234" s="2356"/>
      <c r="C234" s="2368" t="s">
        <v>1294</v>
      </c>
      <c r="D234" s="2389"/>
      <c r="E234" s="2488">
        <f>SUM(E231:E233)</f>
        <v>0</v>
      </c>
      <c r="F234" s="2484">
        <f t="shared" ref="F234:M234" si="46">SUM(F231:F233)</f>
        <v>0</v>
      </c>
      <c r="G234" s="2485">
        <f t="shared" si="46"/>
        <v>0</v>
      </c>
      <c r="H234" s="2486">
        <f t="shared" si="46"/>
        <v>0</v>
      </c>
      <c r="I234" s="2484">
        <f t="shared" si="46"/>
        <v>0</v>
      </c>
      <c r="J234" s="2487">
        <f t="shared" si="46"/>
        <v>0</v>
      </c>
      <c r="K234" s="2488">
        <f t="shared" si="46"/>
        <v>0</v>
      </c>
      <c r="L234" s="2484">
        <f t="shared" si="46"/>
        <v>0</v>
      </c>
      <c r="M234" s="2485">
        <f t="shared" si="46"/>
        <v>0</v>
      </c>
    </row>
    <row r="235" spans="1:13" ht="11.25" customHeight="1">
      <c r="A235" s="2372"/>
      <c r="B235" s="2356"/>
      <c r="C235" s="2369" t="s">
        <v>1332</v>
      </c>
      <c r="D235" s="2389"/>
      <c r="E235" s="2493">
        <f>E230+E234</f>
        <v>0</v>
      </c>
      <c r="F235" s="2489">
        <f t="shared" ref="F235:M235" si="47">F230+F234</f>
        <v>0</v>
      </c>
      <c r="G235" s="2490">
        <f t="shared" si="47"/>
        <v>0</v>
      </c>
      <c r="H235" s="2491">
        <f t="shared" si="47"/>
        <v>0</v>
      </c>
      <c r="I235" s="2489">
        <f t="shared" si="47"/>
        <v>0</v>
      </c>
      <c r="J235" s="2492">
        <f t="shared" si="47"/>
        <v>0</v>
      </c>
      <c r="K235" s="2493">
        <f t="shared" si="47"/>
        <v>0</v>
      </c>
      <c r="L235" s="2489">
        <f t="shared" si="47"/>
        <v>0</v>
      </c>
      <c r="M235" s="2490">
        <f t="shared" si="47"/>
        <v>0</v>
      </c>
    </row>
    <row r="236" spans="1:13" ht="11.25" customHeight="1">
      <c r="A236" s="2371" t="s">
        <v>2094</v>
      </c>
      <c r="B236" s="2356"/>
      <c r="C236" s="2365" t="s">
        <v>693</v>
      </c>
      <c r="D236" s="2389"/>
      <c r="E236" s="2498"/>
      <c r="F236" s="2494"/>
      <c r="G236" s="2497"/>
      <c r="H236" s="2496"/>
      <c r="I236" s="2494"/>
      <c r="J236" s="2497"/>
      <c r="K236" s="2498"/>
      <c r="L236" s="2494"/>
      <c r="M236" s="2495"/>
    </row>
    <row r="237" spans="1:13" ht="11.25" customHeight="1">
      <c r="A237" s="1651"/>
      <c r="B237" s="2356"/>
      <c r="C237" s="2366" t="s">
        <v>745</v>
      </c>
      <c r="D237" s="2389"/>
      <c r="E237" s="1671"/>
      <c r="F237" s="1669"/>
      <c r="G237" s="1670"/>
      <c r="H237" s="2499"/>
      <c r="I237" s="1669"/>
      <c r="J237" s="2500"/>
      <c r="K237" s="1671"/>
      <c r="L237" s="1669"/>
      <c r="M237" s="1670"/>
    </row>
    <row r="238" spans="1:13" ht="11.25" customHeight="1">
      <c r="A238" s="1651"/>
      <c r="B238" s="2356"/>
      <c r="C238" s="2368" t="s">
        <v>377</v>
      </c>
      <c r="D238" s="2389"/>
      <c r="E238" s="2498">
        <f>SUM(E237)</f>
        <v>0</v>
      </c>
      <c r="F238" s="2494">
        <f t="shared" ref="F238:M238" si="48">SUM(F237)</f>
        <v>0</v>
      </c>
      <c r="G238" s="2495">
        <f t="shared" si="48"/>
        <v>0</v>
      </c>
      <c r="H238" s="2496">
        <f t="shared" si="48"/>
        <v>0</v>
      </c>
      <c r="I238" s="2494">
        <f t="shared" si="48"/>
        <v>0</v>
      </c>
      <c r="J238" s="2497">
        <f t="shared" si="48"/>
        <v>0</v>
      </c>
      <c r="K238" s="2498">
        <f t="shared" si="48"/>
        <v>0</v>
      </c>
      <c r="L238" s="2494">
        <f t="shared" si="48"/>
        <v>0</v>
      </c>
      <c r="M238" s="2495">
        <f t="shared" si="48"/>
        <v>0</v>
      </c>
    </row>
    <row r="239" spans="1:13" ht="11.25" customHeight="1">
      <c r="A239" s="1651"/>
      <c r="B239" s="2356"/>
      <c r="C239" s="2366" t="s">
        <v>694</v>
      </c>
      <c r="D239" s="2389"/>
      <c r="E239" s="1665"/>
      <c r="F239" s="1661"/>
      <c r="G239" s="1662"/>
      <c r="H239" s="2478"/>
      <c r="I239" s="1661"/>
      <c r="J239" s="1664"/>
      <c r="K239" s="1665"/>
      <c r="L239" s="1661"/>
      <c r="M239" s="1662"/>
    </row>
    <row r="240" spans="1:13" ht="11.25" customHeight="1">
      <c r="A240" s="1651"/>
      <c r="B240" s="2356"/>
      <c r="C240" s="2366" t="s">
        <v>695</v>
      </c>
      <c r="D240" s="2389"/>
      <c r="E240" s="1665"/>
      <c r="F240" s="1661"/>
      <c r="G240" s="1662"/>
      <c r="H240" s="2478"/>
      <c r="I240" s="1661"/>
      <c r="J240" s="1664"/>
      <c r="K240" s="1665"/>
      <c r="L240" s="1661"/>
      <c r="M240" s="1662"/>
    </row>
    <row r="241" spans="1:13" ht="11.25" customHeight="1">
      <c r="A241" s="1651"/>
      <c r="B241" s="2356"/>
      <c r="C241" s="2366" t="s">
        <v>884</v>
      </c>
      <c r="D241" s="2389"/>
      <c r="E241" s="1665"/>
      <c r="F241" s="1661"/>
      <c r="G241" s="1662"/>
      <c r="H241" s="2478"/>
      <c r="I241" s="1661"/>
      <c r="J241" s="1664"/>
      <c r="K241" s="1665"/>
      <c r="L241" s="1661"/>
      <c r="M241" s="1662"/>
    </row>
    <row r="242" spans="1:13" ht="11.25" customHeight="1">
      <c r="A242" s="1651"/>
      <c r="B242" s="2356"/>
      <c r="C242" s="2366" t="s">
        <v>885</v>
      </c>
      <c r="D242" s="2389"/>
      <c r="E242" s="1665"/>
      <c r="F242" s="1661"/>
      <c r="G242" s="1662"/>
      <c r="H242" s="2478"/>
      <c r="I242" s="1661"/>
      <c r="J242" s="1664"/>
      <c r="K242" s="1665"/>
      <c r="L242" s="1661"/>
      <c r="M242" s="1662"/>
    </row>
    <row r="243" spans="1:13" ht="11.25" customHeight="1">
      <c r="A243" s="1651"/>
      <c r="B243" s="2356"/>
      <c r="C243" s="2366" t="s">
        <v>199</v>
      </c>
      <c r="D243" s="2389"/>
      <c r="E243" s="1665"/>
      <c r="F243" s="1661"/>
      <c r="G243" s="1662"/>
      <c r="H243" s="2478"/>
      <c r="I243" s="1661"/>
      <c r="J243" s="1664"/>
      <c r="K243" s="1665"/>
      <c r="L243" s="1661"/>
      <c r="M243" s="1662"/>
    </row>
    <row r="244" spans="1:13" ht="11.25" customHeight="1">
      <c r="A244" s="1651"/>
      <c r="B244" s="2356"/>
      <c r="C244" s="2368" t="s">
        <v>1294</v>
      </c>
      <c r="D244" s="2389"/>
      <c r="E244" s="2488">
        <f t="shared" ref="E244:M244" si="49">SUM(E239:E243)</f>
        <v>0</v>
      </c>
      <c r="F244" s="2484">
        <f t="shared" si="49"/>
        <v>0</v>
      </c>
      <c r="G244" s="2485">
        <f t="shared" si="49"/>
        <v>0</v>
      </c>
      <c r="H244" s="2486">
        <f t="shared" si="49"/>
        <v>0</v>
      </c>
      <c r="I244" s="2484">
        <f t="shared" si="49"/>
        <v>0</v>
      </c>
      <c r="J244" s="2487">
        <f t="shared" si="49"/>
        <v>0</v>
      </c>
      <c r="K244" s="2488">
        <f t="shared" si="49"/>
        <v>0</v>
      </c>
      <c r="L244" s="2484">
        <f t="shared" si="49"/>
        <v>0</v>
      </c>
      <c r="M244" s="2485">
        <f t="shared" si="49"/>
        <v>0</v>
      </c>
    </row>
    <row r="245" spans="1:13" ht="11.25" customHeight="1">
      <c r="B245" s="2356"/>
      <c r="C245" s="2369" t="s">
        <v>1332</v>
      </c>
      <c r="D245" s="2389"/>
      <c r="E245" s="2493">
        <f>E238+E244</f>
        <v>0</v>
      </c>
      <c r="F245" s="2489">
        <f t="shared" ref="F245:M245" si="50">F238+F244</f>
        <v>0</v>
      </c>
      <c r="G245" s="2490">
        <f t="shared" si="50"/>
        <v>0</v>
      </c>
      <c r="H245" s="2491">
        <f t="shared" si="50"/>
        <v>0</v>
      </c>
      <c r="I245" s="2489">
        <f t="shared" si="50"/>
        <v>0</v>
      </c>
      <c r="J245" s="2492">
        <f t="shared" si="50"/>
        <v>0</v>
      </c>
      <c r="K245" s="2493">
        <f t="shared" si="50"/>
        <v>0</v>
      </c>
      <c r="L245" s="2489">
        <f t="shared" si="50"/>
        <v>0</v>
      </c>
      <c r="M245" s="2490">
        <f t="shared" si="50"/>
        <v>0</v>
      </c>
    </row>
    <row r="246" spans="1:13" ht="5" customHeight="1">
      <c r="A246" s="1586"/>
      <c r="B246" s="2351"/>
      <c r="C246" s="2373"/>
      <c r="D246" s="2391"/>
      <c r="E246" s="2374"/>
      <c r="F246" s="2375"/>
      <c r="G246" s="2376"/>
      <c r="H246" s="2377"/>
      <c r="I246" s="2375"/>
      <c r="J246" s="2378"/>
      <c r="K246" s="2374"/>
      <c r="L246" s="2375"/>
      <c r="M246" s="2376"/>
    </row>
    <row r="247" spans="1:13" ht="11.25" customHeight="1">
      <c r="B247" s="247"/>
    </row>
    <row r="248" spans="1:13" ht="11.25" customHeight="1">
      <c r="A248" s="1158" t="str">
        <f>head27a</f>
        <v>References</v>
      </c>
      <c r="B248" s="2379"/>
      <c r="C248" s="709"/>
      <c r="D248" s="709"/>
      <c r="E248" s="709"/>
      <c r="F248" s="709"/>
      <c r="G248" s="709"/>
      <c r="H248" s="709"/>
      <c r="I248" s="709"/>
      <c r="J248" s="709"/>
      <c r="K248" s="709"/>
      <c r="L248" s="709"/>
      <c r="M248" s="709"/>
    </row>
    <row r="249" spans="1:13" ht="11.25" customHeight="1">
      <c r="A249" s="461" t="s">
        <v>2197</v>
      </c>
      <c r="B249" s="805"/>
      <c r="C249" s="709"/>
      <c r="D249" s="709"/>
      <c r="E249" s="709"/>
      <c r="F249" s="709"/>
      <c r="G249" s="709"/>
      <c r="H249" s="709"/>
      <c r="I249" s="709"/>
      <c r="J249" s="709"/>
      <c r="K249" s="709"/>
      <c r="L249" s="709"/>
      <c r="M249" s="709"/>
    </row>
    <row r="250" spans="1:13" ht="11.25" customHeight="1">
      <c r="A250" s="461" t="s">
        <v>622</v>
      </c>
      <c r="B250" s="805"/>
      <c r="C250" s="709"/>
      <c r="D250" s="709"/>
      <c r="E250" s="709"/>
      <c r="F250" s="709"/>
      <c r="G250" s="709"/>
      <c r="H250" s="709"/>
      <c r="I250" s="709"/>
      <c r="J250" s="709"/>
      <c r="K250" s="709"/>
      <c r="L250" s="709"/>
      <c r="M250" s="709"/>
    </row>
    <row r="251" spans="1:13" ht="11.25" customHeight="1">
      <c r="A251" s="461" t="s">
        <v>623</v>
      </c>
      <c r="B251" s="805"/>
      <c r="C251" s="709"/>
      <c r="D251" s="709"/>
      <c r="E251" s="709"/>
      <c r="F251" s="709"/>
      <c r="G251" s="709"/>
      <c r="H251" s="709"/>
      <c r="I251" s="709"/>
      <c r="J251" s="709"/>
      <c r="K251" s="709"/>
      <c r="L251" s="709"/>
      <c r="M251" s="709"/>
    </row>
    <row r="252" spans="1:13" ht="11.25" customHeight="1">
      <c r="A252" s="461" t="s">
        <v>624</v>
      </c>
      <c r="B252" s="805"/>
      <c r="C252" s="709"/>
      <c r="D252" s="709"/>
      <c r="E252" s="709"/>
      <c r="F252" s="709"/>
      <c r="G252" s="709"/>
      <c r="H252" s="709"/>
      <c r="I252" s="709"/>
      <c r="J252" s="709"/>
      <c r="K252" s="709"/>
      <c r="L252" s="709"/>
      <c r="M252" s="709"/>
    </row>
    <row r="253" spans="1:13" ht="11.25" customHeight="1">
      <c r="A253" s="461" t="s">
        <v>625</v>
      </c>
      <c r="B253" s="805"/>
      <c r="C253" s="709"/>
      <c r="D253" s="709"/>
      <c r="E253" s="709"/>
      <c r="F253" s="709"/>
      <c r="G253" s="709"/>
      <c r="H253" s="709"/>
      <c r="I253" s="709"/>
      <c r="J253" s="709"/>
      <c r="K253" s="709"/>
      <c r="L253" s="709"/>
      <c r="M253" s="709"/>
    </row>
    <row r="254" spans="1:13" ht="11.25" customHeight="1">
      <c r="A254" s="1416" t="s">
        <v>1603</v>
      </c>
      <c r="B254" s="2379"/>
    </row>
    <row r="255" spans="1:13" ht="11.25" customHeight="1">
      <c r="A255" s="1416" t="s">
        <v>1604</v>
      </c>
      <c r="B255" s="2379"/>
      <c r="G255" s="309"/>
      <c r="H255" s="309"/>
      <c r="I255" s="309"/>
      <c r="J255" s="309"/>
      <c r="K255" s="309"/>
      <c r="L255" s="309"/>
      <c r="M255" s="309"/>
    </row>
    <row r="256" spans="1:13" ht="11.25" customHeight="1">
      <c r="A256" s="1159" t="s">
        <v>2095</v>
      </c>
      <c r="B256" s="247"/>
      <c r="G256" s="309"/>
      <c r="H256" s="309"/>
      <c r="I256" s="309"/>
      <c r="J256" s="309"/>
      <c r="K256" s="309"/>
      <c r="L256" s="309"/>
      <c r="M256" s="309"/>
    </row>
    <row r="257" spans="1:13" ht="11.25" customHeight="1">
      <c r="A257" s="1159" t="s">
        <v>2096</v>
      </c>
      <c r="B257" s="247"/>
      <c r="G257" s="309"/>
      <c r="H257" s="309"/>
      <c r="I257" s="309"/>
      <c r="J257" s="309"/>
      <c r="K257" s="309"/>
      <c r="L257" s="309"/>
      <c r="M257" s="309"/>
    </row>
    <row r="258" spans="1:13" ht="11.25" customHeight="1">
      <c r="A258" s="1159" t="s">
        <v>2097</v>
      </c>
      <c r="B258" s="247"/>
    </row>
    <row r="259" spans="1:13" ht="11.25" customHeight="1">
      <c r="A259" s="1159" t="s">
        <v>2098</v>
      </c>
      <c r="B259" s="805"/>
      <c r="C259" s="461"/>
    </row>
    <row r="260" spans="1:13" ht="11.25" customHeight="1">
      <c r="A260" s="461" t="s">
        <v>2196</v>
      </c>
      <c r="B260" s="805"/>
      <c r="C260" s="461"/>
    </row>
    <row r="261" spans="1:13" ht="11.25" customHeight="1">
      <c r="A261" s="2443" t="s">
        <v>2211</v>
      </c>
      <c r="B261" s="805"/>
      <c r="C261" s="461"/>
    </row>
  </sheetData>
  <sheetProtection sheet="1" objects="1" scenarios="1"/>
  <mergeCells count="19">
    <mergeCell ref="A155:A156"/>
    <mergeCell ref="H155:J155"/>
    <mergeCell ref="K155:M155"/>
    <mergeCell ref="A201:A202"/>
    <mergeCell ref="H201:J201"/>
    <mergeCell ref="K201:M201"/>
    <mergeCell ref="A63:A64"/>
    <mergeCell ref="H63:J63"/>
    <mergeCell ref="K63:M63"/>
    <mergeCell ref="A109:A110"/>
    <mergeCell ref="H109:J109"/>
    <mergeCell ref="K109:M109"/>
    <mergeCell ref="K2:M2"/>
    <mergeCell ref="A2:A3"/>
    <mergeCell ref="B2:B3"/>
    <mergeCell ref="C2:C3"/>
    <mergeCell ref="D2:D3"/>
    <mergeCell ref="E2:E3"/>
    <mergeCell ref="F2:F3"/>
  </mergeCells>
  <phoneticPr fontId="5"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7" right="0" top="0.6" bottom="0.4" header="0.511811023622047" footer="0.39370078740157499"/>
  <headerFooter alignWithMargins="0"/>
  <rowBreaks count="2" manualBreakCount="2">
    <brk id="182" max="12" man="1"/>
    <brk id="246" max="12" man="1"/>
  </rowBreak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tabColor indexed="42"/>
    <pageSetUpPr fitToPage="1"/>
  </sheetPr>
  <dimension ref="A1:R138"/>
  <sheetViews>
    <sheetView showGridLines="0" workbookViewId="0">
      <pane xSplit="3" ySplit="3" topLeftCell="D128" activePane="bottomRight" state="frozen"/>
      <selection pane="topRight"/>
      <selection pane="bottomLeft"/>
      <selection pane="bottomRight" activeCell="I126" sqref="I126"/>
    </sheetView>
  </sheetViews>
  <sheetFormatPr baseColWidth="10" defaultColWidth="8.83203125" defaultRowHeight="10" x14ac:dyDescent="0"/>
  <cols>
    <col min="1" max="1" width="38.6640625" style="149" customWidth="1"/>
    <col min="2" max="2" width="6.6640625" style="247" bestFit="1" customWidth="1"/>
    <col min="3" max="3" width="3" style="247" customWidth="1"/>
    <col min="4" max="5" width="9" style="247" customWidth="1"/>
    <col min="6" max="9" width="9" style="149" customWidth="1"/>
    <col min="10" max="10" width="8.6640625" style="149" customWidth="1"/>
    <col min="11" max="13" width="9" style="149" customWidth="1"/>
    <col min="14" max="14" width="9.5" style="149" customWidth="1"/>
    <col min="15" max="15" width="10.1640625" style="149" bestFit="1" customWidth="1"/>
    <col min="16" max="16" width="9.5" style="149" bestFit="1" customWidth="1"/>
    <col min="17" max="16384" width="8.83203125" style="149"/>
  </cols>
  <sheetData>
    <row r="1" spans="1:15" s="179" customFormat="1" ht="13.5" customHeight="1">
      <c r="A1" s="147" t="str">
        <f>muni &amp;" " &amp; TableA10</f>
        <v>NW373 Rustenburg Supporting Table SA10 Funding measurement</v>
      </c>
      <c r="B1" s="147"/>
      <c r="C1" s="147"/>
      <c r="D1" s="147"/>
      <c r="E1" s="147"/>
      <c r="F1" s="147"/>
      <c r="G1" s="147"/>
      <c r="H1" s="147"/>
      <c r="I1" s="147"/>
      <c r="J1" s="147"/>
      <c r="K1" s="147"/>
      <c r="L1" s="147"/>
      <c r="M1" s="147"/>
    </row>
    <row r="2" spans="1:15" ht="28.5" customHeight="1">
      <c r="A2" s="2800" t="str">
        <f>desc</f>
        <v>Description</v>
      </c>
      <c r="B2" s="2810" t="s">
        <v>434</v>
      </c>
      <c r="C2" s="2812" t="str">
        <f>head27</f>
        <v>Ref</v>
      </c>
      <c r="D2" s="150" t="str">
        <f>head1b</f>
        <v>2009/10</v>
      </c>
      <c r="E2" s="150" t="str">
        <f>head1A</f>
        <v>2010/11</v>
      </c>
      <c r="F2" s="146" t="str">
        <f>Head1</f>
        <v>2011/12</v>
      </c>
      <c r="G2" s="2765" t="str">
        <f>Head2</f>
        <v>Current Year 2012/13</v>
      </c>
      <c r="H2" s="2766"/>
      <c r="I2" s="2766"/>
      <c r="J2" s="2766"/>
      <c r="K2" s="2762" t="str">
        <f>Head3</f>
        <v>2013/14 Medium Term Revenue &amp; Expenditure Framework</v>
      </c>
      <c r="L2" s="2763"/>
      <c r="M2" s="2764"/>
    </row>
    <row r="3" spans="1:15" ht="20">
      <c r="A3" s="2801"/>
      <c r="B3" s="2811"/>
      <c r="C3" s="2813"/>
      <c r="D3" s="390" t="str">
        <f>Head5</f>
        <v>Audited Outcome</v>
      </c>
      <c r="E3" s="390" t="str">
        <f>Head5</f>
        <v>Audited Outcome</v>
      </c>
      <c r="F3" s="391" t="str">
        <f>Head5</f>
        <v>Audited Outcome</v>
      </c>
      <c r="G3" s="299" t="str">
        <f>Head6</f>
        <v>Original Budget</v>
      </c>
      <c r="H3" s="928" t="str">
        <f>Head7</f>
        <v>Adjusted Budget</v>
      </c>
      <c r="I3" s="2471" t="str">
        <f>Head8</f>
        <v>Full Year Forecast</v>
      </c>
      <c r="J3" s="2200" t="str">
        <f>Head5b</f>
        <v>Pre-audit outcome</v>
      </c>
      <c r="K3" s="299" t="str">
        <f>Head9</f>
        <v>Budget Year 2013/14</v>
      </c>
      <c r="L3" s="390" t="str">
        <f>Head10</f>
        <v>Budget Year +1 2014/15</v>
      </c>
      <c r="M3" s="391" t="str">
        <f>Head11</f>
        <v>Budget Year +2 2015/16</v>
      </c>
    </row>
    <row r="4" spans="1:15">
      <c r="A4" s="181" t="s">
        <v>1730</v>
      </c>
      <c r="B4" s="552"/>
      <c r="C4" s="553"/>
      <c r="D4" s="972"/>
      <c r="E4" s="554"/>
      <c r="F4" s="555"/>
      <c r="G4" s="201"/>
      <c r="H4" s="554"/>
      <c r="I4" s="555"/>
      <c r="J4" s="246"/>
      <c r="K4" s="556"/>
      <c r="L4" s="554"/>
      <c r="M4" s="555"/>
    </row>
    <row r="5" spans="1:15">
      <c r="A5" s="190" t="str">
        <f>LEFT('A7-CFlow'!A38,37)&amp;" - R'000"</f>
        <v>Cash/cash equivalents at the year end - R'000</v>
      </c>
      <c r="B5" s="557" t="s">
        <v>1326</v>
      </c>
      <c r="C5" s="293">
        <v>1</v>
      </c>
      <c r="D5" s="207">
        <f>'A7-CFlow'!C38</f>
        <v>488418177</v>
      </c>
      <c r="E5" s="558">
        <f>'A7-CFlow'!D38</f>
        <v>618227393</v>
      </c>
      <c r="F5" s="559">
        <f>'A7-CFlow'!E38</f>
        <v>844904028</v>
      </c>
      <c r="G5" s="251">
        <f>'A7-CFlow'!F38</f>
        <v>756376577</v>
      </c>
      <c r="H5" s="558">
        <f>'A7-CFlow'!G38</f>
        <v>816864746</v>
      </c>
      <c r="I5" s="559">
        <f>'A7-CFlow'!H38</f>
        <v>1116864746</v>
      </c>
      <c r="J5" s="210">
        <f>'A7-CFlow'!I38</f>
        <v>1116864746</v>
      </c>
      <c r="K5" s="211">
        <f>'A7-CFlow'!J38</f>
        <v>1043631203.5800002</v>
      </c>
      <c r="L5" s="558">
        <f>'A7-CFlow'!K38</f>
        <v>817398879.74000025</v>
      </c>
      <c r="M5" s="559">
        <f>'A7-CFlow'!L38</f>
        <v>962170336.10000026</v>
      </c>
    </row>
    <row r="6" spans="1:15">
      <c r="A6" s="190" t="s">
        <v>1399</v>
      </c>
      <c r="B6" s="557" t="s">
        <v>1326</v>
      </c>
      <c r="C6" s="293">
        <v>2</v>
      </c>
      <c r="D6" s="207">
        <f>'A8-ResRecon'!C8-'A8-ResRecon'!C18</f>
        <v>-105406318</v>
      </c>
      <c r="E6" s="558">
        <f>'A8-ResRecon'!D8-'A8-ResRecon'!D18</f>
        <v>-35992606</v>
      </c>
      <c r="F6" s="559">
        <f>'A8-ResRecon'!E8-'A8-ResRecon'!E18</f>
        <v>120770030</v>
      </c>
      <c r="G6" s="251">
        <f>'A8-ResRecon'!F8-'A8-ResRecon'!F18</f>
        <v>493597383.44000006</v>
      </c>
      <c r="H6" s="558">
        <f>'A8-ResRecon'!G8-'A8-ResRecon'!G18</f>
        <v>306187287.44</v>
      </c>
      <c r="I6" s="559">
        <f>'A8-ResRecon'!H8-'A8-ResRecon'!H18</f>
        <v>659376287.44000006</v>
      </c>
      <c r="J6" s="210">
        <f>'A8-ResRecon'!I8-'A8-ResRecon'!I18</f>
        <v>659376287.44000006</v>
      </c>
      <c r="K6" s="211">
        <f>'A8-ResRecon'!J8-'A8-ResRecon'!J18</f>
        <v>460922811.50500023</v>
      </c>
      <c r="L6" s="558">
        <f>'A8-ResRecon'!K8-'A8-ResRecon'!K18</f>
        <v>41858276.642925024</v>
      </c>
      <c r="M6" s="559">
        <f>'A8-ResRecon'!L8-'A8-ResRecon'!L18</f>
        <v>255070997.04504132</v>
      </c>
    </row>
    <row r="7" spans="1:15">
      <c r="A7" s="190" t="s">
        <v>285</v>
      </c>
      <c r="B7" s="557" t="s">
        <v>1326</v>
      </c>
      <c r="C7" s="293">
        <v>3</v>
      </c>
      <c r="D7" s="973">
        <f>IF(ISERROR('SA8'!C35),0,('SA8'!C35))</f>
        <v>4.0373381446484196</v>
      </c>
      <c r="E7" s="561">
        <f>IF(ISERROR('SA8'!D35),0,('SA8'!D35))</f>
        <v>4.3896146002314298</v>
      </c>
      <c r="F7" s="562">
        <f>IF(ISERROR('SA8'!E35),0,('SA8'!E35))</f>
        <v>6.2445866278247202</v>
      </c>
      <c r="G7" s="563">
        <f>IF(ISERROR('SA8'!F35),0,('SA8'!F35))</f>
        <v>3.8938883715589281</v>
      </c>
      <c r="H7" s="561">
        <f>IF(ISERROR('SA8'!G35),0,('SA8'!G35))</f>
        <v>4.2794202825136161</v>
      </c>
      <c r="I7" s="562">
        <f>IF(ISERROR('SA8'!H35),0,('SA8'!H35))</f>
        <v>5.8510710252353313</v>
      </c>
      <c r="J7" s="560">
        <f>IF(ISERROR('SA8'!I35),0,('SA8'!I35))</f>
        <v>5.8510710252353313</v>
      </c>
      <c r="K7" s="564">
        <f>IF(ISERROR('SA8'!J35),0,('SA8'!J35))</f>
        <v>5.9385465904895405</v>
      </c>
      <c r="L7" s="561">
        <f>IF(ISERROR('SA8'!K35),0,('SA8'!K35))</f>
        <v>4.4771208924006407</v>
      </c>
      <c r="M7" s="562">
        <f>IF(ISERROR('SA8'!L35),0,('SA8'!L35))</f>
        <v>4.9486245103576723</v>
      </c>
    </row>
    <row r="8" spans="1:15">
      <c r="A8" s="190" t="s">
        <v>1267</v>
      </c>
      <c r="B8" s="557" t="s">
        <v>1327</v>
      </c>
      <c r="C8" s="293">
        <v>4</v>
      </c>
      <c r="D8" s="207">
        <f>'A4-FinPerf RE'!C42+'SA3'!C60</f>
        <v>66561981.999999732</v>
      </c>
      <c r="E8" s="558">
        <f>'A4-FinPerf RE'!D42+'SA3'!D60</f>
        <v>0</v>
      </c>
      <c r="F8" s="559">
        <f>'A4-FinPerf RE'!E42+'SA3'!E60</f>
        <v>0</v>
      </c>
      <c r="G8" s="251">
        <f>'A4-FinPerf RE'!F42+'SA3'!F60</f>
        <v>78769171</v>
      </c>
      <c r="H8" s="558">
        <f>'A4-FinPerf RE'!G42+'SA3'!G60</f>
        <v>78769171</v>
      </c>
      <c r="I8" s="559">
        <f>'A4-FinPerf RE'!H42+'SA3'!H60</f>
        <v>78769171</v>
      </c>
      <c r="J8" s="210">
        <f>'A4-FinPerf RE'!I42+'SA3'!I60</f>
        <v>78769171</v>
      </c>
      <c r="K8" s="211">
        <f>'A4-FinPerf RE'!J42+'SA3'!J60</f>
        <v>197654186.23000002</v>
      </c>
      <c r="L8" s="558">
        <f>'A4-FinPerf RE'!K42+'SA3'!K60</f>
        <v>186843011.0275</v>
      </c>
      <c r="M8" s="559">
        <f>'A4-FinPerf RE'!L42+'SA3'!L60</f>
        <v>101185161.57887501</v>
      </c>
    </row>
    <row r="9" spans="1:15">
      <c r="A9" s="325" t="s">
        <v>1589</v>
      </c>
      <c r="B9" s="565" t="s">
        <v>1324</v>
      </c>
      <c r="C9" s="294">
        <v>5</v>
      </c>
      <c r="D9" s="622" t="s">
        <v>1447</v>
      </c>
      <c r="E9" s="566">
        <f>IF(ISERROR(E36-E61),0,(E36-E61))</f>
        <v>0.12336462098766293</v>
      </c>
      <c r="F9" s="567">
        <f t="shared" ref="F9:M9" si="0">IF(ISERROR(F36-F61),0,(F36-F61))</f>
        <v>-0.12344256379634816</v>
      </c>
      <c r="G9" s="570">
        <f t="shared" si="0"/>
        <v>0.43269222292512693</v>
      </c>
      <c r="H9" s="569">
        <f t="shared" si="0"/>
        <v>-7.3009895343873088E-2</v>
      </c>
      <c r="I9" s="567">
        <f t="shared" si="0"/>
        <v>-0.06</v>
      </c>
      <c r="J9" s="570">
        <f t="shared" si="0"/>
        <v>-0.06</v>
      </c>
      <c r="K9" s="571">
        <f>IF(ISERROR(K36-K61),0,(K36-K61))</f>
        <v>-0.13808269548697344</v>
      </c>
      <c r="L9" s="569">
        <f t="shared" si="0"/>
        <v>1.2813727747117032E-2</v>
      </c>
      <c r="M9" s="567">
        <f t="shared" si="0"/>
        <v>4.6410647613527811E-2</v>
      </c>
    </row>
    <row r="10" spans="1:15">
      <c r="A10" s="325" t="s">
        <v>102</v>
      </c>
      <c r="B10" s="565" t="s">
        <v>1324</v>
      </c>
      <c r="C10" s="294">
        <v>6</v>
      </c>
      <c r="D10" s="623">
        <f>IF(ISERROR(D53/D54),0,(D53/D54))</f>
        <v>0.88781854765905932</v>
      </c>
      <c r="E10" s="569">
        <f t="shared" ref="E10:M10" si="1">IF(ISERROR(E53/E54),0,(E53/E54))</f>
        <v>0.75869191942610426</v>
      </c>
      <c r="F10" s="567">
        <f t="shared" si="1"/>
        <v>0.92709824563532961</v>
      </c>
      <c r="G10" s="570">
        <f t="shared" si="1"/>
        <v>0.86643634340211328</v>
      </c>
      <c r="H10" s="569">
        <f t="shared" si="1"/>
        <v>0.86360215347858937</v>
      </c>
      <c r="I10" s="567">
        <f t="shared" si="1"/>
        <v>0.86360215347858937</v>
      </c>
      <c r="J10" s="570">
        <f t="shared" si="1"/>
        <v>0.86360215347858937</v>
      </c>
      <c r="K10" s="571">
        <f t="shared" si="1"/>
        <v>0.93644056126626851</v>
      </c>
      <c r="L10" s="569">
        <f t="shared" si="1"/>
        <v>0.95490711895433622</v>
      </c>
      <c r="M10" s="567">
        <f t="shared" si="1"/>
        <v>0.97456583736708058</v>
      </c>
    </row>
    <row r="11" spans="1:15">
      <c r="A11" s="325" t="s">
        <v>174</v>
      </c>
      <c r="B11" s="565" t="s">
        <v>1324</v>
      </c>
      <c r="C11" s="294">
        <v>7</v>
      </c>
      <c r="D11" s="623">
        <f>IF(ISERROR('A4-FinPerf RE'!C27/'SA10'!D43),0,('A4-FinPerf RE'!C27/'SA10'!D43))</f>
        <v>0.17388385572605275</v>
      </c>
      <c r="E11" s="569">
        <f>IF(ISERROR('A4-FinPerf RE'!D27/'SA10'!E43),0,('A4-FinPerf RE'!D27/'SA10'!E43))</f>
        <v>0.15017802800631455</v>
      </c>
      <c r="F11" s="567">
        <f>IF(ISERROR('A4-FinPerf RE'!E27/'SA10'!F43),0,('A4-FinPerf RE'!E27/'SA10'!F43))</f>
        <v>0.17910008594885518</v>
      </c>
      <c r="G11" s="570">
        <f>IF(ISERROR('A4-FinPerf RE'!F27/'SA10'!G43),0,('A4-FinPerf RE'!F27/'SA10'!G43))</f>
        <v>2.8247669170408017E-2</v>
      </c>
      <c r="H11" s="569">
        <f>IF(ISERROR('A4-FinPerf RE'!G27/'SA10'!H43),0,('A4-FinPerf RE'!G27/'SA10'!H43))</f>
        <v>4.6943817978259555E-2</v>
      </c>
      <c r="I11" s="567">
        <f>IF(ISERROR('A4-FinPerf RE'!H27/'SA10'!I43),0,('A4-FinPerf RE'!H27/'SA10'!I43))</f>
        <v>4.6943817978259555E-2</v>
      </c>
      <c r="J11" s="570">
        <f>IF(ISERROR('A4-FinPerf RE'!I27/'SA10'!J43),0,('A4-FinPerf RE'!I27/'SA10'!J43))</f>
        <v>4.6943817978259555E-2</v>
      </c>
      <c r="K11" s="571">
        <f>IF(ISERROR('A4-FinPerf RE'!J27/'SA10'!K43),0,('A4-FinPerf RE'!J27/'SA10'!K43))</f>
        <v>0.10338103644343094</v>
      </c>
      <c r="L11" s="569">
        <f>IF(ISERROR('A4-FinPerf RE'!K27/'SA10'!L43),0,('A4-FinPerf RE'!K27/'SA10'!L43))</f>
        <v>8.5531919708741383E-2</v>
      </c>
      <c r="M11" s="567">
        <f>IF(ISERROR('A4-FinPerf RE'!L27/'SA10'!M43),0,('A4-FinPerf RE'!L27/'SA10'!M43))</f>
        <v>6.181150814362648E-2</v>
      </c>
    </row>
    <row r="12" spans="1:15">
      <c r="A12" s="325" t="s">
        <v>1819</v>
      </c>
      <c r="B12" s="565" t="s">
        <v>1325</v>
      </c>
      <c r="C12" s="294">
        <v>8</v>
      </c>
      <c r="D12" s="623">
        <f>IF(ISERROR(-'A7-CFlow'!C24/'A5-Capex'!C40),0,(-'A7-CFlow'!C24/'A5-Capex'!C40))</f>
        <v>0.98142372820448875</v>
      </c>
      <c r="E12" s="623">
        <f>IF(ISERROR(-'A7-CFlow'!D24/'A5-Capex'!D40),0,(-'A7-CFlow'!D24/'A5-Capex'!D40))</f>
        <v>0.97885299582674745</v>
      </c>
      <c r="F12" s="567">
        <f>IF(ISERROR(-'A7-CFlow'!E24/'A5-Capex'!E40),0,(-'A7-CFlow'!E24/'A5-Capex'!E40))</f>
        <v>0.94481178011803812</v>
      </c>
      <c r="G12" s="1572">
        <f>IF(ISERROR(-'A7-CFlow'!F24/'A5-Capex'!F40),0,(-'A7-CFlow'!F24/'A5-Capex'!F40))</f>
        <v>0.97168386904056625</v>
      </c>
      <c r="H12" s="623">
        <f>IF(ISERROR(-'A7-CFlow'!G24/'A5-Capex'!G40),0,(-'A7-CFlow'!G24/'A5-Capex'!G40))</f>
        <v>0.97345356385771964</v>
      </c>
      <c r="I12" s="567">
        <f>IF(ISERROR(-'A7-CFlow'!H24/'A5-Capex'!H40),0,(-'A7-CFlow'!H24/'A5-Capex'!H40))</f>
        <v>0.97345356385771964</v>
      </c>
      <c r="J12" s="584">
        <f>IF(ISERROR(-'A7-CFlow'!I24/'A5-Capex'!I40),0,(-'A7-CFlow'!I24/'A5-Capex'!I40))</f>
        <v>0.97345356385771964</v>
      </c>
      <c r="K12" s="1572">
        <f>IF(ISERROR(-'A7-CFlow'!J24/'A5-Capex'!J40),0,(-'A7-CFlow'!J24/'A5-Capex'!J40))</f>
        <v>1.0000001370218414</v>
      </c>
      <c r="L12" s="623">
        <f>IF(ISERROR(-'A7-CFlow'!K24/'A5-Capex'!K40),0,(-'A7-CFlow'!K24/'A5-Capex'!K40))</f>
        <v>1.0000004418860109</v>
      </c>
      <c r="M12" s="567">
        <f>IF(ISERROR(-'A7-CFlow'!L24/'A5-Capex'!L40),0,(-'A7-CFlow'!L24/'A5-Capex'!L40))</f>
        <v>1</v>
      </c>
    </row>
    <row r="13" spans="1:15">
      <c r="A13" s="325" t="s">
        <v>13</v>
      </c>
      <c r="B13" s="565" t="s">
        <v>436</v>
      </c>
      <c r="C13" s="294">
        <v>9</v>
      </c>
      <c r="D13" s="623">
        <f>IF(ISERROR('A7-CFlow'!C30/'SA10'!D52),0,('A7-CFlow'!C30/'SA10'!D52))</f>
        <v>0</v>
      </c>
      <c r="E13" s="569">
        <f>IF(ISERROR('A7-CFlow'!D30/'SA10'!E52),0,('A7-CFlow'!D30/'SA10'!E52))</f>
        <v>0</v>
      </c>
      <c r="F13" s="567">
        <f>IF(ISERROR('A7-CFlow'!E30/'SA10'!F52),0,('A7-CFlow'!E30/'SA10'!F52))</f>
        <v>0</v>
      </c>
      <c r="G13" s="570">
        <f>IF(ISERROR('A7-CFlow'!F30/'SA10'!G52),0,('A7-CFlow'!F30/'SA10'!G52))</f>
        <v>0</v>
      </c>
      <c r="H13" s="569">
        <f>IF(ISERROR('A7-CFlow'!G30/'SA10'!H52),0,('A7-CFlow'!G30/'SA10'!H52))</f>
        <v>0</v>
      </c>
      <c r="I13" s="567">
        <f>IF(ISERROR('A7-CFlow'!H30/'SA10'!I52),0,('A7-CFlow'!H30/'SA10'!I52))</f>
        <v>0</v>
      </c>
      <c r="J13" s="570">
        <f>IF(ISERROR('A7-CFlow'!I30/'SA10'!J52),0,('A7-CFlow'!I30/'SA10'!J52))</f>
        <v>0</v>
      </c>
      <c r="K13" s="571">
        <f>IF(ISERROR('A7-CFlow'!J30/'SA10'!K52),0,('A7-CFlow'!J30/'SA10'!K52))</f>
        <v>0.56397440084313</v>
      </c>
      <c r="L13" s="569">
        <f>IF(ISERROR('A7-CFlow'!K30/'SA10'!L52),0,('A7-CFlow'!K30/'SA10'!L52))</f>
        <v>0.46326710175697849</v>
      </c>
      <c r="M13" s="567">
        <f>IF(ISERROR('A7-CFlow'!L30/'SA10'!M52),0,('A7-CFlow'!L30/'SA10'!M52))</f>
        <v>0.16988731837501236</v>
      </c>
    </row>
    <row r="14" spans="1:15" ht="14.25" customHeight="1">
      <c r="A14" s="325" t="s">
        <v>718</v>
      </c>
      <c r="B14" s="565" t="s">
        <v>435</v>
      </c>
      <c r="C14" s="294">
        <v>10</v>
      </c>
      <c r="D14" s="2080"/>
      <c r="E14" s="2081"/>
      <c r="F14" s="2082"/>
      <c r="G14" s="2083"/>
      <c r="H14" s="2081"/>
      <c r="I14" s="2082"/>
      <c r="J14" s="2083"/>
      <c r="K14" s="571">
        <f>IF(ISERROR(K56/K68),0,(K56/K68))</f>
        <v>0</v>
      </c>
      <c r="L14" s="569">
        <f>IF(ISERROR(L56/L68),0,(L56/L68))</f>
        <v>0</v>
      </c>
      <c r="M14" s="567">
        <f>IF(ISERROR(M56/M68),0,(M56/M68))</f>
        <v>0</v>
      </c>
      <c r="N14" s="1533"/>
      <c r="O14" s="1533"/>
    </row>
    <row r="15" spans="1:15">
      <c r="A15" s="325" t="s">
        <v>719</v>
      </c>
      <c r="B15" s="565" t="s">
        <v>435</v>
      </c>
      <c r="C15" s="294">
        <v>11</v>
      </c>
      <c r="D15" s="622" t="s">
        <v>1447</v>
      </c>
      <c r="E15" s="569">
        <f>IF(ISERROR(ROUND((SUM('A6-FinPos'!D8:D10)-SUM('A6-FinPos'!C8:C10))/SUM('A6-FinPos'!C8:C10),3)),0,(ROUND((SUM('A6-FinPos'!D8:D10)-SUM('A6-FinPos'!C8:C10))/SUM('A6-FinPos'!C8:C10),3)))</f>
        <v>-0.51900000000000002</v>
      </c>
      <c r="F15" s="567">
        <f>IF(ISERROR(ROUND((SUM('A6-FinPos'!E8:E10)-SUM('A6-FinPos'!D8:D10))/SUM('A6-FinPos'!D8:D10),3)),0,(ROUND((SUM('A6-FinPos'!E8:E10)-SUM('A6-FinPos'!D8:D10))/SUM('A6-FinPos'!D8:D10),3)))</f>
        <v>3.0489999999999999</v>
      </c>
      <c r="G15" s="570">
        <f>IF(ISERROR(ROUND((SUM('A6-FinPos'!F8:F10)-SUM('A6-FinPos'!E8:E10))/SUM('A6-FinPos'!E8:E10),3)),0,(ROUND((SUM('A6-FinPos'!F8:F10)-SUM('A6-FinPos'!E8:E10))/SUM('A6-FinPos'!E8:E10),3)))</f>
        <v>-0.42399999999999999</v>
      </c>
      <c r="H15" s="569">
        <f>IF(ISERROR(ROUND((SUM('A6-FinPos'!G8:G10)-SUM('A6-FinPos'!F8:F10))/SUM('A6-FinPos'!F8:F10),3)),0,(ROUND((SUM('A6-FinPos'!G8:G10)-SUM('A6-FinPos'!F8:F10))/SUM('A6-FinPos'!F8:F10),3)))</f>
        <v>0.153</v>
      </c>
      <c r="I15" s="567">
        <f>IF(ISERROR(ROUND((SUM('A6-FinPos'!H8:H10)-SUM('A6-FinPos'!G8:G10))/SUM('A6-FinPos'!G8:G10),3)),0,(ROUND((SUM('A6-FinPos'!H8:H10)-SUM('A6-FinPos'!G8:G10))/SUM('A6-FinPos'!G8:G10),3)))</f>
        <v>0.20599999999999999</v>
      </c>
      <c r="J15" s="570">
        <f>IF(ISERROR(ROUND((SUM('A6-FinPos'!I8:I10)-SUM('A6-FinPos'!H8:H10))/SUM('A6-FinPos'!H8:H10),3)),0,(ROUND((SUM('A6-FinPos'!I8:I10)-SUM('A6-FinPos'!H8:H10))/SUM('A6-FinPos'!H8:H10),3)))</f>
        <v>0</v>
      </c>
      <c r="K15" s="571">
        <f>IF(ISERROR(ROUND((SUM('A6-FinPos'!J8:J10)-SUM('A6-FinPos'!G8:G10))/SUM('A6-FinPos'!G8:G10),3)),0,(ROUND((SUM('A6-FinPos'!J8:J10)-SUM('A6-FinPos'!G8:G10))/SUM('A6-FinPos'!G8:G10),3)))</f>
        <v>-2.7E-2</v>
      </c>
      <c r="L15" s="569">
        <f>IF(ISERROR(ROUND((SUM('A6-FinPos'!K8:K10)-SUM('A6-FinPos'!J8:J10))/SUM('A6-FinPos'!J8:J10),3)),0,(ROUND((SUM('A6-FinPos'!K8:K10)-SUM('A6-FinPos'!J8:J10))/SUM('A6-FinPos'!J8:J10),3)))</f>
        <v>0.156</v>
      </c>
      <c r="M15" s="567">
        <f>IF(ISERROR(ROUND((SUM('A6-FinPos'!L8:L10)-SUM('A6-FinPos'!K8:K10))/SUM('A6-FinPos'!K8:K10),3)),0,(ROUND((SUM('A6-FinPos'!L8:L10)-SUM('A6-FinPos'!K8:K10))/SUM('A6-FinPos'!K8:K10),3)))</f>
        <v>0.255</v>
      </c>
    </row>
    <row r="16" spans="1:15">
      <c r="A16" s="190" t="s">
        <v>1445</v>
      </c>
      <c r="B16" s="557" t="s">
        <v>435</v>
      </c>
      <c r="C16" s="293">
        <v>12</v>
      </c>
      <c r="D16" s="622" t="s">
        <v>1447</v>
      </c>
      <c r="E16" s="569">
        <f>IF(ISERROR(ROUND(('A6-FinPos'!D15-'A6-FinPos'!C15)/'A6-FinPos'!C15,3)),0,(ROUND(('A6-FinPos'!D15-'A6-FinPos'!C15)/'A6-FinPos'!C15,3)))</f>
        <v>-0.60199999999999998</v>
      </c>
      <c r="F16" s="567">
        <f>IF(ISERROR(ROUND(('A6-FinPos'!E15-'A6-FinPos'!D15)/'A6-FinPos'!D15,3)),0,(ROUND(('A6-FinPos'!E15-'A6-FinPos'!D15)/'A6-FinPos'!D15,3)))</f>
        <v>-6.0000000000000001E-3</v>
      </c>
      <c r="G16" s="570">
        <f>IF(ISERROR(ROUND(('A6-FinPos'!F15-'A6-FinPos'!E15)/'A6-FinPos'!E15,3)),0,(ROUND(('A6-FinPos'!F15-'A6-FinPos'!E15)/'A6-FinPos'!E15,3)))</f>
        <v>-1</v>
      </c>
      <c r="H16" s="569">
        <f>IF(ISERROR(ROUND(('A6-FinPos'!G15-'A6-FinPos'!F15)/'A6-FinPos'!F15,3)),0,(ROUND(('A6-FinPos'!G15-'A6-FinPos'!F15)/'A6-FinPos'!F15,3)))</f>
        <v>0</v>
      </c>
      <c r="I16" s="567">
        <f>IF(ISERROR(ROUND(('A6-FinPos'!H15-'A6-FinPos'!G15)/'A6-FinPos'!G15,3)),0,(ROUND(('A6-FinPos'!H15-'A6-FinPos'!G15)/'A6-FinPos'!G15,3)))</f>
        <v>0</v>
      </c>
      <c r="J16" s="570">
        <f>IF(ISERROR(ROUND(('A6-FinPos'!I15-'A6-FinPos'!H15)/'A6-FinPos'!H15,3)),0,(ROUND(('A6-FinPos'!I15-'A6-FinPos'!H15)/'A6-FinPos'!H15,3)))</f>
        <v>0</v>
      </c>
      <c r="K16" s="571">
        <f>IF(ISERROR(ROUND(('A6-FinPos'!J15-'A6-FinPos'!G15)/'A6-FinPos'!G15,3)),0,(ROUND(('A6-FinPos'!J15-'A6-FinPos'!G15)/'A6-FinPos'!G15,3)))</f>
        <v>0</v>
      </c>
      <c r="L16" s="569">
        <f>IF(ISERROR(ROUND(('A6-FinPos'!K15-'A6-FinPos'!J15)/'A6-FinPos'!J15,3)),0,(ROUND(('A6-FinPos'!K15-'A6-FinPos'!J15)/'A6-FinPos'!J15,3)))</f>
        <v>-4.2000000000000003E-2</v>
      </c>
      <c r="M16" s="567">
        <f>IF(ISERROR(ROUND(('A6-FinPos'!L15-'A6-FinPos'!K15)/'A6-FinPos'!K15,3)),0,(ROUND(('A6-FinPos'!L15-'A6-FinPos'!K15)/'A6-FinPos'!K15,3)))</f>
        <v>-4.2999999999999997E-2</v>
      </c>
    </row>
    <row r="17" spans="1:13">
      <c r="A17" s="190" t="s">
        <v>101</v>
      </c>
      <c r="B17" s="572" t="s">
        <v>1328</v>
      </c>
      <c r="C17" s="293">
        <v>13</v>
      </c>
      <c r="D17" s="623">
        <f>IF(ISERROR('A9-Asset'!C69/'A6-FinPos'!C19),0,('A9-Asset'!C69/'A6-FinPos'!C19))</f>
        <v>2.3650268956012282E-2</v>
      </c>
      <c r="E17" s="623">
        <f>IF(ISERROR('A9-Asset'!D69/'A6-FinPos'!D19),0,('A9-Asset'!D69/'A6-FinPos'!D19))</f>
        <v>4.7396280409405401E-3</v>
      </c>
      <c r="F17" s="567">
        <f>IF(ISERROR('A9-Asset'!E69/'A6-FinPos'!E19),0,('A9-Asset'!E69/'A6-FinPos'!E19))</f>
        <v>0</v>
      </c>
      <c r="G17" s="1572">
        <f>IF(ISERROR('A9-Asset'!F69/'A6-FinPos'!F19),0,('A9-Asset'!F69/'A6-FinPos'!F19))</f>
        <v>9.8732194031486115E-2</v>
      </c>
      <c r="H17" s="623">
        <f>IF(ISERROR('A9-Asset'!G69/'A6-FinPos'!G19),0,('A9-Asset'!G69/'A6-FinPos'!G19))</f>
        <v>1.0371014738408591E-2</v>
      </c>
      <c r="I17" s="567">
        <f>IF(ISERROR('A9-Asset'!H69/'A6-FinPos'!H19),0,('A9-Asset'!H69/'A6-FinPos'!H19))</f>
        <v>1.0982060580360883E-2</v>
      </c>
      <c r="J17" s="585">
        <f>IF(ISERROR('A9-Asset'!I69/'A6-FinPos'!I19),0,('A9-Asset'!I69/'A6-FinPos'!I19))</f>
        <v>2.530332369076561E-2</v>
      </c>
      <c r="K17" s="1572">
        <f>IF(ISERROR('A9-Asset'!I69/'A6-FinPos'!J19),0,('A9-Asset'!I69/'A6-FinPos'!J19))</f>
        <v>2.0242468009212075E-2</v>
      </c>
      <c r="L17" s="623">
        <f>IF(ISERROR('A9-Asset'!J69/'A6-FinPos'!K19),0,('A9-Asset'!J69/'A6-FinPos'!K19))</f>
        <v>1.9052314319144899E-2</v>
      </c>
      <c r="M17" s="567">
        <f>IF(ISERROR('A9-Asset'!K69/'A6-FinPos'!L19),0,('A9-Asset'!K69/'A6-FinPos'!L19))</f>
        <v>1.9035677419984489E-2</v>
      </c>
    </row>
    <row r="18" spans="1:13">
      <c r="A18" s="190" t="s">
        <v>988</v>
      </c>
      <c r="B18" s="572" t="str">
        <f>B17</f>
        <v>20(1)(vi)</v>
      </c>
      <c r="C18" s="293">
        <v>14</v>
      </c>
      <c r="D18" s="623">
        <f t="shared" ref="D18:L18" si="2">IF(ISERROR(D58/D57),0,(D58/D57))</f>
        <v>0.50232300223199255</v>
      </c>
      <c r="E18" s="569">
        <f t="shared" si="2"/>
        <v>1.4692098450302828</v>
      </c>
      <c r="F18" s="567">
        <f t="shared" si="2"/>
        <v>5.0382268309768739E-3</v>
      </c>
      <c r="G18" s="568">
        <f t="shared" si="2"/>
        <v>0.47074580591307813</v>
      </c>
      <c r="H18" s="569">
        <f t="shared" si="2"/>
        <v>0.48760674298911233</v>
      </c>
      <c r="I18" s="567">
        <f t="shared" si="2"/>
        <v>0.48760674298911233</v>
      </c>
      <c r="J18" s="570">
        <f t="shared" si="2"/>
        <v>0</v>
      </c>
      <c r="K18" s="571">
        <f t="shared" si="2"/>
        <v>0.85812650442702609</v>
      </c>
      <c r="L18" s="569">
        <f t="shared" si="2"/>
        <v>0.52800332400797723</v>
      </c>
      <c r="M18" s="567">
        <f>IF(ISERROR(M58/M57),0,((M58/M57)))</f>
        <v>0.92783621914231962</v>
      </c>
    </row>
    <row r="19" spans="1:13" ht="6" customHeight="1">
      <c r="A19" s="336"/>
      <c r="B19" s="573"/>
      <c r="C19" s="574"/>
      <c r="D19" s="574"/>
      <c r="E19" s="573"/>
      <c r="F19" s="576"/>
      <c r="G19" s="577"/>
      <c r="H19" s="573"/>
      <c r="I19" s="576"/>
      <c r="J19" s="575"/>
      <c r="K19" s="578"/>
      <c r="L19" s="573"/>
      <c r="M19" s="576"/>
    </row>
    <row r="20" spans="1:13">
      <c r="A20" s="974" t="str">
        <f>head27a</f>
        <v>References</v>
      </c>
      <c r="B20" s="579"/>
      <c r="C20" s="579"/>
      <c r="D20" s="579"/>
      <c r="E20" s="579"/>
      <c r="F20" s="579"/>
      <c r="G20" s="579"/>
      <c r="H20" s="579"/>
      <c r="I20" s="579"/>
      <c r="J20" s="579"/>
      <c r="K20" s="579"/>
      <c r="L20" s="579"/>
      <c r="M20" s="579"/>
    </row>
    <row r="21" spans="1:13">
      <c r="A21" s="239" t="s">
        <v>482</v>
      </c>
      <c r="B21" s="580"/>
      <c r="C21" s="580"/>
      <c r="D21" s="580"/>
      <c r="E21" s="580"/>
      <c r="F21" s="580"/>
      <c r="G21" s="580"/>
      <c r="H21" s="580"/>
      <c r="I21" s="580"/>
      <c r="J21" s="580"/>
      <c r="K21" s="580"/>
      <c r="L21" s="580"/>
      <c r="M21" s="580"/>
    </row>
    <row r="22" spans="1:13">
      <c r="A22" s="287" t="s">
        <v>1400</v>
      </c>
      <c r="B22" s="580"/>
      <c r="C22" s="580"/>
      <c r="D22" s="580"/>
      <c r="E22" s="580"/>
      <c r="F22" s="580"/>
      <c r="G22" s="580"/>
      <c r="H22" s="580"/>
      <c r="I22" s="580"/>
      <c r="J22" s="580"/>
      <c r="K22" s="580"/>
      <c r="L22" s="580"/>
      <c r="M22" s="580"/>
    </row>
    <row r="23" spans="1:13">
      <c r="A23" s="287" t="s">
        <v>685</v>
      </c>
      <c r="B23" s="580"/>
      <c r="C23" s="580"/>
      <c r="D23" s="580"/>
      <c r="E23" s="580"/>
      <c r="F23" s="580"/>
      <c r="G23" s="580"/>
      <c r="H23" s="580"/>
      <c r="I23" s="580"/>
      <c r="J23" s="580"/>
      <c r="K23" s="580"/>
      <c r="L23" s="580"/>
      <c r="M23" s="580"/>
    </row>
    <row r="24" spans="1:13">
      <c r="A24" s="287" t="s">
        <v>686</v>
      </c>
      <c r="B24" s="580"/>
      <c r="C24" s="580"/>
      <c r="D24" s="580"/>
      <c r="E24" s="580"/>
      <c r="F24" s="580"/>
      <c r="G24" s="580"/>
      <c r="H24" s="580"/>
      <c r="I24" s="580"/>
      <c r="J24" s="580"/>
      <c r="K24" s="580"/>
      <c r="L24" s="580"/>
      <c r="M24" s="580"/>
    </row>
    <row r="25" spans="1:13">
      <c r="A25" s="287" t="s">
        <v>788</v>
      </c>
      <c r="B25" s="580"/>
      <c r="C25" s="580"/>
      <c r="D25" s="580"/>
      <c r="E25" s="580"/>
      <c r="F25" s="580"/>
      <c r="G25" s="580"/>
      <c r="H25" s="580"/>
      <c r="I25" s="580"/>
      <c r="J25" s="580"/>
      <c r="K25" s="580"/>
      <c r="L25" s="580"/>
      <c r="M25" s="580"/>
    </row>
    <row r="26" spans="1:13">
      <c r="A26" s="287" t="s">
        <v>1053</v>
      </c>
      <c r="B26" s="580"/>
      <c r="C26" s="580"/>
      <c r="D26" s="580"/>
      <c r="E26" s="580"/>
      <c r="F26" s="580"/>
      <c r="G26" s="580"/>
      <c r="H26" s="580"/>
      <c r="I26" s="580"/>
      <c r="J26" s="580"/>
      <c r="K26" s="580"/>
      <c r="L26" s="580"/>
      <c r="M26" s="580"/>
    </row>
    <row r="27" spans="1:13">
      <c r="A27" s="287" t="s">
        <v>674</v>
      </c>
      <c r="B27" s="580"/>
      <c r="C27" s="580"/>
      <c r="D27" s="580"/>
      <c r="E27" s="580"/>
      <c r="F27" s="580"/>
      <c r="G27" s="580"/>
      <c r="H27" s="580"/>
      <c r="I27" s="580"/>
      <c r="J27" s="580"/>
      <c r="K27" s="580"/>
      <c r="L27" s="580"/>
      <c r="M27" s="580"/>
    </row>
    <row r="28" spans="1:13">
      <c r="A28" s="287" t="s">
        <v>1052</v>
      </c>
      <c r="B28" s="580"/>
      <c r="C28" s="580"/>
      <c r="D28" s="580"/>
      <c r="E28" s="580"/>
      <c r="F28" s="580"/>
      <c r="G28" s="580"/>
      <c r="H28" s="580"/>
      <c r="I28" s="580"/>
      <c r="J28" s="580"/>
      <c r="K28" s="580"/>
      <c r="L28" s="580"/>
      <c r="M28" s="580"/>
    </row>
    <row r="29" spans="1:13">
      <c r="A29" s="287" t="s">
        <v>1218</v>
      </c>
      <c r="B29" s="580"/>
      <c r="C29" s="580"/>
      <c r="D29" s="580"/>
      <c r="E29" s="580"/>
      <c r="F29" s="580"/>
      <c r="G29" s="580"/>
      <c r="H29" s="580"/>
      <c r="I29" s="580"/>
      <c r="J29" s="580"/>
      <c r="K29" s="580"/>
      <c r="L29" s="580"/>
      <c r="M29" s="580"/>
    </row>
    <row r="30" spans="1:13">
      <c r="A30" s="287" t="s">
        <v>345</v>
      </c>
      <c r="B30" s="580"/>
      <c r="C30" s="580"/>
      <c r="D30" s="580"/>
      <c r="E30" s="580"/>
      <c r="F30" s="580"/>
      <c r="G30" s="580"/>
      <c r="H30" s="580"/>
      <c r="I30" s="580"/>
      <c r="J30" s="580"/>
      <c r="K30" s="580"/>
      <c r="L30" s="580"/>
      <c r="M30" s="580"/>
    </row>
    <row r="31" spans="1:13">
      <c r="A31" s="287" t="s">
        <v>1799</v>
      </c>
      <c r="B31" s="580"/>
      <c r="C31" s="580"/>
      <c r="D31" s="580"/>
      <c r="E31" s="580"/>
      <c r="F31" s="580"/>
      <c r="G31" s="580"/>
      <c r="H31" s="580"/>
      <c r="I31" s="580"/>
      <c r="J31" s="580"/>
      <c r="K31" s="580"/>
      <c r="L31" s="580"/>
      <c r="M31" s="580"/>
    </row>
    <row r="32" spans="1:13">
      <c r="A32" s="287" t="s">
        <v>122</v>
      </c>
      <c r="B32" s="580"/>
      <c r="C32" s="580"/>
      <c r="D32" s="580"/>
      <c r="E32" s="580"/>
      <c r="F32" s="580"/>
      <c r="G32" s="580"/>
      <c r="H32" s="580"/>
      <c r="I32" s="580"/>
      <c r="J32" s="580"/>
      <c r="K32" s="580"/>
      <c r="L32" s="580"/>
      <c r="M32" s="580"/>
    </row>
    <row r="33" spans="1:18">
      <c r="A33" s="287" t="s">
        <v>675</v>
      </c>
      <c r="B33" s="580"/>
      <c r="C33" s="580"/>
      <c r="D33" s="580"/>
      <c r="E33" s="580"/>
      <c r="F33" s="580"/>
      <c r="G33" s="580"/>
      <c r="H33" s="580"/>
      <c r="I33" s="580"/>
      <c r="J33" s="580"/>
      <c r="K33" s="580"/>
      <c r="L33" s="580"/>
      <c r="M33" s="580"/>
    </row>
    <row r="34" spans="1:18">
      <c r="A34" s="287" t="s">
        <v>676</v>
      </c>
      <c r="B34" s="580"/>
      <c r="C34" s="580"/>
      <c r="D34" s="580"/>
      <c r="E34" s="580"/>
      <c r="F34" s="580"/>
      <c r="G34" s="580"/>
      <c r="H34" s="580"/>
      <c r="I34" s="580"/>
      <c r="J34" s="580"/>
      <c r="K34" s="580"/>
      <c r="L34" s="580"/>
      <c r="M34" s="580"/>
    </row>
    <row r="35" spans="1:18">
      <c r="A35" s="2070" t="s">
        <v>1222</v>
      </c>
      <c r="B35" s="2071"/>
      <c r="C35" s="2071"/>
      <c r="D35" s="2098"/>
      <c r="E35" s="2099"/>
      <c r="F35" s="2100"/>
      <c r="G35" s="401"/>
      <c r="H35" s="399"/>
      <c r="I35" s="399"/>
      <c r="J35" s="2100"/>
      <c r="K35" s="401"/>
      <c r="L35" s="399"/>
      <c r="M35" s="2100"/>
    </row>
    <row r="36" spans="1:18">
      <c r="A36" s="582" t="s">
        <v>910</v>
      </c>
      <c r="B36" s="583" t="s">
        <v>435</v>
      </c>
      <c r="C36" s="583"/>
      <c r="D36" s="2001"/>
      <c r="E36" s="2101">
        <f t="shared" ref="E36:E42" si="3">IF(ISERROR((E44/D44)-1),0,((E44/D44)-1))</f>
        <v>0.18336462098766293</v>
      </c>
      <c r="F36" s="567">
        <f>IF(ISERROR((F44/E44)-1),0,((F44/E44)-1))</f>
        <v>-6.3442563796348161E-2</v>
      </c>
      <c r="G36" s="2103">
        <f>IF(ISERROR((G44/F44)-1),0,((G44/F44)-1))</f>
        <v>0.49269222292512693</v>
      </c>
      <c r="H36" s="2101">
        <f>IF(ISERROR((H44/G44)-1),0,((H44/G44)-1))</f>
        <v>-1.300989534387309E-2</v>
      </c>
      <c r="I36" s="2101">
        <f>IF(ISERROR((I44/H44)-1),0,((I44/H44)-1))</f>
        <v>0</v>
      </c>
      <c r="J36" s="2104">
        <f>IF(ISERROR((J44/I44)-1),0,((J44/I44)-1))</f>
        <v>0</v>
      </c>
      <c r="K36" s="571">
        <f>IF(ISERROR((K44/H44)-1),0,((K44/H44)-1))</f>
        <v>-7.8082695486973441E-2</v>
      </c>
      <c r="L36" s="623">
        <f>IF(ISERROR((L44/K44)-1),0,((L44/K44)-1))</f>
        <v>7.281372774711703E-2</v>
      </c>
      <c r="M36" s="567">
        <f>IF(ISERROR((M44/L44)-1),0,((M44/L44)-1))</f>
        <v>0.10641064761352781</v>
      </c>
      <c r="Q36" s="310"/>
      <c r="R36" s="310"/>
    </row>
    <row r="37" spans="1:18">
      <c r="A37" s="582" t="s">
        <v>911</v>
      </c>
      <c r="B37" s="583" t="s">
        <v>435</v>
      </c>
      <c r="C37" s="583"/>
      <c r="D37" s="2001"/>
      <c r="E37" s="2101">
        <f t="shared" si="3"/>
        <v>0.10837243751367343</v>
      </c>
      <c r="F37" s="567">
        <f t="shared" ref="F37:M42" si="4">IF(ISERROR((F45/E45)-1),0,((F45/E45)-1))</f>
        <v>7.638549639718506E-2</v>
      </c>
      <c r="G37" s="2103">
        <f t="shared" si="4"/>
        <v>7.1653120750426513E-2</v>
      </c>
      <c r="H37" s="2101">
        <f t="shared" si="4"/>
        <v>-7.3554310095342412E-2</v>
      </c>
      <c r="I37" s="2101">
        <f t="shared" si="4"/>
        <v>0</v>
      </c>
      <c r="J37" s="2104">
        <f t="shared" si="4"/>
        <v>0</v>
      </c>
      <c r="K37" s="571">
        <f t="shared" ref="K37:K42" si="5">IF(ISERROR((K45/H45)-1),0,((K45/H45)-1))</f>
        <v>5.7645773318620863E-2</v>
      </c>
      <c r="L37" s="623">
        <f t="shared" si="4"/>
        <v>5.0389626850540381E-2</v>
      </c>
      <c r="M37" s="567">
        <f t="shared" si="4"/>
        <v>4.9515734510995335E-2</v>
      </c>
      <c r="Q37" s="310"/>
      <c r="R37" s="310"/>
    </row>
    <row r="38" spans="1:18">
      <c r="A38" s="582" t="str">
        <f>"% incr "&amp;'A4-FinPerf RE'!A7</f>
        <v>% incr Service charges - electricity revenue</v>
      </c>
      <c r="B38" s="583" t="s">
        <v>435</v>
      </c>
      <c r="C38" s="583"/>
      <c r="D38" s="2001"/>
      <c r="E38" s="2101">
        <f t="shared" si="3"/>
        <v>0.1908493001034921</v>
      </c>
      <c r="F38" s="567">
        <f t="shared" si="4"/>
        <v>-0.1639168986788907</v>
      </c>
      <c r="G38" s="2103">
        <f t="shared" si="4"/>
        <v>0.7118539333349061</v>
      </c>
      <c r="H38" s="2101">
        <f t="shared" si="4"/>
        <v>-1.8980645524339979E-2</v>
      </c>
      <c r="I38" s="2101">
        <f t="shared" si="4"/>
        <v>0</v>
      </c>
      <c r="J38" s="2104">
        <f t="shared" si="4"/>
        <v>0</v>
      </c>
      <c r="K38" s="571">
        <f t="shared" si="5"/>
        <v>-0.15154887898954617</v>
      </c>
      <c r="L38" s="623">
        <f t="shared" si="4"/>
        <v>7.9866313136172984E-2</v>
      </c>
      <c r="M38" s="567">
        <f>IF(ISERROR((M46/L46)-1),0,((M46/L46)-1))</f>
        <v>9.425203493405454E-2</v>
      </c>
      <c r="Q38" s="310"/>
      <c r="R38" s="310"/>
    </row>
    <row r="39" spans="1:18">
      <c r="A39" s="582" t="str">
        <f>"% incr "&amp;'A4-FinPerf RE'!A8</f>
        <v>% incr Service charges - water revenue</v>
      </c>
      <c r="B39" s="583" t="s">
        <v>435</v>
      </c>
      <c r="C39" s="583"/>
      <c r="D39" s="2001"/>
      <c r="E39" s="2101">
        <f t="shared" si="3"/>
        <v>0.42049425045507549</v>
      </c>
      <c r="F39" s="567">
        <f t="shared" si="4"/>
        <v>0.13668899380590416</v>
      </c>
      <c r="G39" s="2103">
        <f t="shared" si="4"/>
        <v>2.1392454524586046E-2</v>
      </c>
      <c r="H39" s="2101">
        <f t="shared" si="4"/>
        <v>6.9602279887828189E-2</v>
      </c>
      <c r="I39" s="2101">
        <f t="shared" si="4"/>
        <v>0</v>
      </c>
      <c r="J39" s="2104">
        <f t="shared" si="4"/>
        <v>0</v>
      </c>
      <c r="K39" s="571">
        <f t="shared" si="5"/>
        <v>-9.7983212320534863E-3</v>
      </c>
      <c r="L39" s="623">
        <f t="shared" si="4"/>
        <v>5.1251381341966828E-2</v>
      </c>
      <c r="M39" s="567">
        <f t="shared" si="4"/>
        <v>0.10646593146640915</v>
      </c>
      <c r="Q39" s="310"/>
      <c r="R39" s="310"/>
    </row>
    <row r="40" spans="1:18">
      <c r="A40" s="582" t="str">
        <f>"% incr "&amp;'A4-FinPerf RE'!A9</f>
        <v>% incr Service charges - sanitation revenue</v>
      </c>
      <c r="B40" s="583" t="s">
        <v>435</v>
      </c>
      <c r="C40" s="583"/>
      <c r="D40" s="2001"/>
      <c r="E40" s="2101">
        <f t="shared" si="3"/>
        <v>-0.28781332868057175</v>
      </c>
      <c r="F40" s="567">
        <f t="shared" si="4"/>
        <v>0.16179794420990978</v>
      </c>
      <c r="G40" s="2103">
        <f t="shared" si="4"/>
        <v>1.5034846565122986</v>
      </c>
      <c r="H40" s="2101">
        <f t="shared" si="4"/>
        <v>-4.6776447849166347E-2</v>
      </c>
      <c r="I40" s="2101">
        <f t="shared" si="4"/>
        <v>0</v>
      </c>
      <c r="J40" s="2104">
        <f t="shared" si="4"/>
        <v>0</v>
      </c>
      <c r="K40" s="571">
        <f t="shared" si="5"/>
        <v>0.24178239164633331</v>
      </c>
      <c r="L40" s="623">
        <f t="shared" si="4"/>
        <v>7.5226876546672594E-2</v>
      </c>
      <c r="M40" s="567">
        <f t="shared" si="4"/>
        <v>0.23219039300191757</v>
      </c>
      <c r="Q40" s="310"/>
      <c r="R40" s="310"/>
    </row>
    <row r="41" spans="1:18">
      <c r="A41" s="582" t="str">
        <f>"% incr "&amp;'A4-FinPerf RE'!A10</f>
        <v>% incr Service charges - refuse revenue</v>
      </c>
      <c r="B41" s="583" t="s">
        <v>435</v>
      </c>
      <c r="C41" s="583"/>
      <c r="D41" s="2001"/>
      <c r="E41" s="2101">
        <f t="shared" si="3"/>
        <v>0.33674505721489578</v>
      </c>
      <c r="F41" s="567">
        <f t="shared" si="4"/>
        <v>0.11039879162933275</v>
      </c>
      <c r="G41" s="2103">
        <f t="shared" si="4"/>
        <v>3.2596400459830255E-2</v>
      </c>
      <c r="H41" s="2101">
        <f t="shared" si="4"/>
        <v>-4.5594174467973092E-2</v>
      </c>
      <c r="I41" s="2101">
        <f t="shared" si="4"/>
        <v>0</v>
      </c>
      <c r="J41" s="2104">
        <f t="shared" si="4"/>
        <v>0</v>
      </c>
      <c r="K41" s="571">
        <f t="shared" si="5"/>
        <v>2.1668023525500901E-2</v>
      </c>
      <c r="L41" s="623">
        <f t="shared" si="4"/>
        <v>0.10625857263005245</v>
      </c>
      <c r="M41" s="567">
        <f t="shared" si="4"/>
        <v>0.10727653988730035</v>
      </c>
      <c r="Q41" s="310"/>
      <c r="R41" s="310"/>
    </row>
    <row r="42" spans="1:18">
      <c r="A42" s="582" t="str">
        <f>"% incr in "&amp;'A4-FinPerf RE'!A11</f>
        <v>% incr in Service charges - other</v>
      </c>
      <c r="B42" s="583" t="s">
        <v>435</v>
      </c>
      <c r="C42" s="583"/>
      <c r="D42" s="2001"/>
      <c r="E42" s="2101">
        <f t="shared" si="3"/>
        <v>-1</v>
      </c>
      <c r="F42" s="567">
        <f t="shared" si="4"/>
        <v>0</v>
      </c>
      <c r="G42" s="2103">
        <f t="shared" si="4"/>
        <v>0</v>
      </c>
      <c r="H42" s="2101">
        <f t="shared" si="4"/>
        <v>0.83460840506597389</v>
      </c>
      <c r="I42" s="2101">
        <f>IF(ISERROR((I50/H50)-1),0,((I50/H50)-1))</f>
        <v>0</v>
      </c>
      <c r="J42" s="2104">
        <f t="shared" si="4"/>
        <v>0</v>
      </c>
      <c r="K42" s="571">
        <f t="shared" si="5"/>
        <v>0.22284612131651427</v>
      </c>
      <c r="L42" s="623">
        <f>IF(ISERROR((L50/K50)-1),0,((L50/K50)-1))</f>
        <v>5.2999951079044427E-2</v>
      </c>
      <c r="M42" s="567">
        <f t="shared" si="4"/>
        <v>5.3000908346696907E-2</v>
      </c>
      <c r="Q42" s="310"/>
      <c r="R42" s="310"/>
    </row>
    <row r="43" spans="1:18">
      <c r="A43" s="582" t="s">
        <v>779</v>
      </c>
      <c r="B43" s="583" t="s">
        <v>435</v>
      </c>
      <c r="C43" s="583"/>
      <c r="D43" s="1273">
        <f>SUM(D45:D51)</f>
        <v>1338991472.3699999</v>
      </c>
      <c r="E43" s="192">
        <f t="shared" ref="E43:M43" si="6">SUM(E45:E51)</f>
        <v>1586631541</v>
      </c>
      <c r="F43" s="1274">
        <f t="shared" si="6"/>
        <v>1486762095</v>
      </c>
      <c r="G43" s="1273">
        <f t="shared" si="6"/>
        <v>2187148845</v>
      </c>
      <c r="H43" s="192">
        <f t="shared" si="6"/>
        <v>2159502920</v>
      </c>
      <c r="I43" s="192">
        <f t="shared" si="6"/>
        <v>2159502920</v>
      </c>
      <c r="J43" s="1274">
        <f>SUM(J45:J51)</f>
        <v>2159502920</v>
      </c>
      <c r="K43" s="1273">
        <f>SUM(K45:K51)</f>
        <v>1996299748</v>
      </c>
      <c r="L43" s="192">
        <f t="shared" si="6"/>
        <v>2142451457</v>
      </c>
      <c r="M43" s="1274">
        <f t="shared" si="6"/>
        <v>2369339390</v>
      </c>
    </row>
    <row r="44" spans="1:18">
      <c r="A44" s="582" t="s">
        <v>1614</v>
      </c>
      <c r="B44" s="583"/>
      <c r="C44" s="583"/>
      <c r="D44" s="1273">
        <f>SUM(D45:D50)</f>
        <v>1315961344.78</v>
      </c>
      <c r="E44" s="192">
        <f t="shared" ref="E44:M44" si="7">SUM(E45:E50)</f>
        <v>1557262098</v>
      </c>
      <c r="F44" s="1274">
        <f t="shared" si="7"/>
        <v>1458465398</v>
      </c>
      <c r="G44" s="1273">
        <f t="shared" si="7"/>
        <v>2177039957</v>
      </c>
      <c r="H44" s="192">
        <f t="shared" si="7"/>
        <v>2148716895</v>
      </c>
      <c r="I44" s="192">
        <f t="shared" si="7"/>
        <v>2148716895</v>
      </c>
      <c r="J44" s="1274">
        <f>SUM(J45:J50)</f>
        <v>2148716895</v>
      </c>
      <c r="K44" s="1273">
        <f t="shared" si="7"/>
        <v>1980939288</v>
      </c>
      <c r="L44" s="192">
        <f t="shared" si="7"/>
        <v>2125178862</v>
      </c>
      <c r="M44" s="1274">
        <f t="shared" si="7"/>
        <v>2351320521</v>
      </c>
    </row>
    <row r="45" spans="1:18">
      <c r="A45" s="582" t="s">
        <v>542</v>
      </c>
      <c r="B45" s="583"/>
      <c r="C45" s="583"/>
      <c r="D45" s="1273">
        <f>'A4-FinPerf RE'!C5+'A4-FinPerf RE'!C6</f>
        <v>140364737.28</v>
      </c>
      <c r="E45" s="192">
        <f>'A4-FinPerf RE'!D5+'A4-FinPerf RE'!D6</f>
        <v>155576406</v>
      </c>
      <c r="F45" s="1274">
        <f>'A4-FinPerf RE'!E5+'A4-FinPerf RE'!E6</f>
        <v>167460187</v>
      </c>
      <c r="G45" s="1273">
        <f>'A4-FinPerf RE'!F5+'A4-FinPerf RE'!F6</f>
        <v>179459232</v>
      </c>
      <c r="H45" s="192">
        <f>'A4-FinPerf RE'!G5+'A4-FinPerf RE'!G6</f>
        <v>166259232</v>
      </c>
      <c r="I45" s="192">
        <f>'A4-FinPerf RE'!H5+'A4-FinPerf RE'!H6</f>
        <v>166259232</v>
      </c>
      <c r="J45" s="1274">
        <f>'A4-FinPerf RE'!I5+'A4-FinPerf RE'!I6</f>
        <v>166259232</v>
      </c>
      <c r="K45" s="1273">
        <f>'A4-FinPerf RE'!J5+'A4-FinPerf RE'!J6</f>
        <v>175843374</v>
      </c>
      <c r="L45" s="192">
        <f>'A4-FinPerf RE'!K5+'A4-FinPerf RE'!K6</f>
        <v>184704056</v>
      </c>
      <c r="M45" s="1274">
        <f>'A4-FinPerf RE'!L5+'A4-FinPerf RE'!L6</f>
        <v>193849813</v>
      </c>
    </row>
    <row r="46" spans="1:18">
      <c r="A46" s="582" t="s">
        <v>1805</v>
      </c>
      <c r="B46" s="583"/>
      <c r="C46" s="583"/>
      <c r="D46" s="1273">
        <f>'A4-FinPerf RE'!C7</f>
        <v>843631949.83000004</v>
      </c>
      <c r="E46" s="192">
        <f>'A4-FinPerf RE'!D7</f>
        <v>1004638517</v>
      </c>
      <c r="F46" s="1274">
        <f>'A4-FinPerf RE'!E7</f>
        <v>839961287</v>
      </c>
      <c r="G46" s="1273">
        <f>'A4-FinPerf RE'!F7</f>
        <v>1437891033</v>
      </c>
      <c r="H46" s="192">
        <f>'A4-FinPerf RE'!G7</f>
        <v>1410598933</v>
      </c>
      <c r="I46" s="192">
        <f>'A4-FinPerf RE'!H7</f>
        <v>1410598933</v>
      </c>
      <c r="J46" s="1274">
        <f>'A4-FinPerf RE'!I7</f>
        <v>1410598933</v>
      </c>
      <c r="K46" s="1273">
        <f>'A4-FinPerf RE'!J7</f>
        <v>1196824246</v>
      </c>
      <c r="L46" s="192">
        <f>'A4-FinPerf RE'!K7</f>
        <v>1292410186</v>
      </c>
      <c r="M46" s="1274">
        <f>'A4-FinPerf RE'!L7</f>
        <v>1414222476</v>
      </c>
    </row>
    <row r="47" spans="1:18">
      <c r="A47" s="582" t="s">
        <v>1806</v>
      </c>
      <c r="B47" s="583"/>
      <c r="C47" s="583"/>
      <c r="D47" s="1273">
        <f>'A4-FinPerf RE'!C8</f>
        <v>194498772.46000001</v>
      </c>
      <c r="E47" s="192">
        <f>'A4-FinPerf RE'!D8</f>
        <v>276284388</v>
      </c>
      <c r="F47" s="1274">
        <f>'A4-FinPerf RE'!E8</f>
        <v>314049423</v>
      </c>
      <c r="G47" s="1273">
        <f>'A4-FinPerf RE'!F8</f>
        <v>320767711</v>
      </c>
      <c r="H47" s="192">
        <f>'A4-FinPerf RE'!G8</f>
        <v>343093875</v>
      </c>
      <c r="I47" s="192">
        <f>'A4-FinPerf RE'!H8</f>
        <v>343093875</v>
      </c>
      <c r="J47" s="1274">
        <f>'A4-FinPerf RE'!I8</f>
        <v>343093875</v>
      </c>
      <c r="K47" s="1273">
        <f>'A4-FinPerf RE'!J8</f>
        <v>339732131</v>
      </c>
      <c r="L47" s="192">
        <f>'A4-FinPerf RE'!K8</f>
        <v>357143872</v>
      </c>
      <c r="M47" s="1274">
        <f>'A4-FinPerf RE'!L8</f>
        <v>395167527</v>
      </c>
    </row>
    <row r="48" spans="1:18">
      <c r="A48" s="582" t="s">
        <v>935</v>
      </c>
      <c r="B48" s="583"/>
      <c r="C48" s="583"/>
      <c r="D48" s="1273">
        <f>'A4-FinPerf RE'!C9</f>
        <v>79212827.579999998</v>
      </c>
      <c r="E48" s="192">
        <f>'A4-FinPerf RE'!D9</f>
        <v>56414320</v>
      </c>
      <c r="F48" s="1274">
        <f>'A4-FinPerf RE'!E9</f>
        <v>65542041</v>
      </c>
      <c r="G48" s="1273">
        <f>'A4-FinPerf RE'!F9</f>
        <v>164083494</v>
      </c>
      <c r="H48" s="192">
        <f>'A4-FinPerf RE'!G9</f>
        <v>156408251</v>
      </c>
      <c r="I48" s="192">
        <f>'A4-FinPerf RE'!H9</f>
        <v>156408251</v>
      </c>
      <c r="J48" s="1274">
        <f>'A4-FinPerf RE'!I9</f>
        <v>156408251</v>
      </c>
      <c r="K48" s="1273">
        <f>'A4-FinPerf RE'!J9</f>
        <v>194225012</v>
      </c>
      <c r="L48" s="192">
        <f>'A4-FinPerf RE'!K9</f>
        <v>208835953</v>
      </c>
      <c r="M48" s="1274">
        <f>'A4-FinPerf RE'!L9</f>
        <v>257325655</v>
      </c>
    </row>
    <row r="49" spans="1:13">
      <c r="A49" s="582" t="s">
        <v>936</v>
      </c>
      <c r="B49" s="583"/>
      <c r="C49" s="583"/>
      <c r="D49" s="1273">
        <f>'A4-FinPerf RE'!C10</f>
        <v>48138174.630000003</v>
      </c>
      <c r="E49" s="192">
        <f>'A4-FinPerf RE'!D10</f>
        <v>64348467</v>
      </c>
      <c r="F49" s="1274">
        <f>'A4-FinPerf RE'!E10</f>
        <v>71452460</v>
      </c>
      <c r="G49" s="1273">
        <f>'A4-FinPerf RE'!F10</f>
        <v>73781553</v>
      </c>
      <c r="H49" s="192">
        <f>'A4-FinPerf RE'!G10</f>
        <v>70417544</v>
      </c>
      <c r="I49" s="192">
        <f>'A4-FinPerf RE'!H10</f>
        <v>70417544</v>
      </c>
      <c r="J49" s="1274">
        <f>'A4-FinPerf RE'!I10</f>
        <v>70417544</v>
      </c>
      <c r="K49" s="1273">
        <f>'A4-FinPerf RE'!J10</f>
        <v>71943353</v>
      </c>
      <c r="L49" s="192">
        <f>'A4-FinPerf RE'!K10</f>
        <v>79587951</v>
      </c>
      <c r="M49" s="1274">
        <f>'A4-FinPerf RE'!L10</f>
        <v>88125871</v>
      </c>
    </row>
    <row r="50" spans="1:13">
      <c r="A50" s="582" t="s">
        <v>937</v>
      </c>
      <c r="B50" s="583"/>
      <c r="C50" s="583"/>
      <c r="D50" s="1273">
        <f>'A4-FinPerf RE'!C11</f>
        <v>10114883</v>
      </c>
      <c r="E50" s="192">
        <f>'A4-FinPerf RE'!D11</f>
        <v>0</v>
      </c>
      <c r="F50" s="1274">
        <f>'A4-FinPerf RE'!E11</f>
        <v>0</v>
      </c>
      <c r="G50" s="1273">
        <f>'A4-FinPerf RE'!F11</f>
        <v>1056934</v>
      </c>
      <c r="H50" s="192">
        <f>'A4-FinPerf RE'!G11</f>
        <v>1939060</v>
      </c>
      <c r="I50" s="192">
        <f>'A4-FinPerf RE'!H11</f>
        <v>1939060</v>
      </c>
      <c r="J50" s="1274">
        <f>'A4-FinPerf RE'!I11</f>
        <v>1939060</v>
      </c>
      <c r="K50" s="1273">
        <f>'A4-FinPerf RE'!J11</f>
        <v>2371172</v>
      </c>
      <c r="L50" s="192">
        <f>'A4-FinPerf RE'!K11</f>
        <v>2496844</v>
      </c>
      <c r="M50" s="1274">
        <f>'A4-FinPerf RE'!L11</f>
        <v>2629179</v>
      </c>
    </row>
    <row r="51" spans="1:13">
      <c r="A51" s="582" t="str">
        <f>'A4-FinPerf RE'!A12</f>
        <v>Rental of facilities and equipment</v>
      </c>
      <c r="B51" s="583"/>
      <c r="C51" s="583"/>
      <c r="D51" s="1273">
        <f>'A4-FinPerf RE'!C12</f>
        <v>23030127.59</v>
      </c>
      <c r="E51" s="192">
        <f>'A4-FinPerf RE'!D12</f>
        <v>29369443</v>
      </c>
      <c r="F51" s="1274">
        <f>'A4-FinPerf RE'!E12</f>
        <v>28296697</v>
      </c>
      <c r="G51" s="1273">
        <f>'A4-FinPerf RE'!F12</f>
        <v>10108888</v>
      </c>
      <c r="H51" s="192">
        <f>'A4-FinPerf RE'!G12</f>
        <v>10786025</v>
      </c>
      <c r="I51" s="192">
        <f>'A4-FinPerf RE'!H12</f>
        <v>10786025</v>
      </c>
      <c r="J51" s="1274">
        <f>'A4-FinPerf RE'!I12</f>
        <v>10786025</v>
      </c>
      <c r="K51" s="1273">
        <f>'A4-FinPerf RE'!J12</f>
        <v>15360460</v>
      </c>
      <c r="L51" s="192">
        <f>'A4-FinPerf RE'!K12</f>
        <v>17272595</v>
      </c>
      <c r="M51" s="1274">
        <f>'A4-FinPerf RE'!L12</f>
        <v>18018869</v>
      </c>
    </row>
    <row r="52" spans="1:13">
      <c r="A52" s="582" t="s">
        <v>982</v>
      </c>
      <c r="B52" s="583"/>
      <c r="C52" s="583"/>
      <c r="D52" s="1273">
        <f>'A5-Capex'!C40-'A5-Capex'!C70</f>
        <v>91327825</v>
      </c>
      <c r="E52" s="192">
        <f>'A5-Capex'!D40-'A5-Capex'!D70</f>
        <v>77949818</v>
      </c>
      <c r="F52" s="1274">
        <f>'A5-Capex'!E40-'A5-Capex'!E70</f>
        <v>99939893</v>
      </c>
      <c r="G52" s="1273">
        <f>'A5-Capex'!F40-'A5-Capex'!F70</f>
        <v>393408037</v>
      </c>
      <c r="H52" s="192">
        <f>'A5-Capex'!G40-'A5-Capex'!G70</f>
        <v>349889295</v>
      </c>
      <c r="I52" s="192">
        <f>'A5-Capex'!H40-'A5-Capex'!H70</f>
        <v>349889295</v>
      </c>
      <c r="J52" s="1274">
        <f>'A5-Capex'!I40-'A5-Capex'!I70</f>
        <v>349889295</v>
      </c>
      <c r="K52" s="1273">
        <f>'A5-Capex'!J40-'A5-Capex'!J70</f>
        <v>619398681</v>
      </c>
      <c r="L52" s="192">
        <f>'A5-Capex'!K40-'A5-Capex'!K70</f>
        <v>998344148</v>
      </c>
      <c r="M52" s="1274">
        <f>'A5-Capex'!L40-'A5-Capex'!L70</f>
        <v>161872000</v>
      </c>
    </row>
    <row r="53" spans="1:13">
      <c r="A53" s="582" t="s">
        <v>981</v>
      </c>
      <c r="B53" s="583" t="s">
        <v>435</v>
      </c>
      <c r="C53" s="583"/>
      <c r="D53" s="206">
        <f>'A7-CFlow'!C6</f>
        <v>1298091055</v>
      </c>
      <c r="E53" s="203">
        <f>'A7-CFlow'!D6</f>
        <v>1312835402</v>
      </c>
      <c r="F53" s="808">
        <f>'A7-CFlow'!E6</f>
        <v>1535555676</v>
      </c>
      <c r="G53" s="206">
        <f>'A7-CFlow'!F6</f>
        <v>2012998677</v>
      </c>
      <c r="H53" s="203">
        <f>'A7-CFlow'!G6</f>
        <v>2004944898</v>
      </c>
      <c r="I53" s="203">
        <f>'A7-CFlow'!H6</f>
        <v>2004944898</v>
      </c>
      <c r="J53" s="808">
        <f>'A7-CFlow'!I6</f>
        <v>2004944898</v>
      </c>
      <c r="K53" s="206">
        <f>'A7-CFlow'!J6</f>
        <v>2077332052.3800001</v>
      </c>
      <c r="L53" s="203">
        <f>'A7-CFlow'!K6</f>
        <v>2237931030.4000001</v>
      </c>
      <c r="M53" s="1274">
        <f>'A7-CFlow'!L6</f>
        <v>2494284460</v>
      </c>
    </row>
    <row r="54" spans="1:13">
      <c r="A54" s="587" t="s">
        <v>1800</v>
      </c>
      <c r="B54" s="583" t="s">
        <v>435</v>
      </c>
      <c r="C54" s="583"/>
      <c r="D54" s="206">
        <f>SUM('A4-FinPerf RE'!C5:C12)+'A4-FinPerf RE'!C14+SUM('A4-FinPerf RE'!C16:C18)+'A4-FinPerf RE'!C20</f>
        <v>1462113016.7</v>
      </c>
      <c r="E54" s="203">
        <f>SUM('A4-FinPerf RE'!D5:D12)+'A4-FinPerf RE'!D14+SUM('A4-FinPerf RE'!D16:D18)+'A4-FinPerf RE'!D20</f>
        <v>1730393284</v>
      </c>
      <c r="F54" s="808">
        <f>SUM('A4-FinPerf RE'!E5:E12)+'A4-FinPerf RE'!E14+SUM('A4-FinPerf RE'!E16:E18)+'A4-FinPerf RE'!E20</f>
        <v>1656303076</v>
      </c>
      <c r="G54" s="206">
        <f>SUM('A4-FinPerf RE'!F5:F12)+'A4-FinPerf RE'!F14+SUM('A4-FinPerf RE'!F16:F18)+'A4-FinPerf RE'!F20</f>
        <v>2323308218</v>
      </c>
      <c r="H54" s="203">
        <f>SUM('A4-FinPerf RE'!G5:G12)+'A4-FinPerf RE'!G14+SUM('A4-FinPerf RE'!G16:G18)+'A4-FinPerf RE'!G20</f>
        <v>2321607108</v>
      </c>
      <c r="I54" s="203">
        <f>SUM('A4-FinPerf RE'!H5:H12)+'A4-FinPerf RE'!H14+SUM('A4-FinPerf RE'!H16:H18)+'A4-FinPerf RE'!H20</f>
        <v>2321607108</v>
      </c>
      <c r="J54" s="808">
        <f>SUM('A4-FinPerf RE'!I5:I12)+'A4-FinPerf RE'!I14+SUM('A4-FinPerf RE'!I16:I18)+'A4-FinPerf RE'!I20</f>
        <v>2321607108</v>
      </c>
      <c r="K54" s="206">
        <f>SUM('A4-FinPerf RE'!J5:J12)+'A4-FinPerf RE'!J14+SUM('A4-FinPerf RE'!J16:J18)+'A4-FinPerf RE'!J20</f>
        <v>2218327717</v>
      </c>
      <c r="L54" s="203">
        <f>SUM('A4-FinPerf RE'!K5:K12)+'A4-FinPerf RE'!K14+SUM('A4-FinPerf RE'!K16:K18)+'A4-FinPerf RE'!K20</f>
        <v>2343611212</v>
      </c>
      <c r="M54" s="808">
        <f>SUM('A4-FinPerf RE'!L5:L12)+'A4-FinPerf RE'!L14+SUM('A4-FinPerf RE'!L16:L18)+'A4-FinPerf RE'!L20</f>
        <v>2559380151</v>
      </c>
    </row>
    <row r="55" spans="1:13">
      <c r="A55" s="587" t="s">
        <v>670</v>
      </c>
      <c r="B55" s="583"/>
      <c r="C55" s="583"/>
      <c r="D55" s="206">
        <f>D84</f>
        <v>25071294.564821593</v>
      </c>
      <c r="E55" s="203">
        <f>(SUM('A6-FinPos'!D8:D10)+'A6-FinPos'!D15)-(SUM('A6-FinPos'!C8:C10)+'A6-FinPos'!C15)</f>
        <v>-123523899.3499999</v>
      </c>
      <c r="F55" s="808">
        <f>(SUM('A6-FinPos'!E8:E10)+'A6-FinPos'!E15)-(SUM('A6-FinPos'!D8:D10)+'A6-FinPos'!D15)</f>
        <v>338175308.13362789</v>
      </c>
      <c r="G55" s="206">
        <f>(SUM('A6-FinPos'!F8:F10)+'A6-FinPos'!F15)-(SUM('A6-FinPos'!E8:E10)+'A6-FinPos'!E15)</f>
        <v>-192880006.743628</v>
      </c>
      <c r="H55" s="203">
        <f>(SUM('A6-FinPos'!G8:G10)+'A6-FinPos'!G15)-(SUM('A6-FinPos'!E8:E10)+'A6-FinPos'!E15)</f>
        <v>-153286551.74362797</v>
      </c>
      <c r="I55" s="203">
        <f>(SUM('A6-FinPos'!H8:H10)+'A6-FinPos'!H15)-(SUM('A6-FinPos'!E8:E10)+'A6-FinPos'!E15)</f>
        <v>-91696647.871673763</v>
      </c>
      <c r="J55" s="808">
        <f>(SUM('A6-FinPos'!I8:I10)+'A6-FinPos'!I15)-(SUM('A6-FinPos'!E8:E10)+'A6-FinPos'!E15)</f>
        <v>-91696647.871673763</v>
      </c>
      <c r="K55" s="206">
        <f>(SUM('A6-FinPos'!J8:J10)+'A6-FinPos'!J15)-(SUM('A6-FinPos'!F8:F10)+'A6-FinPos'!F15)</f>
        <v>33853297.381954163</v>
      </c>
      <c r="L55" s="203">
        <f>(SUM('A6-FinPos'!K8:K10)+'A6-FinPos'!K15)-(SUM('A6-FinPos'!J8:J10)+'A6-FinPos'!J15)</f>
        <v>45137742.277500093</v>
      </c>
      <c r="M55" s="808">
        <f>(SUM('A6-FinPos'!L8:L10)+'A6-FinPos'!L15)-(SUM('A6-FinPos'!K8:K10)+'A6-FinPos'!K15)</f>
        <v>85378836.091374993</v>
      </c>
    </row>
    <row r="56" spans="1:13">
      <c r="A56" s="587" t="s">
        <v>1221</v>
      </c>
      <c r="B56" s="583" t="s">
        <v>435</v>
      </c>
      <c r="C56" s="583"/>
      <c r="D56" s="206">
        <f>'A4-FinPerf RE'!C19+'A4-FinPerf RE'!C39</f>
        <v>442164247</v>
      </c>
      <c r="E56" s="203">
        <f>'A4-FinPerf RE'!D19+'A4-FinPerf RE'!D39</f>
        <v>444485451</v>
      </c>
      <c r="F56" s="808">
        <f>'A4-FinPerf RE'!E19+'A4-FinPerf RE'!E39</f>
        <v>462845808</v>
      </c>
      <c r="G56" s="206">
        <f>'A4-FinPerf RE'!F19+'A4-FinPerf RE'!F39</f>
        <v>282915139</v>
      </c>
      <c r="H56" s="203">
        <f>'A4-FinPerf RE'!G19+'A4-FinPerf RE'!G39</f>
        <v>301272885</v>
      </c>
      <c r="I56" s="203">
        <f>'A4-FinPerf RE'!H19+'A4-FinPerf RE'!H39</f>
        <v>301272885</v>
      </c>
      <c r="J56" s="808">
        <f>'A4-FinPerf RE'!I19+'A4-FinPerf RE'!I39</f>
        <v>301272885</v>
      </c>
      <c r="K56" s="206">
        <f>'A4-FinPerf RE'!J19+'A4-FinPerf RE'!J39</f>
        <v>341879800</v>
      </c>
      <c r="L56" s="203">
        <f>'A4-FinPerf RE'!K19+'A4-FinPerf RE'!K39</f>
        <v>368423220</v>
      </c>
      <c r="M56" s="808">
        <f>'A4-FinPerf RE'!L19+'A4-FinPerf RE'!L39</f>
        <v>437175249</v>
      </c>
    </row>
    <row r="57" spans="1:13">
      <c r="A57" s="587" t="s">
        <v>1223</v>
      </c>
      <c r="B57" s="588" t="str">
        <f>B17</f>
        <v>20(1)(vi)</v>
      </c>
      <c r="C57" s="583"/>
      <c r="D57" s="206">
        <f>'A5-Capex'!C40</f>
        <v>241991399</v>
      </c>
      <c r="E57" s="203">
        <f>'A5-Capex'!D40</f>
        <v>209010835</v>
      </c>
      <c r="F57" s="808">
        <f>'A5-Capex'!E40</f>
        <v>307647919</v>
      </c>
      <c r="G57" s="206">
        <f>'A5-Capex'!F40</f>
        <v>914672984</v>
      </c>
      <c r="H57" s="203">
        <f>'A5-Capex'!G40</f>
        <v>975648854</v>
      </c>
      <c r="I57" s="203">
        <f>'A5-Capex'!H40</f>
        <v>975648854</v>
      </c>
      <c r="J57" s="808">
        <f>'A5-Capex'!I40</f>
        <v>975648854</v>
      </c>
      <c r="K57" s="206">
        <f>'A5-Capex'!J40</f>
        <v>1313659181</v>
      </c>
      <c r="L57" s="203">
        <f>'A5-Capex'!K40</f>
        <v>1810421648</v>
      </c>
      <c r="M57" s="808">
        <f>'A5-Capex'!L40</f>
        <v>1041880000</v>
      </c>
    </row>
    <row r="58" spans="1:13">
      <c r="A58" s="587" t="s">
        <v>1224</v>
      </c>
      <c r="B58" s="588" t="str">
        <f>B18</f>
        <v>20(1)(vi)</v>
      </c>
      <c r="C58" s="583"/>
      <c r="D58" s="206">
        <f>'A9-Asset'!C20</f>
        <v>121557846.05999999</v>
      </c>
      <c r="E58" s="203">
        <f>'A9-Asset'!D20</f>
        <v>307080776.5</v>
      </c>
      <c r="F58" s="808">
        <f>'A9-Asset'!E20</f>
        <v>1550000</v>
      </c>
      <c r="G58" s="206">
        <f>'A9-Asset'!F20</f>
        <v>430578471</v>
      </c>
      <c r="H58" s="203">
        <f>'A9-Asset'!G20</f>
        <v>475732960</v>
      </c>
      <c r="I58" s="203">
        <f>'A9-Asset'!H20</f>
        <v>475732960</v>
      </c>
      <c r="J58" s="203"/>
      <c r="K58" s="206">
        <f>'A9-Asset'!I20</f>
        <v>1127285761</v>
      </c>
      <c r="L58" s="203">
        <f>'A9-Asset'!J20</f>
        <v>955908648</v>
      </c>
      <c r="M58" s="808">
        <f>'A9-Asset'!K20</f>
        <v>966694000</v>
      </c>
    </row>
    <row r="59" spans="1:13" ht="6" customHeight="1">
      <c r="A59" s="587"/>
      <c r="B59" s="583"/>
      <c r="C59" s="583"/>
      <c r="D59" s="2003"/>
      <c r="E59" s="293"/>
      <c r="F59" s="2102"/>
      <c r="G59" s="404"/>
      <c r="H59" s="403"/>
      <c r="I59" s="403"/>
      <c r="J59" s="2102"/>
      <c r="K59" s="404"/>
      <c r="L59" s="403"/>
      <c r="M59" s="2102"/>
    </row>
    <row r="60" spans="1:13">
      <c r="A60" s="581" t="s">
        <v>9</v>
      </c>
      <c r="B60" s="583"/>
      <c r="C60" s="583"/>
      <c r="D60" s="2003"/>
      <c r="E60" s="293"/>
      <c r="F60" s="2102"/>
      <c r="G60" s="404"/>
      <c r="H60" s="403"/>
      <c r="I60" s="403"/>
      <c r="J60" s="2102"/>
      <c r="K60" s="404"/>
      <c r="L60" s="403"/>
      <c r="M60" s="2102"/>
    </row>
    <row r="61" spans="1:13">
      <c r="A61" s="587" t="s">
        <v>467</v>
      </c>
      <c r="B61" s="583"/>
      <c r="C61" s="583"/>
      <c r="D61" s="2103">
        <v>0.06</v>
      </c>
      <c r="E61" s="2101">
        <v>0.06</v>
      </c>
      <c r="F61" s="2104">
        <v>0.06</v>
      </c>
      <c r="G61" s="2103">
        <v>0.06</v>
      </c>
      <c r="H61" s="2101">
        <v>0.06</v>
      </c>
      <c r="I61" s="2101">
        <v>0.06</v>
      </c>
      <c r="J61" s="2104">
        <v>0.06</v>
      </c>
      <c r="K61" s="2103">
        <v>0.06</v>
      </c>
      <c r="L61" s="2101">
        <v>0.06</v>
      </c>
      <c r="M61" s="2104">
        <v>0.06</v>
      </c>
    </row>
    <row r="62" spans="1:13">
      <c r="A62" s="587" t="s">
        <v>2082</v>
      </c>
      <c r="B62" s="583"/>
      <c r="C62" s="583"/>
      <c r="D62" s="2103">
        <v>4.2999999999999997E-2</v>
      </c>
      <c r="E62" s="2101">
        <v>3.9E-2</v>
      </c>
      <c r="F62" s="2104">
        <v>4.5999999999999999E-2</v>
      </c>
      <c r="G62" s="2103">
        <v>0.05</v>
      </c>
      <c r="H62" s="2101">
        <v>0.05</v>
      </c>
      <c r="I62" s="2101">
        <v>0.05</v>
      </c>
      <c r="J62" s="2104">
        <v>0.05</v>
      </c>
      <c r="K62" s="2103">
        <v>5.3999999999999999E-2</v>
      </c>
      <c r="L62" s="2101">
        <v>5.6000000000000001E-2</v>
      </c>
      <c r="M62" s="2104">
        <v>5.3999999999999999E-2</v>
      </c>
    </row>
    <row r="63" spans="1:13">
      <c r="A63" s="587" t="s">
        <v>1503</v>
      </c>
      <c r="B63" s="583"/>
      <c r="C63" s="583"/>
      <c r="D63" s="2105"/>
      <c r="E63" s="2106"/>
      <c r="F63" s="2107"/>
      <c r="G63" s="2108"/>
      <c r="H63" s="2109"/>
      <c r="I63" s="2109"/>
      <c r="J63" s="2107"/>
      <c r="K63" s="1617"/>
      <c r="L63" s="1615"/>
      <c r="M63" s="1618"/>
    </row>
    <row r="64" spans="1:13">
      <c r="A64" s="587" t="s">
        <v>1504</v>
      </c>
      <c r="B64" s="583"/>
      <c r="C64" s="583"/>
      <c r="D64" s="2105"/>
      <c r="E64" s="2106"/>
      <c r="F64" s="2107"/>
      <c r="G64" s="2108"/>
      <c r="H64" s="2109"/>
      <c r="I64" s="2109"/>
      <c r="J64" s="2107"/>
      <c r="K64" s="1617"/>
      <c r="L64" s="1615"/>
      <c r="M64" s="1618"/>
    </row>
    <row r="65" spans="1:13">
      <c r="A65" s="587" t="s">
        <v>1505</v>
      </c>
      <c r="B65" s="583"/>
      <c r="C65" s="583"/>
      <c r="D65" s="2105"/>
      <c r="E65" s="2106"/>
      <c r="F65" s="2107"/>
      <c r="G65" s="2108"/>
      <c r="H65" s="2109"/>
      <c r="I65" s="2109"/>
      <c r="J65" s="2107"/>
      <c r="K65" s="1617"/>
      <c r="L65" s="1615"/>
      <c r="M65" s="1618"/>
    </row>
    <row r="66" spans="1:13">
      <c r="A66" s="587" t="s">
        <v>1506</v>
      </c>
      <c r="B66" s="583"/>
      <c r="C66" s="583"/>
      <c r="D66" s="2105"/>
      <c r="E66" s="2106"/>
      <c r="F66" s="2107"/>
      <c r="G66" s="2108"/>
      <c r="H66" s="2109"/>
      <c r="I66" s="2109"/>
      <c r="J66" s="2107"/>
      <c r="K66" s="1617"/>
      <c r="L66" s="1615"/>
      <c r="M66" s="1618"/>
    </row>
    <row r="67" spans="1:13">
      <c r="A67" s="587" t="s">
        <v>1220</v>
      </c>
      <c r="B67" s="583"/>
      <c r="C67" s="583"/>
      <c r="D67" s="2105"/>
      <c r="E67" s="2106"/>
      <c r="F67" s="2107"/>
      <c r="G67" s="2108"/>
      <c r="H67" s="2109"/>
      <c r="I67" s="2109"/>
      <c r="J67" s="2107"/>
      <c r="K67" s="1617"/>
      <c r="L67" s="1615"/>
      <c r="M67" s="1618"/>
    </row>
    <row r="68" spans="1:13">
      <c r="A68" s="587" t="s">
        <v>1219</v>
      </c>
      <c r="B68" s="583"/>
      <c r="C68" s="583"/>
      <c r="D68" s="2108"/>
      <c r="E68" s="2109"/>
      <c r="F68" s="2107"/>
      <c r="G68" s="2108"/>
      <c r="H68" s="2109"/>
      <c r="I68" s="2109"/>
      <c r="J68" s="2107"/>
      <c r="K68" s="211">
        <f>SUM(K63:K67)</f>
        <v>0</v>
      </c>
      <c r="L68" s="207">
        <f>SUM(L63:L67)</f>
        <v>0</v>
      </c>
      <c r="M68" s="559">
        <f>SUM(M63:M67)</f>
        <v>0</v>
      </c>
    </row>
    <row r="69" spans="1:13">
      <c r="A69" s="587" t="s">
        <v>10</v>
      </c>
      <c r="B69" s="583"/>
      <c r="C69" s="583"/>
      <c r="D69" s="2001"/>
      <c r="E69" s="1986"/>
      <c r="F69" s="2104"/>
      <c r="G69" s="2103"/>
      <c r="H69" s="2101"/>
      <c r="I69" s="2101"/>
      <c r="J69" s="2104"/>
      <c r="K69" s="2103"/>
      <c r="L69" s="2101"/>
      <c r="M69" s="2104"/>
    </row>
    <row r="70" spans="1:13" ht="11" thickBot="1">
      <c r="A70" s="589"/>
      <c r="B70" s="590"/>
      <c r="C70" s="590"/>
      <c r="D70" s="2110"/>
      <c r="E70" s="2111"/>
      <c r="F70" s="2112"/>
      <c r="G70" s="2113"/>
      <c r="H70" s="2114"/>
      <c r="I70" s="2114"/>
      <c r="J70" s="2112"/>
      <c r="K70" s="2113"/>
      <c r="L70" s="2114"/>
      <c r="M70" s="2112"/>
    </row>
    <row r="71" spans="1:13">
      <c r="A71" s="591" t="s">
        <v>1259</v>
      </c>
      <c r="J71" s="1573"/>
      <c r="K71" s="2115"/>
      <c r="L71" s="2116"/>
      <c r="M71" s="2117"/>
    </row>
    <row r="72" spans="1:13">
      <c r="A72" s="1838" t="s">
        <v>1605</v>
      </c>
      <c r="D72" s="2084"/>
      <c r="E72" s="2084"/>
      <c r="F72" s="2085"/>
      <c r="G72" s="2085"/>
      <c r="H72" s="2085"/>
      <c r="I72" s="2085"/>
      <c r="J72" s="2086"/>
      <c r="K72" s="1617"/>
      <c r="L72" s="1615"/>
      <c r="M72" s="1618"/>
    </row>
    <row r="73" spans="1:13">
      <c r="A73" s="1654"/>
      <c r="D73" s="2084"/>
      <c r="E73" s="2084"/>
      <c r="F73" s="2085"/>
      <c r="G73" s="2085"/>
      <c r="H73" s="2085"/>
      <c r="I73" s="2085"/>
      <c r="J73" s="2086"/>
      <c r="K73" s="1617"/>
      <c r="L73" s="1615"/>
      <c r="M73" s="1618"/>
    </row>
    <row r="74" spans="1:13">
      <c r="A74" s="1654"/>
      <c r="D74" s="2084"/>
      <c r="E74" s="2084"/>
      <c r="F74" s="2085"/>
      <c r="G74" s="2085"/>
      <c r="H74" s="2085"/>
      <c r="I74" s="2085"/>
      <c r="J74" s="2086"/>
      <c r="K74" s="1617"/>
      <c r="L74" s="1615"/>
      <c r="M74" s="1618"/>
    </row>
    <row r="75" spans="1:13">
      <c r="A75" s="1654"/>
      <c r="D75" s="2084"/>
      <c r="E75" s="2084"/>
      <c r="F75" s="2085"/>
      <c r="G75" s="2085"/>
      <c r="H75" s="2085"/>
      <c r="I75" s="2085"/>
      <c r="J75" s="2086"/>
      <c r="K75" s="1617"/>
      <c r="L75" s="1615"/>
      <c r="M75" s="1618"/>
    </row>
    <row r="76" spans="1:13" ht="11" thickBot="1">
      <c r="D76" s="2084"/>
      <c r="E76" s="2084"/>
      <c r="F76" s="2085"/>
      <c r="G76" s="2085"/>
      <c r="H76" s="2085"/>
      <c r="I76" s="2085"/>
      <c r="J76" s="2086"/>
      <c r="K76" s="2118">
        <f>SUM(K72:K75)</f>
        <v>0</v>
      </c>
      <c r="L76" s="2119">
        <f>SUM(L72:L75)</f>
        <v>0</v>
      </c>
      <c r="M76" s="2120">
        <f>SUM(M72:M75)</f>
        <v>0</v>
      </c>
    </row>
    <row r="77" spans="1:13" ht="11" thickTop="1">
      <c r="A77" s="591" t="s">
        <v>284</v>
      </c>
      <c r="J77" s="1573"/>
      <c r="K77" s="206"/>
      <c r="L77" s="203"/>
      <c r="M77" s="808"/>
    </row>
    <row r="78" spans="1:13">
      <c r="A78" s="1838" t="s">
        <v>1606</v>
      </c>
      <c r="D78" s="2084"/>
      <c r="E78" s="2084"/>
      <c r="F78" s="2085"/>
      <c r="G78" s="2085"/>
      <c r="H78" s="2085"/>
      <c r="I78" s="2085"/>
      <c r="J78" s="2086"/>
      <c r="K78" s="1617"/>
      <c r="L78" s="1615"/>
      <c r="M78" s="1618"/>
    </row>
    <row r="79" spans="1:13">
      <c r="A79" s="1654"/>
      <c r="D79" s="2084"/>
      <c r="E79" s="2084"/>
      <c r="F79" s="2085"/>
      <c r="G79" s="2085"/>
      <c r="H79" s="2085"/>
      <c r="I79" s="2085"/>
      <c r="J79" s="2086"/>
      <c r="K79" s="1617"/>
      <c r="L79" s="1615"/>
      <c r="M79" s="1618"/>
    </row>
    <row r="80" spans="1:13">
      <c r="A80" s="1654"/>
      <c r="D80" s="2084"/>
      <c r="E80" s="2084"/>
      <c r="F80" s="2085"/>
      <c r="G80" s="2085"/>
      <c r="H80" s="2085"/>
      <c r="I80" s="2085"/>
      <c r="J80" s="2086"/>
      <c r="K80" s="1617"/>
      <c r="L80" s="1615"/>
      <c r="M80" s="1618"/>
    </row>
    <row r="81" spans="1:14">
      <c r="A81" s="1654"/>
      <c r="D81" s="2084"/>
      <c r="E81" s="2084"/>
      <c r="F81" s="2085"/>
      <c r="G81" s="2085"/>
      <c r="H81" s="2085"/>
      <c r="I81" s="2085"/>
      <c r="J81" s="2086"/>
      <c r="K81" s="1617"/>
      <c r="L81" s="1615"/>
      <c r="M81" s="1618"/>
    </row>
    <row r="82" spans="1:14" ht="11" thickBot="1">
      <c r="A82" s="1586"/>
      <c r="B82" s="337"/>
      <c r="C82" s="337"/>
      <c r="D82" s="2087"/>
      <c r="E82" s="2087"/>
      <c r="F82" s="2088"/>
      <c r="G82" s="2088"/>
      <c r="H82" s="2088"/>
      <c r="I82" s="2088"/>
      <c r="J82" s="2089"/>
      <c r="K82" s="2118">
        <f>SUM(K78:K81)</f>
        <v>0</v>
      </c>
      <c r="L82" s="2119">
        <f>SUM(L78:L81)</f>
        <v>0</v>
      </c>
      <c r="M82" s="2120">
        <f>SUM(M78:M81)</f>
        <v>0</v>
      </c>
    </row>
    <row r="83" spans="1:14" ht="11" thickTop="1">
      <c r="A83" s="591" t="s">
        <v>673</v>
      </c>
      <c r="M83" s="1597"/>
    </row>
    <row r="84" spans="1:14">
      <c r="A84" s="149" t="str">
        <f>A55</f>
        <v>Change in consumer debtors (current and non-current)</v>
      </c>
      <c r="D84" s="592">
        <f>TREND(E84:G84)</f>
        <v>25071294.564821593</v>
      </c>
      <c r="E84" s="592">
        <f>E55</f>
        <v>-123523899.3499999</v>
      </c>
      <c r="F84" s="592">
        <f>F55</f>
        <v>338175308.13362789</v>
      </c>
      <c r="G84" s="362">
        <f>J55</f>
        <v>-91696647.871673763</v>
      </c>
      <c r="H84" s="362">
        <f t="shared" ref="H84:M84" si="8">K55</f>
        <v>33853297.381954163</v>
      </c>
      <c r="I84" s="362">
        <f t="shared" si="8"/>
        <v>45137742.277500093</v>
      </c>
      <c r="J84" s="362">
        <f t="shared" si="8"/>
        <v>85378836.091374993</v>
      </c>
      <c r="K84" s="362">
        <f t="shared" si="8"/>
        <v>0</v>
      </c>
      <c r="L84" s="362">
        <f t="shared" si="8"/>
        <v>0</v>
      </c>
      <c r="M84" s="204">
        <f t="shared" si="8"/>
        <v>0</v>
      </c>
    </row>
    <row r="85" spans="1:14" ht="12" customHeight="1">
      <c r="M85" s="1587"/>
    </row>
    <row r="86" spans="1:14">
      <c r="A86" s="1584" t="s">
        <v>1866</v>
      </c>
      <c r="B86" s="1582"/>
      <c r="C86" s="1583"/>
      <c r="D86" s="2090">
        <f>'A1-Sum'!B10</f>
        <v>1969006785.5400002</v>
      </c>
      <c r="E86" s="2091">
        <f>'A1-Sum'!C10</f>
        <v>2218358433</v>
      </c>
      <c r="F86" s="2092">
        <f>'A1-Sum'!D10</f>
        <v>2175110947</v>
      </c>
      <c r="G86" s="2090">
        <f>'A1-Sum'!E10</f>
        <v>2809066817</v>
      </c>
      <c r="H86" s="2091">
        <f>'A1-Sum'!F10</f>
        <v>2755402453</v>
      </c>
      <c r="I86" s="2091">
        <f>'A1-Sum'!G10</f>
        <v>2755402453</v>
      </c>
      <c r="J86" s="2092">
        <f>'A1-Sum'!H10</f>
        <v>2755402453</v>
      </c>
      <c r="K86" s="2090">
        <f>'A1-Sum'!I10</f>
        <v>2729275535</v>
      </c>
      <c r="L86" s="2091">
        <f>'A1-Sum'!J10</f>
        <v>2834221952</v>
      </c>
      <c r="M86" s="2093">
        <f>'A1-Sum'!K10</f>
        <v>3072107337</v>
      </c>
      <c r="N86" s="246"/>
    </row>
    <row r="87" spans="1:14">
      <c r="A87" s="1574" t="s">
        <v>1867</v>
      </c>
      <c r="B87" s="1581"/>
      <c r="C87" s="583"/>
      <c r="D87" s="1990">
        <f>'A1-Sum'!B18</f>
        <v>1785502017.5</v>
      </c>
      <c r="E87" s="324">
        <f>'A1-Sum'!C18</f>
        <v>2230933761</v>
      </c>
      <c r="F87" s="1993">
        <f>'A1-Sum'!D18</f>
        <v>2199070370</v>
      </c>
      <c r="G87" s="1990">
        <f>'A1-Sum'!E18</f>
        <v>2707791030.244</v>
      </c>
      <c r="H87" s="324">
        <f>'A1-Sum'!F18</f>
        <v>2717214127</v>
      </c>
      <c r="I87" s="324">
        <f>'A1-Sum'!G18</f>
        <v>2717214127</v>
      </c>
      <c r="J87" s="1993">
        <f>'A1-Sum'!H18</f>
        <v>2717214127</v>
      </c>
      <c r="K87" s="1990">
        <f>'A1-Sum'!I18</f>
        <v>2710794199</v>
      </c>
      <c r="L87" s="324">
        <f>'A1-Sum'!J18</f>
        <v>2798548647</v>
      </c>
      <c r="M87" s="1598">
        <f>'A1-Sum'!K18</f>
        <v>2980640678</v>
      </c>
      <c r="N87" s="246"/>
    </row>
    <row r="88" spans="1:14">
      <c r="A88" s="1574" t="s">
        <v>1868</v>
      </c>
      <c r="B88" s="1581"/>
      <c r="C88" s="583"/>
      <c r="D88" s="1990">
        <f>D86-D87</f>
        <v>183504768.0400002</v>
      </c>
      <c r="E88" s="324">
        <f t="shared" ref="E88:M88" si="9">E86-E87</f>
        <v>-12575328</v>
      </c>
      <c r="F88" s="1993">
        <f t="shared" si="9"/>
        <v>-23959423</v>
      </c>
      <c r="G88" s="1990">
        <f t="shared" si="9"/>
        <v>101275786.75600004</v>
      </c>
      <c r="H88" s="324">
        <f t="shared" si="9"/>
        <v>38188326</v>
      </c>
      <c r="I88" s="324">
        <f t="shared" si="9"/>
        <v>38188326</v>
      </c>
      <c r="J88" s="1993">
        <f t="shared" si="9"/>
        <v>38188326</v>
      </c>
      <c r="K88" s="1990">
        <f>K86-K87</f>
        <v>18481336</v>
      </c>
      <c r="L88" s="324">
        <f t="shared" si="9"/>
        <v>35673305</v>
      </c>
      <c r="M88" s="1598">
        <f t="shared" si="9"/>
        <v>91466659</v>
      </c>
      <c r="N88" s="246"/>
    </row>
    <row r="89" spans="1:14">
      <c r="A89" s="1574" t="s">
        <v>1951</v>
      </c>
      <c r="B89" s="1581"/>
      <c r="C89" s="583"/>
      <c r="D89" s="2094"/>
      <c r="E89" s="2095"/>
      <c r="F89" s="2096"/>
      <c r="G89" s="2097"/>
      <c r="H89" s="433"/>
      <c r="I89" s="433"/>
      <c r="J89" s="2096"/>
      <c r="K89" s="2094">
        <f>'A7-CFlow'!J38</f>
        <v>1043631203.5800002</v>
      </c>
      <c r="L89" s="433"/>
      <c r="M89" s="2059"/>
      <c r="N89" s="246"/>
    </row>
    <row r="90" spans="1:14">
      <c r="A90" s="1561" t="s">
        <v>1869</v>
      </c>
      <c r="B90" s="1585"/>
      <c r="C90" s="432"/>
      <c r="D90" s="291"/>
      <c r="E90" s="291"/>
      <c r="F90" s="554"/>
      <c r="G90" s="556"/>
      <c r="H90" s="1595"/>
      <c r="I90" s="1595"/>
      <c r="J90" s="554"/>
      <c r="K90" s="556"/>
      <c r="L90" s="1595"/>
      <c r="M90" s="555"/>
    </row>
    <row r="91" spans="1:14">
      <c r="A91" s="201" t="s">
        <v>1870</v>
      </c>
      <c r="B91" s="1576"/>
      <c r="C91" s="236"/>
      <c r="D91" s="1986"/>
      <c r="E91" s="1986">
        <f>IF(ISERROR(('A1-Sum'!C10-'A1-Sum'!B10)/'A1-Sum'!B10),0,(('A1-Sum'!C10-'A1-Sum'!B10)/'A1-Sum'!B10))</f>
        <v>0.12663828753216566</v>
      </c>
      <c r="F91" s="1999">
        <f>IF(ISERROR(('A1-Sum'!D10-'A1-Sum'!C10)/'A1-Sum'!C10),0,(('A1-Sum'!D10-'A1-Sum'!C10)/'A1-Sum'!C10))</f>
        <v>-1.9495265218035213E-2</v>
      </c>
      <c r="G91" s="2001">
        <f>IF(ISERROR(('A1-Sum'!E10-'A1-Sum'!D10)/'A1-Sum'!D10),0,(('A1-Sum'!E10-'A1-Sum'!D10)/'A1-Sum'!D10))</f>
        <v>0.29145909585641011</v>
      </c>
      <c r="H91" s="1986">
        <f>IF(ISERROR(('A1-Sum'!F10-'A1-Sum'!E10)/'A1-Sum'!E10),0,(('A1-Sum'!F10-'A1-Sum'!E10)/'A1-Sum'!E10))</f>
        <v>-1.9103982744458868E-2</v>
      </c>
      <c r="I91" s="1986">
        <f>IF(ISERROR(('A1-Sum'!G10-'A1-Sum'!F10)/'A1-Sum'!F10),0,(('A1-Sum'!G10-'A1-Sum'!F10)/'A1-Sum'!F10))</f>
        <v>0</v>
      </c>
      <c r="J91" s="1999">
        <f>IF(ISERROR(('A1-Sum'!H10-'A1-Sum'!G10)/'A1-Sum'!G10),0,(('A1-Sum'!H10-'A1-Sum'!G10)/'A1-Sum'!G10))</f>
        <v>0</v>
      </c>
      <c r="K91" s="2001">
        <f>IF(ISERROR(('A1-Sum'!I10-'A1-Sum'!F10)/'A1-Sum'!F10),0,(('A1-Sum'!I10-'A1-Sum'!F10)/'A1-Sum'!F10))</f>
        <v>-9.4820696597528939E-3</v>
      </c>
      <c r="L91" s="1986">
        <f>IF(ISERROR(('A1-Sum'!J10-'A1-Sum'!I10)/'A1-Sum'!I10),0,(('A1-Sum'!J10-'A1-Sum'!I10)/'A1-Sum'!I10))</f>
        <v>3.8452115095810584E-2</v>
      </c>
      <c r="M91" s="1987">
        <f>IF(ISERROR(('A1-Sum'!K10-'A1-Sum'!J10)/'A1-Sum'!J10),0,(('A1-Sum'!K10-'A1-Sum'!J10)/'A1-Sum'!J10))</f>
        <v>8.393322366024776E-2</v>
      </c>
    </row>
    <row r="92" spans="1:14">
      <c r="A92" s="201" t="s">
        <v>1871</v>
      </c>
      <c r="B92" s="1576"/>
      <c r="C92" s="236"/>
      <c r="D92" s="1986"/>
      <c r="E92" s="1986">
        <f>IF(ISERROR(('A4-FinPerf RE'!D5-'A4-FinPerf RE'!C5)/'A4-FinPerf RE'!C5),0,(('A4-FinPerf RE'!D5-'A4-FinPerf RE'!C5)/'A4-FinPerf RE'!C5))</f>
        <v>0.10837243751367351</v>
      </c>
      <c r="F92" s="1999">
        <f>IF(ISERROR(('A4-FinPerf RE'!E5-'A4-FinPerf RE'!D5)/'A4-FinPerf RE'!D5),0,(('A4-FinPerf RE'!E5-'A4-FinPerf RE'!D5)/'A4-FinPerf RE'!D5))</f>
        <v>7.638549639718506E-2</v>
      </c>
      <c r="G92" s="2001">
        <f>IF(ISERROR(('A4-FinPerf RE'!F5-'A4-FinPerf RE'!E5)/'A4-FinPerf RE'!E5),0,(('A4-FinPerf RE'!F5-'A4-FinPerf RE'!E5)/'A4-FinPerf RE'!E5))</f>
        <v>7.1653120750426486E-2</v>
      </c>
      <c r="H92" s="1986">
        <f>IF(ISERROR(('A4-FinPerf RE'!G5-'A4-FinPerf RE'!F5)/'A4-FinPerf RE'!F5),0,(('A4-FinPerf RE'!G5-'A4-FinPerf RE'!F5)/'A4-FinPerf RE'!F5))</f>
        <v>-7.355431009534244E-2</v>
      </c>
      <c r="I92" s="1986">
        <f>IF(ISERROR(('A4-FinPerf RE'!H5-'A4-FinPerf RE'!G5)/'A4-FinPerf RE'!G5),0,(('A4-FinPerf RE'!H5-'A4-FinPerf RE'!G5)/'A4-FinPerf RE'!G5))</f>
        <v>0</v>
      </c>
      <c r="J92" s="1999">
        <f>IF(ISERROR(('A4-FinPerf RE'!I5-'A4-FinPerf RE'!H5)/'A4-FinPerf RE'!H5),0,(('A4-FinPerf RE'!I5-'A4-FinPerf RE'!H5)/'A4-FinPerf RE'!H5))</f>
        <v>0</v>
      </c>
      <c r="K92" s="2001">
        <f>IF(ISERROR(('A4-FinPerf RE'!J5-'A4-FinPerf RE'!G5)/'A4-FinPerf RE'!G5),0,(('A4-FinPerf RE'!J5-'A4-FinPerf RE'!G5)/'A4-FinPerf RE'!G5))</f>
        <v>5.7645773318620884E-2</v>
      </c>
      <c r="L92" s="1986">
        <f>IF(ISERROR(('A4-FinPerf RE'!K5-'A4-FinPerf RE'!J5)/'A4-FinPerf RE'!J5),0,(('A4-FinPerf RE'!K5-'A4-FinPerf RE'!J5)/'A4-FinPerf RE'!J5))</f>
        <v>5.0389626850540298E-2</v>
      </c>
      <c r="M92" s="1987">
        <f>IF(ISERROR(('A4-FinPerf RE'!L5-'A4-FinPerf RE'!K5)/'A4-FinPerf RE'!K5),0,(('A4-FinPerf RE'!L5-'A4-FinPerf RE'!K5)/'A4-FinPerf RE'!K5))</f>
        <v>4.9515734510995252E-2</v>
      </c>
    </row>
    <row r="93" spans="1:14">
      <c r="A93" s="201" t="s">
        <v>1872</v>
      </c>
      <c r="B93" s="1576"/>
      <c r="C93" s="236"/>
      <c r="D93" s="1986"/>
      <c r="E93" s="1986">
        <f>IF(ISERROR(('A4-FinPerf RE'!D7-'A4-FinPerf RE'!C7)/'A4-FinPerf RE'!C7),0,(('A4-FinPerf RE'!D7-'A4-FinPerf RE'!C7)/'A4-FinPerf RE'!C7))</f>
        <v>0.19084930010349221</v>
      </c>
      <c r="F93" s="1999">
        <f>IF(ISERROR(('A4-FinPerf RE'!E7-'A4-FinPerf RE'!D7)/'A4-FinPerf RE'!D7),0,(('A4-FinPerf RE'!E7-'A4-FinPerf RE'!D7)/'A4-FinPerf RE'!D7))</f>
        <v>-0.1639168986788907</v>
      </c>
      <c r="G93" s="2001">
        <f>IF(ISERROR(('A4-FinPerf RE'!F7-'A4-FinPerf RE'!E7)/'A4-FinPerf RE'!E7),0,(('A4-FinPerf RE'!F7-'A4-FinPerf RE'!E7)/'A4-FinPerf RE'!E7))</f>
        <v>0.71185393333490621</v>
      </c>
      <c r="H93" s="1986">
        <f>IF(ISERROR(('A4-FinPerf RE'!G7-'A4-FinPerf RE'!F7)/'A4-FinPerf RE'!F7),0,(('A4-FinPerf RE'!G7-'A4-FinPerf RE'!F7)/'A4-FinPerf RE'!F7))</f>
        <v>-1.8980645524339951E-2</v>
      </c>
      <c r="I93" s="1986">
        <f>IF(ISERROR(('A4-FinPerf RE'!H7-'A4-FinPerf RE'!G7)/'A4-FinPerf RE'!G7),0,(('A4-FinPerf RE'!H7-'A4-FinPerf RE'!G7)/'A4-FinPerf RE'!G7))</f>
        <v>0</v>
      </c>
      <c r="J93" s="1999">
        <f>IF(ISERROR(('A4-FinPerf RE'!I7-'A4-FinPerf RE'!H7)/'A4-FinPerf RE'!H7),0,(('A4-FinPerf RE'!I7-'A4-FinPerf RE'!H7)/'A4-FinPerf RE'!H7))</f>
        <v>0</v>
      </c>
      <c r="K93" s="2001">
        <f>IF(ISERROR(('A4-FinPerf RE'!J7-'A4-FinPerf RE'!G7)/'A4-FinPerf RE'!G7),0,(('A4-FinPerf RE'!J7-'A4-FinPerf RE'!G7)/'A4-FinPerf RE'!G7))</f>
        <v>-0.15154887898954622</v>
      </c>
      <c r="L93" s="1986">
        <f>IF(ISERROR(('A4-FinPerf RE'!K7-'A4-FinPerf RE'!J7)/'A4-FinPerf RE'!J7),0,(('A4-FinPerf RE'!K7-'A4-FinPerf RE'!J7)/'A4-FinPerf RE'!J7))</f>
        <v>7.9866313136172873E-2</v>
      </c>
      <c r="M93" s="1987">
        <f>IF(ISERROR(('A4-FinPerf RE'!L7-'A4-FinPerf RE'!K7)/'A4-FinPerf RE'!K7),0,(('A4-FinPerf RE'!L7-'A4-FinPerf RE'!K7)/'A4-FinPerf RE'!K7))</f>
        <v>9.4252034934054596E-2</v>
      </c>
    </row>
    <row r="94" spans="1:14">
      <c r="A94" s="336" t="s">
        <v>1873</v>
      </c>
      <c r="B94" s="926"/>
      <c r="C94" s="337"/>
      <c r="D94" s="1593"/>
      <c r="E94" s="1593">
        <f>IF(ISERROR((('A1-Sum'!C5+'A1-Sum'!C6)-('A1-Sum'!B5+'A1-Sum'!B6))/('A1-Sum'!B5+'A1-Sum'!B6)),0,((('A1-Sum'!C5+'A1-Sum'!C6)-('A1-Sum'!B5+'A1-Sum'!B6))/('A1-Sum'!B5+'A1-Sum'!B6)))</f>
        <v>0.18336462098766279</v>
      </c>
      <c r="F94" s="1991">
        <f>IF(ISERROR((('A1-Sum'!D5+'A1-Sum'!D6)-('A1-Sum'!C5+'A1-Sum'!C6))/('A1-Sum'!C5+'A1-Sum'!C6)),0,((('A1-Sum'!D5+'A1-Sum'!D6)-('A1-Sum'!C5+'A1-Sum'!C6))/('A1-Sum'!C5+'A1-Sum'!C6)))</f>
        <v>-6.3442563796348175E-2</v>
      </c>
      <c r="G94" s="1996">
        <f>IF(ISERROR((('A1-Sum'!E5+'A1-Sum'!E6)-('A1-Sum'!D5+'A1-Sum'!D6))/('A1-Sum'!D5+'A1-Sum'!D6)),0,((('A1-Sum'!E5+'A1-Sum'!E6)-('A1-Sum'!D5+'A1-Sum'!D6))/('A1-Sum'!D5+'A1-Sum'!D6)))</f>
        <v>0.49269222292512693</v>
      </c>
      <c r="H94" s="1593">
        <f>IF(ISERROR((('A1-Sum'!F5+'A1-Sum'!F6)-('A1-Sum'!E5+'A1-Sum'!E6))/('A1-Sum'!E5+'A1-Sum'!E6)),0,((('A1-Sum'!F5+'A1-Sum'!F6)-('A1-Sum'!E5+'A1-Sum'!E6))/('A1-Sum'!E5+'A1-Sum'!E6)))</f>
        <v>-1.3009895343873102E-2</v>
      </c>
      <c r="I94" s="1593">
        <f>IF(ISERROR((('A1-Sum'!G5+'A1-Sum'!G6)-('A1-Sum'!F5+'A1-Sum'!F6))/('A1-Sum'!F5+'A1-Sum'!F6)),0,((('A1-Sum'!G5+'A1-Sum'!G6)-('A1-Sum'!F5+'A1-Sum'!F6))/('A1-Sum'!F5+'A1-Sum'!F6)))</f>
        <v>0</v>
      </c>
      <c r="J94" s="1991">
        <f>IF(ISERROR((('A1-Sum'!H5+'A1-Sum'!H6)-('A1-Sum'!G5+'A1-Sum'!G6))/('A1-Sum'!G5+'A1-Sum'!G6)),0,((('A1-Sum'!H5+'A1-Sum'!H6)-('A1-Sum'!G5+'A1-Sum'!G6))/('A1-Sum'!G5+'A1-Sum'!G6)))</f>
        <v>0</v>
      </c>
      <c r="K94" s="1996">
        <f>IF(ISERROR((('A1-Sum'!I5+'A1-Sum'!I6)-('A1-Sum'!F5+'A1-Sum'!F6))/('A1-Sum'!F5+'A1-Sum'!F6)),0,((('A1-Sum'!I5+'A1-Sum'!I6)-('A1-Sum'!F5+'A1-Sum'!F6))/('A1-Sum'!F5+'A1-Sum'!F6)))</f>
        <v>-7.80826954869734E-2</v>
      </c>
      <c r="L94" s="1593">
        <f>IF(ISERROR((('A1-Sum'!J5+'A1-Sum'!J6)-('A1-Sum'!I5+'A1-Sum'!I6))/('A1-Sum'!I5+'A1-Sum'!I6)),0,((('A1-Sum'!J5+'A1-Sum'!J6)-('A1-Sum'!I5+'A1-Sum'!I6))/('A1-Sum'!I5+'A1-Sum'!I6)))</f>
        <v>7.2813727747117099E-2</v>
      </c>
      <c r="M94" s="1600">
        <f>IF(ISERROR((('A1-Sum'!K5+'A1-Sum'!K6)-('A1-Sum'!J5+'A1-Sum'!J6))/('A1-Sum'!J5+'A1-Sum'!J6)),0,((('A1-Sum'!K5+'A1-Sum'!K6)-('A1-Sum'!J5+'A1-Sum'!J6))/('A1-Sum'!J5+'A1-Sum'!J6)))</f>
        <v>0.10641064761352778</v>
      </c>
    </row>
    <row r="95" spans="1:14">
      <c r="A95" s="1574" t="s">
        <v>1874</v>
      </c>
      <c r="B95" s="1576"/>
      <c r="D95" s="293"/>
      <c r="E95" s="293"/>
      <c r="F95" s="1992"/>
      <c r="G95" s="1435"/>
      <c r="H95" s="972"/>
      <c r="I95" s="972"/>
      <c r="J95" s="1992"/>
      <c r="K95" s="1435"/>
      <c r="L95" s="972"/>
      <c r="M95" s="1592"/>
    </row>
    <row r="96" spans="1:14">
      <c r="A96" s="201" t="s">
        <v>1875</v>
      </c>
      <c r="B96" s="1576"/>
      <c r="D96" s="1986"/>
      <c r="E96" s="1986">
        <f>IF(ISERROR(('A1-Sum'!C18-'A1-Sum'!B18)/'A1-Sum'!B18),0,(('A1-Sum'!C18-'A1-Sum'!B18)/'A1-Sum'!B18))</f>
        <v>0.24947143107890662</v>
      </c>
      <c r="F96" s="1999">
        <f>IF(ISERROR(('A1-Sum'!D18-'A1-Sum'!C18)/'A1-Sum'!C18),0,(('A1-Sum'!D18-'A1-Sum'!C18)/'A1-Sum'!C18))</f>
        <v>-1.4282535661532803E-2</v>
      </c>
      <c r="G96" s="2001">
        <f>IF(ISERROR(('A1-Sum'!E18-'A1-Sum'!D18)/'A1-Sum'!D18),0,(('A1-Sum'!E18-'A1-Sum'!D18)/'A1-Sum'!D18))</f>
        <v>0.2313344162078815</v>
      </c>
      <c r="H96" s="1986">
        <f>IF(ISERROR(('A1-Sum'!F18-'A1-Sum'!E18)/'A1-Sum'!E18),0,(('A1-Sum'!F18-'A1-Sum'!E18)/'A1-Sum'!E18))</f>
        <v>3.4799940803227061E-3</v>
      </c>
      <c r="I96" s="1986">
        <f>IF(ISERROR(('A1-Sum'!G18-'A1-Sum'!F18)/'A1-Sum'!F18),0,(('A1-Sum'!G18-'A1-Sum'!F18)/'A1-Sum'!F18))</f>
        <v>0</v>
      </c>
      <c r="J96" s="1999">
        <f>IF(ISERROR(('A1-Sum'!H18-'A1-Sum'!G18)/'A1-Sum'!G18),0,(('A1-Sum'!H18-'A1-Sum'!G18)/'A1-Sum'!G18))</f>
        <v>0</v>
      </c>
      <c r="K96" s="2001">
        <f>IF(ISERROR(('A1-Sum'!I18-'A1-Sum'!F18)/'A1-Sum'!F18),0,(('A1-Sum'!I18-'A1-Sum'!F18)/'A1-Sum'!F18))</f>
        <v>-2.3626875542149717E-3</v>
      </c>
      <c r="L96" s="1986">
        <f>IF(ISERROR(('A1-Sum'!J18-'A1-Sum'!I18)/'A1-Sum'!I18),0,(('A1-Sum'!J18-'A1-Sum'!I18)/'A1-Sum'!I18))</f>
        <v>3.2372228047548655E-2</v>
      </c>
      <c r="M96" s="1987">
        <f>IF(ISERROR(('A1-Sum'!K18-'A1-Sum'!J18)/'A1-Sum'!J18),0,(('A1-Sum'!K18-'A1-Sum'!J18)/'A1-Sum'!J18))</f>
        <v>6.5066594856301604E-2</v>
      </c>
    </row>
    <row r="97" spans="1:13">
      <c r="A97" s="201" t="s">
        <v>1876</v>
      </c>
      <c r="B97" s="1576"/>
      <c r="D97" s="1986"/>
      <c r="E97" s="1986">
        <f>IF(ISERROR(('A1-Sum'!C11-'A1-Sum'!B11)/'A1-Sum'!B11),0,(('A1-Sum'!C11-'A1-Sum'!B11)/'A1-Sum'!B11))</f>
        <v>0.82617479570838093</v>
      </c>
      <c r="F97" s="1999">
        <f>IF(ISERROR(('A1-Sum'!D11-'A1-Sum'!C11)/'A1-Sum'!C11),0,(('A1-Sum'!D11-'A1-Sum'!C11)/'A1-Sum'!C11))</f>
        <v>8.4566171412094174E-2</v>
      </c>
      <c r="G97" s="2001">
        <f>IF(ISERROR(('A1-Sum'!E11-'A1-Sum'!D11)/'A1-Sum'!D11),0,(('A1-Sum'!E11-'A1-Sum'!D11)/'A1-Sum'!D11))</f>
        <v>0.15180634549069419</v>
      </c>
      <c r="H97" s="1986">
        <f>IF(ISERROR(('A1-Sum'!F11-'A1-Sum'!E11)/'A1-Sum'!E11),0,(('A1-Sum'!F11-'A1-Sum'!E11)/'A1-Sum'!E11))</f>
        <v>2.2599903027720043E-2</v>
      </c>
      <c r="I97" s="1986">
        <f>IF(ISERROR(('A1-Sum'!G11-'A1-Sum'!F11)/'A1-Sum'!F11),0,(('A1-Sum'!G11-'A1-Sum'!F11)/'A1-Sum'!F11))</f>
        <v>0</v>
      </c>
      <c r="J97" s="1999">
        <f>IF(ISERROR(('A1-Sum'!H11-'A1-Sum'!G11)/'A1-Sum'!G11),0,(('A1-Sum'!H11-'A1-Sum'!G11)/'A1-Sum'!G11))</f>
        <v>0</v>
      </c>
      <c r="K97" s="2001">
        <f>IF(ISERROR(('A1-Sum'!I11-'A1-Sum'!F11)/'A1-Sum'!F11),0,(('A1-Sum'!I11-'A1-Sum'!F11)/'A1-Sum'!F11))</f>
        <v>0.12272485584658722</v>
      </c>
      <c r="L97" s="1986">
        <f>IF(ISERROR(('A1-Sum'!J11-'A1-Sum'!I11)/'A1-Sum'!I11),0,(('A1-Sum'!J11-'A1-Sum'!I11)/'A1-Sum'!I11))</f>
        <v>7.7291406420069944E-2</v>
      </c>
      <c r="M97" s="1987">
        <f>IF(ISERROR(('A1-Sum'!K11-'A1-Sum'!J11)/'A1-Sum'!J11),0,(('A1-Sum'!K11-'A1-Sum'!J11)/'A1-Sum'!J11))</f>
        <v>6.7608289308527081E-2</v>
      </c>
    </row>
    <row r="98" spans="1:13">
      <c r="A98" s="201" t="s">
        <v>1877</v>
      </c>
      <c r="B98" s="1576"/>
      <c r="D98" s="1986"/>
      <c r="E98" s="1986">
        <f>IF(ISERROR(('SA1'!D82-'SA1'!C82)/'SA1'!C82),0,(('SA1'!D82-'SA1'!C82)/'SA1'!C82))</f>
        <v>0.22388884800756192</v>
      </c>
      <c r="F98" s="1999">
        <f>IF(ISERROR(('SA1'!E82-'SA1'!D82)/'SA1'!D82),0,(('SA1'!E82-'SA1'!D82)/'SA1'!D82))</f>
        <v>-0.24147816313953585</v>
      </c>
      <c r="G98" s="2001">
        <f>IF(ISERROR(('SA1'!F82-'SA1'!E82)/'SA1'!E82),0,(('SA1'!F82-'SA1'!E82)/'SA1'!E82))</f>
        <v>0.99997260569072677</v>
      </c>
      <c r="H98" s="1986">
        <f>IF(ISERROR(('SA1'!G82-'SA1'!F82)/'SA1'!F82),0,(('SA1'!G82-'SA1'!F82)/'SA1'!F82))</f>
        <v>-0.12664500093338912</v>
      </c>
      <c r="I98" s="1986">
        <f>IF(ISERROR(('SA1'!H82-'SA1'!G82)/'SA1'!G82),0,(('SA1'!H82-'SA1'!G82)/'SA1'!G82))</f>
        <v>0</v>
      </c>
      <c r="J98" s="1999">
        <f>IF(ISERROR(('SA1'!I82-'SA1'!H82)/'SA1'!H82),0,(('SA1'!I82-'SA1'!H82)/'SA1'!H82))</f>
        <v>0</v>
      </c>
      <c r="K98" s="2001">
        <f>IF(ISERROR(('SA1'!J82-'SA1'!G82)/'SA1'!G82),0,(('SA1'!J82-'SA1'!G82)/'SA1'!G82))</f>
        <v>-0.25179149234992315</v>
      </c>
      <c r="L98" s="1986">
        <f>IF(ISERROR(('SA1'!K82-'SA1'!J82)/'SA1'!J82),0,(('SA1'!K82-'SA1'!J82)/'SA1'!J82))</f>
        <v>7.9999999898028459E-2</v>
      </c>
      <c r="M98" s="1987">
        <f>IF(ISERROR(('SA1'!L82-'SA1'!K82)/'SA1'!K82),0,(('SA1'!L82-'SA1'!K82)/'SA1'!K82))</f>
        <v>8.0000001133017071E-2</v>
      </c>
    </row>
    <row r="99" spans="1:13">
      <c r="A99" s="201" t="s">
        <v>1964</v>
      </c>
      <c r="B99" s="1576"/>
      <c r="D99" s="293"/>
      <c r="E99" s="293"/>
      <c r="F99" s="557">
        <f>IF(ISERROR('A1-Sum'!D11/('SA24'!D36+'SA24'!E36-'SA24'!C5)),0,('A1-Sum'!D11/('SA24'!D36+'SA24'!E36-'SA24'!C5)))</f>
        <v>257114.27479794269</v>
      </c>
      <c r="G99" s="2003">
        <f>IF(ISERROR('A1-Sum'!E11/('SA24'!F36-'SA24'!F5)),0,('A1-Sum'!E11/('SA24'!F36-'SA24'!F5)))</f>
        <v>281462.64402513969</v>
      </c>
      <c r="H99" s="972"/>
      <c r="I99" s="972"/>
      <c r="J99" s="1992"/>
      <c r="K99" s="2003">
        <f>IF(ISERROR('A1-Sum'!I11/('SA24'!I36-'SA24'!I5)),0,('A1-Sum'!I11/('SA24'!I36-'SA24'!I5)))</f>
        <v>300679.79532163742</v>
      </c>
      <c r="L99" s="972"/>
      <c r="M99" s="1592"/>
    </row>
    <row r="100" spans="1:13">
      <c r="A100" s="201" t="s">
        <v>1878</v>
      </c>
      <c r="B100" s="1576"/>
      <c r="D100" s="293"/>
      <c r="E100" s="293"/>
      <c r="F100" s="557">
        <f>IF(ISERROR('A1-Sum'!D12/'SA24'!C5),0,('A1-Sum'!D12/'SA24'!C5))</f>
        <v>324525.48571428569</v>
      </c>
      <c r="G100" s="2003">
        <f>IF(ISERROR('A1-Sum'!E12/'SA24'!F5),0,('A1-Sum'!E12/'SA24'!F5))</f>
        <v>339791.28571428574</v>
      </c>
      <c r="H100" s="972"/>
      <c r="I100" s="972"/>
      <c r="J100" s="1992"/>
      <c r="K100" s="2003">
        <f>IF(ISERROR('A1-Sum'!I12/'SA24'!I5),0,('A1-Sum'!I12/'SA24'!I5))</f>
        <v>373879.01388888888</v>
      </c>
      <c r="L100" s="972"/>
      <c r="M100" s="1592"/>
    </row>
    <row r="101" spans="1:13">
      <c r="A101" s="201" t="s">
        <v>1879</v>
      </c>
      <c r="B101" s="1577"/>
      <c r="D101" s="1986">
        <f>'A9-Asset'!C84</f>
        <v>2.4E-2</v>
      </c>
      <c r="E101" s="1986">
        <f>'A9-Asset'!D84</f>
        <v>5.0000000000000001E-3</v>
      </c>
      <c r="F101" s="1999">
        <f>'A9-Asset'!E84</f>
        <v>0</v>
      </c>
      <c r="G101" s="2001">
        <f>'A9-Asset'!F84</f>
        <v>9.9000000000000005E-2</v>
      </c>
      <c r="H101" s="1986">
        <f>'A9-Asset'!G84</f>
        <v>0.01</v>
      </c>
      <c r="I101" s="1986">
        <f>'A9-Asset'!H84</f>
        <v>1.0999999999999999E-2</v>
      </c>
      <c r="J101" s="1999"/>
      <c r="K101" s="2001">
        <f>'A9-Asset'!I84</f>
        <v>0.02</v>
      </c>
      <c r="L101" s="1986">
        <f>'A9-Asset'!J84</f>
        <v>1.9E-2</v>
      </c>
      <c r="M101" s="1987">
        <f>'A9-Asset'!K84</f>
        <v>1.9E-2</v>
      </c>
    </row>
    <row r="102" spans="1:13">
      <c r="A102" s="201" t="s">
        <v>1880</v>
      </c>
      <c r="B102" s="1577"/>
      <c r="D102" s="1986">
        <f>'A9-Asset'!C85</f>
        <v>0.4</v>
      </c>
      <c r="E102" s="1986">
        <f>'A9-Asset'!D85</f>
        <v>0.46</v>
      </c>
      <c r="F102" s="1999">
        <f>'A9-Asset'!E85</f>
        <v>0</v>
      </c>
      <c r="G102" s="2001">
        <f>'A9-Asset'!F85</f>
        <v>0.63</v>
      </c>
      <c r="H102" s="1986">
        <f>'A9-Asset'!G85</f>
        <v>0.08</v>
      </c>
      <c r="I102" s="1986">
        <f>'A9-Asset'!H85</f>
        <v>0.09</v>
      </c>
      <c r="J102" s="1999"/>
      <c r="K102" s="2001">
        <f>'A9-Asset'!I85</f>
        <v>0.17</v>
      </c>
      <c r="L102" s="1986">
        <f>'A9-Asset'!J85</f>
        <v>0.13</v>
      </c>
      <c r="M102" s="1987">
        <f>'A9-Asset'!K85</f>
        <v>0.13</v>
      </c>
    </row>
    <row r="103" spans="1:13">
      <c r="A103" s="336" t="s">
        <v>1978</v>
      </c>
      <c r="B103" s="1588"/>
      <c r="C103" s="337"/>
      <c r="D103" s="1593">
        <f>'SA10'!D11</f>
        <v>0.17388385572605275</v>
      </c>
      <c r="E103" s="1593">
        <f>'SA10'!E11</f>
        <v>0.15017802800631455</v>
      </c>
      <c r="F103" s="1991">
        <f>'SA10'!F11</f>
        <v>0.17910008594885518</v>
      </c>
      <c r="G103" s="1996">
        <f>'SA10'!G11</f>
        <v>2.8247669170408017E-2</v>
      </c>
      <c r="H103" s="1593">
        <f>'SA10'!H11</f>
        <v>4.6943817978259555E-2</v>
      </c>
      <c r="I103" s="1593">
        <f>'SA10'!I11</f>
        <v>4.6943817978259555E-2</v>
      </c>
      <c r="J103" s="1593">
        <f>'SA10'!J11</f>
        <v>4.6943817978259555E-2</v>
      </c>
      <c r="K103" s="1996">
        <f>'SA10'!K11</f>
        <v>0.10338103644343094</v>
      </c>
      <c r="L103" s="1593">
        <f>'SA10'!L11</f>
        <v>8.5531919708741383E-2</v>
      </c>
      <c r="M103" s="1600">
        <f>'SA10'!M11</f>
        <v>6.181150814362648E-2</v>
      </c>
    </row>
    <row r="104" spans="1:13">
      <c r="A104" s="1574" t="s">
        <v>1881</v>
      </c>
      <c r="B104" s="1576"/>
      <c r="D104" s="293"/>
      <c r="E104" s="293"/>
      <c r="F104" s="1992"/>
      <c r="G104" s="1435"/>
      <c r="H104" s="972"/>
      <c r="I104" s="972"/>
      <c r="J104" s="1992"/>
      <c r="K104" s="1435"/>
      <c r="L104" s="972"/>
      <c r="M104" s="1592"/>
    </row>
    <row r="105" spans="1:13">
      <c r="A105" s="201" t="s">
        <v>1882</v>
      </c>
      <c r="B105" s="586"/>
      <c r="D105" s="1990">
        <f>'A1-Sum'!B29+'A1-Sum'!B31</f>
        <v>91327825</v>
      </c>
      <c r="E105" s="324">
        <f>'A1-Sum'!C29+'A1-Sum'!C31</f>
        <v>77949818</v>
      </c>
      <c r="F105" s="1993">
        <f>'A1-Sum'!D29+'A1-Sum'!D31</f>
        <v>99939893</v>
      </c>
      <c r="G105" s="1990">
        <f>'A1-Sum'!E29+'A1-Sum'!E31</f>
        <v>393408037</v>
      </c>
      <c r="H105" s="324">
        <f>'A1-Sum'!F29+'A1-Sum'!F31</f>
        <v>349889295</v>
      </c>
      <c r="I105" s="324">
        <f>'A1-Sum'!G29+'A1-Sum'!G31</f>
        <v>349889295</v>
      </c>
      <c r="J105" s="1993">
        <f>'A1-Sum'!H29+'A1-Sum'!H31</f>
        <v>349889295</v>
      </c>
      <c r="K105" s="1990">
        <f>'A1-Sum'!I29+'A1-Sum'!I31</f>
        <v>270073681</v>
      </c>
      <c r="L105" s="324">
        <f>'A1-Sum'!J29+'A1-Sum'!J31</f>
        <v>535844148</v>
      </c>
      <c r="M105" s="1598">
        <f>'A1-Sum'!K29+'A1-Sum'!K31</f>
        <v>134372000</v>
      </c>
    </row>
    <row r="106" spans="1:13">
      <c r="A106" s="201" t="s">
        <v>1883</v>
      </c>
      <c r="B106" s="586"/>
      <c r="D106" s="1990">
        <f>'A1-Sum'!B30</f>
        <v>0</v>
      </c>
      <c r="E106" s="324">
        <f>'A1-Sum'!C30</f>
        <v>0</v>
      </c>
      <c r="F106" s="1993">
        <f>'A1-Sum'!D30</f>
        <v>0</v>
      </c>
      <c r="G106" s="1990">
        <f>'A1-Sum'!E30</f>
        <v>0</v>
      </c>
      <c r="H106" s="324">
        <f>'A1-Sum'!F30</f>
        <v>0</v>
      </c>
      <c r="I106" s="324">
        <f>'A1-Sum'!G30</f>
        <v>0</v>
      </c>
      <c r="J106" s="1993">
        <f>'A1-Sum'!H30</f>
        <v>0</v>
      </c>
      <c r="K106" s="1990">
        <f>'A1-Sum'!I30</f>
        <v>349325000</v>
      </c>
      <c r="L106" s="324">
        <f>'A1-Sum'!J30</f>
        <v>462500000</v>
      </c>
      <c r="M106" s="1598">
        <f>'A1-Sum'!K30</f>
        <v>27500000</v>
      </c>
    </row>
    <row r="107" spans="1:13">
      <c r="A107" s="201" t="s">
        <v>1884</v>
      </c>
      <c r="B107" s="586"/>
      <c r="D107" s="1990">
        <f>'A1-Sum'!B28</f>
        <v>150663574</v>
      </c>
      <c r="E107" s="324">
        <f>'A1-Sum'!C28</f>
        <v>131061017</v>
      </c>
      <c r="F107" s="1993">
        <f>'A1-Sum'!D28</f>
        <v>207708026</v>
      </c>
      <c r="G107" s="1990">
        <f>'A1-Sum'!E28</f>
        <v>521264947</v>
      </c>
      <c r="H107" s="324">
        <f>'A1-Sum'!F28</f>
        <v>625759559</v>
      </c>
      <c r="I107" s="324">
        <f>'A1-Sum'!G28</f>
        <v>625759559</v>
      </c>
      <c r="J107" s="1993">
        <f>'A1-Sum'!H28</f>
        <v>625759559</v>
      </c>
      <c r="K107" s="1990">
        <f>'A1-Sum'!I28</f>
        <v>694260500</v>
      </c>
      <c r="L107" s="324">
        <f>'A1-Sum'!J28</f>
        <v>812077500</v>
      </c>
      <c r="M107" s="1598">
        <f>'A1-Sum'!K28</f>
        <v>880008000</v>
      </c>
    </row>
    <row r="108" spans="1:13">
      <c r="A108" s="201" t="s">
        <v>1885</v>
      </c>
      <c r="B108" s="1578"/>
      <c r="D108" s="1594">
        <f>IF(ISERROR(('A1-Sum'!B29+'A1-Sum'!B31)/('A1-Sum'!B32-'A1-Sum'!B28)),0,(('A1-Sum'!B29+'A1-Sum'!B31)/('A1-Sum'!B32-'A1-Sum'!B28)))</f>
        <v>1</v>
      </c>
      <c r="E108" s="1594">
        <f>IF(ISERROR(('A1-Sum'!C29+'A1-Sum'!C31)/('A1-Sum'!C32-'A1-Sum'!C28)),0,(('A1-Sum'!C29+'A1-Sum'!C31)/('A1-Sum'!C32-'A1-Sum'!C28)))</f>
        <v>1</v>
      </c>
      <c r="F108" s="1994">
        <f>IF(ISERROR(('A1-Sum'!D29+'A1-Sum'!D31)/('A1-Sum'!D32-'A1-Sum'!D28)),0,(('A1-Sum'!D29+'A1-Sum'!D31)/('A1-Sum'!D32-'A1-Sum'!D28)))</f>
        <v>1</v>
      </c>
      <c r="G108" s="1997">
        <f>IF(ISERROR(('A1-Sum'!E29+'A1-Sum'!E31)/('A1-Sum'!E32-'A1-Sum'!E28)),0,(('A1-Sum'!E29+'A1-Sum'!E31)/('A1-Sum'!E32-'A1-Sum'!E28)))</f>
        <v>1</v>
      </c>
      <c r="H108" s="1594">
        <f>IF(ISERROR(('A1-Sum'!F29+'A1-Sum'!F31)/('A1-Sum'!F32-'A1-Sum'!F28)),0,(('A1-Sum'!F29+'A1-Sum'!F31)/('A1-Sum'!F32-'A1-Sum'!F28)))</f>
        <v>1</v>
      </c>
      <c r="I108" s="1594">
        <f>IF(ISERROR(('A1-Sum'!G29+'A1-Sum'!G31)/('A1-Sum'!G32-'A1-Sum'!G28)),0,(('A1-Sum'!G29+'A1-Sum'!G31)/('A1-Sum'!G32-'A1-Sum'!G28)))</f>
        <v>1</v>
      </c>
      <c r="J108" s="1994">
        <f>IF(ISERROR(('A1-Sum'!H29+'A1-Sum'!H31)/('A1-Sum'!H32-'A1-Sum'!H28)),0,(('A1-Sum'!H29+'A1-Sum'!H31)/('A1-Sum'!H32-'A1-Sum'!H28)))</f>
        <v>1</v>
      </c>
      <c r="K108" s="1997">
        <f>IF(ISERROR(('A1-Sum'!I29+'A1-Sum'!I31)/('A1-Sum'!I32-'A1-Sum'!I28)),0,(('A1-Sum'!I29+'A1-Sum'!I31)/('A1-Sum'!I32-'A1-Sum'!I28)))</f>
        <v>0.43602559915687</v>
      </c>
      <c r="L108" s="1594">
        <f>IF(ISERROR(('A1-Sum'!J29+'A1-Sum'!J31)/('A1-Sum'!J32-'A1-Sum'!J28)),0,(('A1-Sum'!J29+'A1-Sum'!J31)/('A1-Sum'!J32-'A1-Sum'!J28)))</f>
        <v>0.53673289824302151</v>
      </c>
      <c r="M108" s="1601">
        <f>IF(ISERROR(('A1-Sum'!K29+'A1-Sum'!K31)/('A1-Sum'!K32-'A1-Sum'!K28)),0,(('A1-Sum'!K29+'A1-Sum'!K31)/('A1-Sum'!K32-'A1-Sum'!K28)))</f>
        <v>0.83011268162498764</v>
      </c>
    </row>
    <row r="109" spans="1:13">
      <c r="A109" s="201" t="s">
        <v>1886</v>
      </c>
      <c r="B109" s="1578"/>
      <c r="D109" s="1594">
        <f>IF(ISERROR('A1-Sum'!B30/('A1-Sum'!B32-'A1-Sum'!B28)),0,('A1-Sum'!B30/('A1-Sum'!B32-'A1-Sum'!B28)))</f>
        <v>0</v>
      </c>
      <c r="E109" s="1594">
        <f>IF(ISERROR('A1-Sum'!C30/('A1-Sum'!C32-'A1-Sum'!C28)),0,('A1-Sum'!C30/('A1-Sum'!C32-'A1-Sum'!C28)))</f>
        <v>0</v>
      </c>
      <c r="F109" s="1994">
        <f>IF(ISERROR('A1-Sum'!D30/('A1-Sum'!D32-'A1-Sum'!D28)),0,('A1-Sum'!D30/('A1-Sum'!D32-'A1-Sum'!D28)))</f>
        <v>0</v>
      </c>
      <c r="G109" s="1997">
        <f>IF(ISERROR('A1-Sum'!E30/('A1-Sum'!E32-'A1-Sum'!E28)),0,('A1-Sum'!E30/('A1-Sum'!E32-'A1-Sum'!E28)))</f>
        <v>0</v>
      </c>
      <c r="H109" s="1594">
        <f>IF(ISERROR('A1-Sum'!F30/('A1-Sum'!F32-'A1-Sum'!F28)),0,('A1-Sum'!F30/('A1-Sum'!F32-'A1-Sum'!F28)))</f>
        <v>0</v>
      </c>
      <c r="I109" s="1594">
        <f>IF(ISERROR('A1-Sum'!G30/('A1-Sum'!G32-'A1-Sum'!G28)),0,('A1-Sum'!G30/('A1-Sum'!G32-'A1-Sum'!G28)))</f>
        <v>0</v>
      </c>
      <c r="J109" s="1994">
        <f>IF(ISERROR('A1-Sum'!H30/('A1-Sum'!H32-'A1-Sum'!H28)),0,('A1-Sum'!H30/('A1-Sum'!H32-'A1-Sum'!H28)))</f>
        <v>0</v>
      </c>
      <c r="K109" s="1997">
        <f>IF(ISERROR('A1-Sum'!I30/('A1-Sum'!I32-'A1-Sum'!I28)),0,('A1-Sum'!I30/('A1-Sum'!I32-'A1-Sum'!I28)))</f>
        <v>0.56397440084313</v>
      </c>
      <c r="L109" s="1594">
        <f>IF(ISERROR('A1-Sum'!J30/('A1-Sum'!J32-'A1-Sum'!J28)),0,('A1-Sum'!J30/('A1-Sum'!J32-'A1-Sum'!J28)))</f>
        <v>0.46326710175697849</v>
      </c>
      <c r="M109" s="1601">
        <f>IF(ISERROR('A1-Sum'!K30/('A1-Sum'!K32-'A1-Sum'!K28)),0,('A1-Sum'!K30/('A1-Sum'!K32-'A1-Sum'!K28)))</f>
        <v>0.16988731837501236</v>
      </c>
    </row>
    <row r="110" spans="1:13">
      <c r="A110" s="1586" t="s">
        <v>1887</v>
      </c>
      <c r="B110" s="1588"/>
      <c r="C110" s="337"/>
      <c r="D110" s="1988">
        <f>IF(ISERROR('A1-Sum'!B28/'A1-Sum'!B32),0,('A1-Sum'!B28/'A1-Sum'!B32))</f>
        <v>0.6225988800535841</v>
      </c>
      <c r="E110" s="1988">
        <f>IF(ISERROR('A1-Sum'!C28/'A1-Sum'!C32),0,('A1-Sum'!C28/'A1-Sum'!C32))</f>
        <v>0.62705369795781163</v>
      </c>
      <c r="F110" s="1995">
        <f>IF(ISERROR('A1-Sum'!D28/'A1-Sum'!D32),0,('A1-Sum'!D28/'A1-Sum'!D32))</f>
        <v>0.67514848361447877</v>
      </c>
      <c r="G110" s="1998">
        <f>IF(ISERROR('A1-Sum'!E28/'A1-Sum'!E32),0,('A1-Sum'!E28/'A1-Sum'!E32))</f>
        <v>0.56989214300441171</v>
      </c>
      <c r="H110" s="1988">
        <f>IF(ISERROR('A1-Sum'!F28/'A1-Sum'!F32),0,('A1-Sum'!F28/'A1-Sum'!F32))</f>
        <v>0.64137784453339808</v>
      </c>
      <c r="I110" s="1988">
        <f>IF(ISERROR('A1-Sum'!G28/'A1-Sum'!G32),0,('A1-Sum'!G28/'A1-Sum'!G32))</f>
        <v>0.64137784453339808</v>
      </c>
      <c r="J110" s="1995">
        <f>IF(ISERROR('A1-Sum'!H28/'A1-Sum'!H32),0,('A1-Sum'!H28/'A1-Sum'!H32))</f>
        <v>0.64137784453339808</v>
      </c>
      <c r="K110" s="1998">
        <f>IF(ISERROR('A1-Sum'!I28/'A1-Sum'!I32),0,('A1-Sum'!I28/'A1-Sum'!I32))</f>
        <v>0.52849362303509073</v>
      </c>
      <c r="L110" s="1988">
        <f>IF(ISERROR('A1-Sum'!J28/'A1-Sum'!J32),0,('A1-Sum'!J28/'A1-Sum'!J32))</f>
        <v>0.44855710872498361</v>
      </c>
      <c r="M110" s="1989">
        <f>IF(ISERROR('A1-Sum'!K28/'A1-Sum'!K32),0,('A1-Sum'!K28/'A1-Sum'!K32))</f>
        <v>0.84463469881368292</v>
      </c>
    </row>
    <row r="111" spans="1:13">
      <c r="A111" s="1574" t="s">
        <v>1888</v>
      </c>
      <c r="B111" s="1576"/>
      <c r="D111" s="293"/>
      <c r="E111" s="293"/>
      <c r="F111" s="1992"/>
      <c r="G111" s="1435"/>
      <c r="H111" s="972"/>
      <c r="I111" s="972"/>
      <c r="J111" s="1992"/>
      <c r="K111" s="1435"/>
      <c r="L111" s="972"/>
      <c r="M111" s="1592"/>
    </row>
    <row r="112" spans="1:13">
      <c r="A112" s="246" t="s">
        <v>1889</v>
      </c>
      <c r="B112" s="586"/>
      <c r="D112" s="1990">
        <f>'A1-Sum'!B27</f>
        <v>241991401</v>
      </c>
      <c r="E112" s="324">
        <f>'A1-Sum'!C27</f>
        <v>209010658</v>
      </c>
      <c r="F112" s="1993">
        <f>'A1-Sum'!D27</f>
        <v>307647902</v>
      </c>
      <c r="G112" s="1990">
        <f>'A1-Sum'!E27</f>
        <v>914672984</v>
      </c>
      <c r="H112" s="324">
        <f>'A1-Sum'!F27</f>
        <v>975648814</v>
      </c>
      <c r="I112" s="324">
        <f>'A1-Sum'!G27</f>
        <v>975648814</v>
      </c>
      <c r="J112" s="1993">
        <f>'A1-Sum'!H27</f>
        <v>975648814</v>
      </c>
      <c r="K112" s="1990">
        <f>'A1-Sum'!I27</f>
        <v>1313659361</v>
      </c>
      <c r="L112" s="324">
        <f>'A1-Sum'!J27</f>
        <v>1810422448</v>
      </c>
      <c r="M112" s="1598">
        <f>'A1-Sum'!K27</f>
        <v>1041880000</v>
      </c>
    </row>
    <row r="113" spans="1:13">
      <c r="A113" s="246" t="s">
        <v>1890</v>
      </c>
      <c r="B113" s="586"/>
      <c r="D113" s="1990">
        <f>'A1-Sum'!B55</f>
        <v>121557846.05999999</v>
      </c>
      <c r="E113" s="324">
        <f>'A1-Sum'!C55</f>
        <v>307080776.5</v>
      </c>
      <c r="F113" s="1993">
        <f>'A1-Sum'!D55</f>
        <v>1550000</v>
      </c>
      <c r="G113" s="1990">
        <f>'A1-Sum'!E55</f>
        <v>430578471</v>
      </c>
      <c r="H113" s="324">
        <f>'A1-Sum'!F55</f>
        <v>475732960</v>
      </c>
      <c r="I113" s="324">
        <f>'A1-Sum'!G55</f>
        <v>475732960</v>
      </c>
      <c r="J113" s="1993">
        <f>'A1-Sum'!H55</f>
        <v>475732960</v>
      </c>
      <c r="K113" s="1990">
        <f>'A1-Sum'!I55</f>
        <v>1127285761</v>
      </c>
      <c r="L113" s="324">
        <f>'A1-Sum'!J55</f>
        <v>955908648</v>
      </c>
      <c r="M113" s="1598">
        <f>'A1-Sum'!K55</f>
        <v>966694000</v>
      </c>
    </row>
    <row r="114" spans="1:13">
      <c r="A114" s="1586" t="s">
        <v>1891</v>
      </c>
      <c r="B114" s="1588"/>
      <c r="C114" s="337"/>
      <c r="D114" s="1593">
        <f>IF(ISERROR('A1-Sum'!B55/'A1-Sum'!B32),0,('A1-Sum'!B55/'A1-Sum'!B32))</f>
        <v>0.50232300223199255</v>
      </c>
      <c r="E114" s="1593">
        <f>IF(ISERROR('A1-Sum'!C55/'A1-Sum'!C32),0,('A1-Sum'!C55/'A1-Sum'!C32))</f>
        <v>1.4692098450302828</v>
      </c>
      <c r="F114" s="1593">
        <f>IF(ISERROR('A1-Sum'!D55/'A1-Sum'!D32),0,('A1-Sum'!D55/'A1-Sum'!D32))</f>
        <v>5.0382268309768739E-3</v>
      </c>
      <c r="G114" s="1593">
        <f>IF(ISERROR('A1-Sum'!E55/'A1-Sum'!E32),0,('A1-Sum'!E55/'A1-Sum'!E32))</f>
        <v>0.47074580591307813</v>
      </c>
      <c r="H114" s="1593">
        <f>IF(ISERROR('A1-Sum'!F55/'A1-Sum'!F32),0,('A1-Sum'!F55/'A1-Sum'!F32))</f>
        <v>0.48760674298911233</v>
      </c>
      <c r="I114" s="1593">
        <f>IF(ISERROR('A1-Sum'!G55/'A1-Sum'!G32),0,('A1-Sum'!G55/'A1-Sum'!G32))</f>
        <v>0.48760674298911233</v>
      </c>
      <c r="J114" s="1593">
        <f>IF(ISERROR('A1-Sum'!H55/'A1-Sum'!H32),0,('A1-Sum'!H55/'A1-Sum'!H32))</f>
        <v>0.48760674298911233</v>
      </c>
      <c r="K114" s="1593">
        <f>IF(ISERROR('A1-Sum'!I55/'A1-Sum'!I32),0,('A1-Sum'!I55/'A1-Sum'!I32))</f>
        <v>0.85812650442702609</v>
      </c>
      <c r="L114" s="1593">
        <f>IF(ISERROR('A1-Sum'!J55/'A1-Sum'!J32),0,('A1-Sum'!J55/'A1-Sum'!J32))</f>
        <v>0.52800332400797723</v>
      </c>
      <c r="M114" s="1593">
        <f>IF(ISERROR('A1-Sum'!K55/'A1-Sum'!K32),0,('A1-Sum'!K55/'A1-Sum'!K32))</f>
        <v>0.92783621914231962</v>
      </c>
    </row>
    <row r="115" spans="1:13">
      <c r="A115" s="1574" t="s">
        <v>702</v>
      </c>
      <c r="B115" s="1576"/>
      <c r="D115" s="293"/>
      <c r="E115" s="293"/>
      <c r="F115" s="1992"/>
      <c r="G115" s="1435"/>
      <c r="H115" s="972"/>
      <c r="I115" s="972"/>
      <c r="J115" s="1992"/>
      <c r="K115" s="1435"/>
      <c r="L115" s="972"/>
      <c r="M115" s="1592"/>
    </row>
    <row r="116" spans="1:13">
      <c r="A116" s="246" t="s">
        <v>1892</v>
      </c>
      <c r="B116" s="1578"/>
      <c r="D116" s="1594">
        <f>'SA10'!D10</f>
        <v>0.88781854765905932</v>
      </c>
      <c r="E116" s="1594">
        <f>'SA10'!E10</f>
        <v>0.75869191942610426</v>
      </c>
      <c r="F116" s="1994">
        <f>'SA10'!F10</f>
        <v>0.92709824563532961</v>
      </c>
      <c r="G116" s="1997">
        <f>'SA10'!G10</f>
        <v>0.86643634340211328</v>
      </c>
      <c r="H116" s="1594">
        <f>'SA10'!H10</f>
        <v>0.86360215347858937</v>
      </c>
      <c r="I116" s="1594">
        <f>'SA10'!I10</f>
        <v>0.86360215347858937</v>
      </c>
      <c r="J116" s="1994">
        <f>'SA10'!J10</f>
        <v>0.86360215347858937</v>
      </c>
      <c r="K116" s="1997">
        <f>'SA10'!K10</f>
        <v>0.93644056126626851</v>
      </c>
      <c r="L116" s="1594">
        <f>'SA10'!L10</f>
        <v>0.95490711895433622</v>
      </c>
      <c r="M116" s="1601">
        <f>'SA10'!M10</f>
        <v>0.97456583736708058</v>
      </c>
    </row>
    <row r="117" spans="1:13">
      <c r="A117" s="1586" t="s">
        <v>1893</v>
      </c>
      <c r="B117" s="1589"/>
      <c r="C117" s="337"/>
      <c r="D117" s="1596">
        <f>'SA10'!D7</f>
        <v>4.0373381446484196</v>
      </c>
      <c r="E117" s="1596">
        <f>'SA10'!E7</f>
        <v>4.3896146002314298</v>
      </c>
      <c r="F117" s="2000">
        <f>'SA10'!F7</f>
        <v>6.2445866278247202</v>
      </c>
      <c r="G117" s="2002">
        <f>'SA10'!G7</f>
        <v>3.8938883715589281</v>
      </c>
      <c r="H117" s="1596">
        <f>'SA10'!H7</f>
        <v>4.2794202825136161</v>
      </c>
      <c r="I117" s="1596">
        <f>'SA10'!I7</f>
        <v>5.8510710252353313</v>
      </c>
      <c r="J117" s="2000">
        <f>'SA10'!J7</f>
        <v>5.8510710252353313</v>
      </c>
      <c r="K117" s="2002">
        <f>'SA10'!K7</f>
        <v>5.9385465904895405</v>
      </c>
      <c r="L117" s="1596">
        <f>'SA10'!L7</f>
        <v>4.4771208924006407</v>
      </c>
      <c r="M117" s="1602">
        <f>'SA10'!M7</f>
        <v>4.9486245103576723</v>
      </c>
    </row>
    <row r="118" spans="1:13">
      <c r="A118" s="1574" t="s">
        <v>1284</v>
      </c>
      <c r="B118" s="1576"/>
      <c r="D118" s="293"/>
      <c r="E118" s="293"/>
      <c r="F118" s="1992"/>
      <c r="G118" s="1435"/>
      <c r="H118" s="972"/>
      <c r="I118" s="972"/>
      <c r="J118" s="1992"/>
      <c r="K118" s="1435"/>
      <c r="L118" s="972"/>
      <c r="M118" s="1592"/>
    </row>
    <row r="119" spans="1:13" ht="5" customHeight="1">
      <c r="A119" s="1575"/>
      <c r="B119" s="1578"/>
      <c r="D119" s="1986"/>
      <c r="E119" s="1986"/>
      <c r="F119" s="1999"/>
      <c r="G119" s="2001"/>
      <c r="H119" s="1986"/>
      <c r="I119" s="1986"/>
      <c r="J119" s="1999"/>
      <c r="K119" s="2001"/>
      <c r="L119" s="1986"/>
      <c r="M119" s="1987"/>
    </row>
    <row r="120" spans="1:13">
      <c r="A120" s="1575" t="s">
        <v>1894</v>
      </c>
      <c r="B120" s="1576"/>
      <c r="D120" s="1599"/>
      <c r="E120" s="293"/>
      <c r="F120" s="1992"/>
      <c r="G120" s="1435"/>
      <c r="H120" s="972"/>
      <c r="I120" s="972"/>
      <c r="J120" s="1992"/>
      <c r="K120" s="2003" t="str">
        <f>'SA8'!F6</f>
        <v>A1</v>
      </c>
      <c r="L120" s="972"/>
      <c r="M120" s="1592"/>
    </row>
    <row r="121" spans="1:13">
      <c r="A121" s="1575" t="s">
        <v>1895</v>
      </c>
      <c r="B121" s="1578"/>
      <c r="D121" s="1986">
        <f>'SA8'!C7</f>
        <v>2.7029381387971466E-2</v>
      </c>
      <c r="E121" s="1986">
        <f>'SA8'!D7</f>
        <v>2.0728099959037734E-2</v>
      </c>
      <c r="F121" s="1999">
        <f>'SA8'!E7</f>
        <v>2.3942827714058101E-2</v>
      </c>
      <c r="G121" s="2001">
        <f>'SA8'!F7</f>
        <v>1.6785965937668471E-2</v>
      </c>
      <c r="H121" s="1986">
        <f>'SA8'!G7</f>
        <v>1.5255657472150335E-2</v>
      </c>
      <c r="I121" s="1986">
        <f>'SA8'!H7</f>
        <v>1.5255657472150335E-2</v>
      </c>
      <c r="J121" s="1999">
        <f>'SA8'!I7</f>
        <v>1.5255657472150335E-2</v>
      </c>
      <c r="K121" s="2001">
        <f>'SA8'!J7</f>
        <v>3.565112092819555E-2</v>
      </c>
      <c r="L121" s="1986">
        <f>'SA8'!K7</f>
        <v>3.5635794055932313E-2</v>
      </c>
      <c r="M121" s="1987">
        <f>'SA8'!L7</f>
        <v>4.7690311579381854E-2</v>
      </c>
    </row>
    <row r="122" spans="1:13">
      <c r="A122" s="1590" t="s">
        <v>1896</v>
      </c>
      <c r="B122" s="1588"/>
      <c r="C122" s="337"/>
      <c r="D122" s="1593">
        <f>'SA10'!D13</f>
        <v>0</v>
      </c>
      <c r="E122" s="1593">
        <f>'SA10'!E13</f>
        <v>0</v>
      </c>
      <c r="F122" s="1991">
        <f>'SA10'!F13</f>
        <v>0</v>
      </c>
      <c r="G122" s="1996">
        <f>'SA10'!G13</f>
        <v>0</v>
      </c>
      <c r="H122" s="1593">
        <f>'SA10'!H13</f>
        <v>0</v>
      </c>
      <c r="I122" s="1593">
        <f>'SA10'!I13</f>
        <v>0</v>
      </c>
      <c r="J122" s="1991">
        <f>'SA10'!J13</f>
        <v>0</v>
      </c>
      <c r="K122" s="1996">
        <f>'SA10'!K13</f>
        <v>0.56397440084313</v>
      </c>
      <c r="L122" s="1593">
        <f>'SA10'!L13</f>
        <v>0.46326710175697849</v>
      </c>
      <c r="M122" s="1600">
        <f>'SA10'!M13</f>
        <v>0.16988731837501236</v>
      </c>
    </row>
    <row r="123" spans="1:13">
      <c r="A123" s="1574" t="s">
        <v>753</v>
      </c>
      <c r="B123" s="1576"/>
      <c r="D123" s="293"/>
      <c r="E123" s="293"/>
      <c r="F123" s="1992"/>
      <c r="G123" s="1435"/>
      <c r="H123" s="972"/>
      <c r="I123" s="972"/>
      <c r="J123" s="1992"/>
      <c r="K123" s="1435"/>
      <c r="L123" s="972"/>
      <c r="M123" s="555"/>
    </row>
    <row r="124" spans="1:13">
      <c r="A124" s="1586" t="s">
        <v>1721</v>
      </c>
      <c r="B124" s="1591"/>
      <c r="C124" s="337"/>
      <c r="D124" s="1596">
        <f>'A8-ResRecon'!C19</f>
        <v>-105406318</v>
      </c>
      <c r="E124" s="1596">
        <f>'A8-ResRecon'!D19</f>
        <v>-35992606</v>
      </c>
      <c r="F124" s="2000">
        <f>'A8-ResRecon'!E19</f>
        <v>120770030</v>
      </c>
      <c r="G124" s="2002">
        <f>'A8-ResRecon'!F19</f>
        <v>493597383.44000006</v>
      </c>
      <c r="H124" s="1596">
        <f>'A8-ResRecon'!G19</f>
        <v>306187287.44</v>
      </c>
      <c r="I124" s="1596">
        <f>'A8-ResRecon'!H19</f>
        <v>659376287.44000006</v>
      </c>
      <c r="J124" s="2000">
        <f>'A8-ResRecon'!I19</f>
        <v>659376287.44000006</v>
      </c>
      <c r="K124" s="2002">
        <f>'A8-ResRecon'!J19</f>
        <v>460922811.50500023</v>
      </c>
      <c r="L124" s="1596">
        <f>'A8-ResRecon'!K19</f>
        <v>41858276.642925024</v>
      </c>
      <c r="M124" s="1602">
        <f>'A8-ResRecon'!L19</f>
        <v>255070997.04504132</v>
      </c>
    </row>
    <row r="125" spans="1:13">
      <c r="A125" s="1574" t="s">
        <v>1897</v>
      </c>
      <c r="B125" s="1576"/>
      <c r="D125" s="293"/>
      <c r="E125" s="293"/>
      <c r="F125" s="1992"/>
      <c r="G125" s="1435"/>
      <c r="H125" s="972"/>
      <c r="I125" s="972"/>
      <c r="J125" s="555"/>
      <c r="K125" s="1599"/>
      <c r="L125" s="972"/>
      <c r="M125" s="1592"/>
    </row>
    <row r="126" spans="1:13">
      <c r="A126" s="246" t="s">
        <v>1898</v>
      </c>
      <c r="B126" s="1579"/>
      <c r="D126" s="1986">
        <f>IF(ISERROR('A10-SerDel'!C59/'SA18'!C8),0,('A10-SerDel'!C59/'SA18'!C8))</f>
        <v>2.7149852094535094E-2</v>
      </c>
      <c r="E126" s="1986">
        <f>IF(ISERROR('A10-SerDel'!D59/'SA18'!D8),0,('A10-SerDel'!D59/'SA18'!D8))</f>
        <v>3.0679301592569767E-2</v>
      </c>
      <c r="F126" s="1999">
        <f>IF(ISERROR('A10-SerDel'!E59/'SA18'!E8),0,('A10-SerDel'!E59/'SA18'!E8))</f>
        <v>2.9581392244970191E-2</v>
      </c>
      <c r="G126" s="2001">
        <f>IF(ISERROR('A10-SerDel'!F59/'SA18'!F8),0,('A10-SerDel'!F59/'SA18'!F8))</f>
        <v>3.4856465382816157E-2</v>
      </c>
      <c r="H126" s="1986">
        <f>IF(ISERROR('A10-SerDel'!G59/'SA18'!G8),0,('A10-SerDel'!G59/'SA18'!G8))</f>
        <v>3.2534933266381391E-2</v>
      </c>
      <c r="I126" s="1986">
        <f>IF(ISERROR('A10-SerDel'!H59/'SA18'!H8),0,('A10-SerDel'!H59/'SA18'!H8))</f>
        <v>3.2534933266381391E-2</v>
      </c>
      <c r="J126" s="1987"/>
      <c r="K126" s="2004">
        <f>IF(ISERROR('A10-SerDel'!I59/'SA18'!I8),0,('A10-SerDel'!I59/'SA18'!I8))</f>
        <v>2.5021784904721699E-2</v>
      </c>
      <c r="L126" s="1986">
        <f>IF(ISERROR('A10-SerDel'!J59/'SA18'!J8),0,('A10-SerDel'!J59/'SA18'!J8))</f>
        <v>2.2723179064840511E-2</v>
      </c>
      <c r="M126" s="1987">
        <f>IF(ISERROR('A10-SerDel'!K59/'SA18'!K8),0,('A10-SerDel'!K59/'SA18'!K8))</f>
        <v>2.0154862499224036E-2</v>
      </c>
    </row>
    <row r="127" spans="1:13" ht="20">
      <c r="A127" s="1580" t="s">
        <v>1899</v>
      </c>
      <c r="B127" s="1578"/>
      <c r="D127" s="1986">
        <f>IF(ISERROR('A10-SerDel'!C78/('A1-Sum'!B10-'A1-Sum'!B8)),0,('A10-SerDel'!C78/('A1-Sum'!B10-'A1-Sum'!B8)))</f>
        <v>2.9210738942764638E-3</v>
      </c>
      <c r="E127" s="1986">
        <f>IF(ISERROR('A10-SerDel'!D78/('A1-Sum'!C10-'A1-Sum'!C8)),0,('A10-SerDel'!D78/('A1-Sum'!C10-'A1-Sum'!C8)))</f>
        <v>3.5755871273538574E-3</v>
      </c>
      <c r="F127" s="1987">
        <f>IF(ISERROR('A10-SerDel'!E78/('A1-Sum'!D10-'A1-Sum'!D8)),0,('A10-SerDel'!E78/('A1-Sum'!D10-'A1-Sum'!D8)))</f>
        <v>4.002354193815073E-3</v>
      </c>
      <c r="G127" s="2004">
        <f>IF(ISERROR('A10-SerDel'!F78/('A1-Sum'!E10-'A1-Sum'!E8)),0,('A10-SerDel'!F78/('A1-Sum'!E10-'A1-Sum'!E8)))</f>
        <v>1.0796677308622002E-2</v>
      </c>
      <c r="H127" s="1986">
        <f>IF(ISERROR('A10-SerDel'!G78/('A1-Sum'!F10-'A1-Sum'!F8)),0,('A10-SerDel'!G78/('A1-Sum'!F10-'A1-Sum'!F8)))</f>
        <v>1.1113530783228799E-2</v>
      </c>
      <c r="I127" s="1986">
        <f>IF(ISERROR('A10-SerDel'!H78/('A1-Sum'!G10-'A1-Sum'!G8)),0,('A10-SerDel'!H78/('A1-Sum'!G10-'A1-Sum'!G8)))</f>
        <v>1.1113530783228799E-2</v>
      </c>
      <c r="J127" s="1987"/>
      <c r="K127" s="2004">
        <f>IF(ISERROR('A10-SerDel'!I78/('A1-Sum'!I10-'A1-Sum'!I8)),0,('A10-SerDel'!I78/('A1-Sum'!I10-'A1-Sum'!I8)))</f>
        <v>1.1037385890278471E-2</v>
      </c>
      <c r="L127" s="1986">
        <f>IF(ISERROR('A10-SerDel'!J78/('A1-Sum'!J10-'A1-Sum'!J8)),0,('A10-SerDel'!J78/('A1-Sum'!J10-'A1-Sum'!J8)))</f>
        <v>1.1267898161933194E-2</v>
      </c>
      <c r="M127" s="1986">
        <f>IF(ISERROR('A10-SerDel'!K78/('A1-Sum'!K10-'A1-Sum'!K8)),0,('A10-SerDel'!K78/('A1-Sum'!K10-'A1-Sum'!K8)))</f>
        <v>1.1117734355816157E-2</v>
      </c>
    </row>
    <row r="128" spans="1:13" ht="5.25" customHeight="1">
      <c r="A128" s="1580"/>
      <c r="B128" s="1578"/>
      <c r="D128" s="2004"/>
      <c r="E128" s="1986"/>
      <c r="F128" s="1600"/>
      <c r="G128" s="2004"/>
      <c r="H128" s="1986"/>
      <c r="I128" s="1986"/>
      <c r="J128" s="1987"/>
      <c r="K128" s="2004"/>
      <c r="L128" s="1986"/>
      <c r="M128" s="1987"/>
    </row>
    <row r="129" spans="1:13" ht="18" customHeight="1">
      <c r="A129" s="2005" t="s">
        <v>1944</v>
      </c>
      <c r="B129" s="2008"/>
      <c r="C129" s="2009"/>
      <c r="D129" s="2010"/>
      <c r="E129" s="2011"/>
      <c r="F129" s="2012"/>
      <c r="G129" s="2013"/>
      <c r="H129" s="2014"/>
      <c r="I129" s="2014"/>
      <c r="J129" s="2012"/>
      <c r="K129" s="2013"/>
      <c r="L129" s="2014"/>
      <c r="M129" s="2012"/>
    </row>
    <row r="130" spans="1:13" ht="11">
      <c r="A130" s="2006" t="s">
        <v>1866</v>
      </c>
      <c r="B130" s="2015"/>
      <c r="C130" s="2016"/>
      <c r="D130" s="2017">
        <f>D86</f>
        <v>1969006785.5400002</v>
      </c>
      <c r="E130" s="2017">
        <f t="shared" ref="E130:M130" si="10">E86</f>
        <v>2218358433</v>
      </c>
      <c r="F130" s="2026">
        <f t="shared" si="10"/>
        <v>2175110947</v>
      </c>
      <c r="G130" s="2017">
        <f t="shared" si="10"/>
        <v>2809066817</v>
      </c>
      <c r="H130" s="2017">
        <f t="shared" si="10"/>
        <v>2755402453</v>
      </c>
      <c r="I130" s="2017">
        <f t="shared" si="10"/>
        <v>2755402453</v>
      </c>
      <c r="J130" s="2026">
        <f>J86</f>
        <v>2755402453</v>
      </c>
      <c r="K130" s="2017">
        <f t="shared" si="10"/>
        <v>2729275535</v>
      </c>
      <c r="L130" s="2017">
        <f t="shared" si="10"/>
        <v>2834221952</v>
      </c>
      <c r="M130" s="2026">
        <f t="shared" si="10"/>
        <v>3072107337</v>
      </c>
    </row>
    <row r="131" spans="1:13" ht="11">
      <c r="A131" s="2006" t="s">
        <v>1867</v>
      </c>
      <c r="B131" s="2015"/>
      <c r="C131" s="2016"/>
      <c r="D131" s="2017">
        <f t="shared" ref="D131:M132" si="11">D87</f>
        <v>1785502017.5</v>
      </c>
      <c r="E131" s="2017">
        <f t="shared" si="11"/>
        <v>2230933761</v>
      </c>
      <c r="F131" s="2026">
        <f t="shared" si="11"/>
        <v>2199070370</v>
      </c>
      <c r="G131" s="2017">
        <f t="shared" si="11"/>
        <v>2707791030.244</v>
      </c>
      <c r="H131" s="2017">
        <f t="shared" si="11"/>
        <v>2717214127</v>
      </c>
      <c r="I131" s="2017">
        <f t="shared" si="11"/>
        <v>2717214127</v>
      </c>
      <c r="J131" s="2026">
        <f t="shared" si="11"/>
        <v>2717214127</v>
      </c>
      <c r="K131" s="2017">
        <f t="shared" si="11"/>
        <v>2710794199</v>
      </c>
      <c r="L131" s="2017">
        <f t="shared" si="11"/>
        <v>2798548647</v>
      </c>
      <c r="M131" s="2026">
        <f t="shared" si="11"/>
        <v>2980640678</v>
      </c>
    </row>
    <row r="132" spans="1:13" ht="11">
      <c r="A132" s="2006" t="s">
        <v>1945</v>
      </c>
      <c r="B132" s="2015"/>
      <c r="C132" s="2016"/>
      <c r="D132" s="2017">
        <f t="shared" si="11"/>
        <v>183504768.0400002</v>
      </c>
      <c r="E132" s="2017">
        <f t="shared" si="11"/>
        <v>-12575328</v>
      </c>
      <c r="F132" s="2026">
        <f t="shared" si="11"/>
        <v>-23959423</v>
      </c>
      <c r="G132" s="2017">
        <f t="shared" si="11"/>
        <v>101275786.75600004</v>
      </c>
      <c r="H132" s="2017">
        <f t="shared" si="11"/>
        <v>38188326</v>
      </c>
      <c r="I132" s="2017">
        <f t="shared" si="11"/>
        <v>38188326</v>
      </c>
      <c r="J132" s="2026">
        <f t="shared" si="11"/>
        <v>38188326</v>
      </c>
      <c r="K132" s="2017">
        <f t="shared" si="11"/>
        <v>18481336</v>
      </c>
      <c r="L132" s="2017">
        <f t="shared" si="11"/>
        <v>35673305</v>
      </c>
      <c r="M132" s="2026">
        <f t="shared" si="11"/>
        <v>91466659</v>
      </c>
    </row>
    <row r="133" spans="1:13" ht="11">
      <c r="A133" s="2006" t="s">
        <v>1947</v>
      </c>
      <c r="B133" s="2015"/>
      <c r="C133" s="2016"/>
      <c r="D133" s="2017">
        <f>D132+'A8-ResRecon'!C19</f>
        <v>78098450.0400002</v>
      </c>
      <c r="E133" s="2017">
        <f>E132+'A8-ResRecon'!D19</f>
        <v>-48567934</v>
      </c>
      <c r="F133" s="2026">
        <f>F132+'A8-ResRecon'!E19</f>
        <v>96810607</v>
      </c>
      <c r="G133" s="2017">
        <f>G132+'A8-ResRecon'!F19</f>
        <v>594873170.1960001</v>
      </c>
      <c r="H133" s="2017">
        <f>H132+'A8-ResRecon'!G19</f>
        <v>344375613.44</v>
      </c>
      <c r="I133" s="2017">
        <f>I132+'A8-ResRecon'!H19</f>
        <v>697564613.44000006</v>
      </c>
      <c r="J133" s="2026">
        <f>J132+'A8-ResRecon'!I19</f>
        <v>697564613.44000006</v>
      </c>
      <c r="K133" s="2017">
        <f>K132+'A8-ResRecon'!J19</f>
        <v>479404147.50500023</v>
      </c>
      <c r="L133" s="2017">
        <f>L132+'A8-ResRecon'!K19</f>
        <v>77531581.642925024</v>
      </c>
      <c r="M133" s="2026">
        <f>M132+'A8-ResRecon'!L19</f>
        <v>346537656.04504132</v>
      </c>
    </row>
    <row r="134" spans="1:13" ht="12">
      <c r="A134" s="2007" t="s">
        <v>1946</v>
      </c>
      <c r="B134" s="2006"/>
      <c r="C134" s="2511">
        <v>15</v>
      </c>
      <c r="D134" s="2027">
        <f>IF(D133&gt;=0,1,0)</f>
        <v>1</v>
      </c>
      <c r="E134" s="2027">
        <f t="shared" ref="E134:M134" si="12">IF(E133&gt;=0,1,0)</f>
        <v>0</v>
      </c>
      <c r="F134" s="2028">
        <f t="shared" si="12"/>
        <v>1</v>
      </c>
      <c r="G134" s="2027">
        <f t="shared" si="12"/>
        <v>1</v>
      </c>
      <c r="H134" s="2027">
        <f t="shared" si="12"/>
        <v>1</v>
      </c>
      <c r="I134" s="2027">
        <f t="shared" si="12"/>
        <v>1</v>
      </c>
      <c r="J134" s="2028">
        <f t="shared" si="12"/>
        <v>1</v>
      </c>
      <c r="K134" s="2027">
        <f t="shared" si="12"/>
        <v>1</v>
      </c>
      <c r="L134" s="2027">
        <f t="shared" si="12"/>
        <v>1</v>
      </c>
      <c r="M134" s="2028">
        <f t="shared" si="12"/>
        <v>1</v>
      </c>
    </row>
    <row r="135" spans="1:13" s="2076" customFormat="1" ht="11">
      <c r="A135" s="2072" t="s">
        <v>1954</v>
      </c>
      <c r="B135" s="2073"/>
      <c r="C135" s="2016">
        <v>15</v>
      </c>
      <c r="D135" s="2074" t="str">
        <f>IF(D134=1,"ü","û")</f>
        <v>ü</v>
      </c>
      <c r="E135" s="2074" t="str">
        <f t="shared" ref="E135:M135" si="13">IF(E134=1,"ü","û")</f>
        <v>û</v>
      </c>
      <c r="F135" s="2075" t="str">
        <f t="shared" si="13"/>
        <v>ü</v>
      </c>
      <c r="G135" s="2074" t="str">
        <f t="shared" si="13"/>
        <v>ü</v>
      </c>
      <c r="H135" s="2074" t="str">
        <f t="shared" si="13"/>
        <v>ü</v>
      </c>
      <c r="I135" s="2074" t="str">
        <f t="shared" si="13"/>
        <v>ü</v>
      </c>
      <c r="J135" s="2075" t="str">
        <f t="shared" si="13"/>
        <v>ü</v>
      </c>
      <c r="K135" s="2074" t="str">
        <f t="shared" si="13"/>
        <v>ü</v>
      </c>
      <c r="L135" s="2074" t="str">
        <f t="shared" si="13"/>
        <v>ü</v>
      </c>
      <c r="M135" s="2075" t="str">
        <f t="shared" si="13"/>
        <v>ü</v>
      </c>
    </row>
    <row r="136" spans="1:13" ht="11">
      <c r="A136" s="2018"/>
      <c r="B136" s="2019"/>
      <c r="C136" s="2020"/>
      <c r="D136" s="2021"/>
      <c r="E136" s="2022"/>
      <c r="F136" s="2023"/>
      <c r="G136" s="2024"/>
      <c r="H136" s="2025"/>
      <c r="I136" s="2025"/>
      <c r="J136" s="2023"/>
      <c r="K136" s="2024"/>
      <c r="L136" s="2025"/>
      <c r="M136" s="2023"/>
    </row>
    <row r="137" spans="1:13">
      <c r="A137" s="2512" t="str">
        <f>head27a</f>
        <v>References</v>
      </c>
    </row>
    <row r="138" spans="1:13">
      <c r="A138" s="461" t="s">
        <v>2240</v>
      </c>
    </row>
  </sheetData>
  <sheetProtection password="C646" sheet="1" objects="1" scenarios="1"/>
  <mergeCells count="5">
    <mergeCell ref="A2:A3"/>
    <mergeCell ref="K2:M2"/>
    <mergeCell ref="B2:B3"/>
    <mergeCell ref="C2:C3"/>
    <mergeCell ref="G2:J2"/>
  </mergeCells>
  <phoneticPr fontId="5"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headerFooter alignWithMargins="0"/>
  <ignoredErrors>
    <ignoredError sqref="K68 L68:M68" formulaRange="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J180"/>
  <sheetViews>
    <sheetView topLeftCell="C1" workbookViewId="0">
      <pane ySplit="1" topLeftCell="A2" activePane="bottomLeft" state="frozen"/>
      <selection pane="bottomLeft" activeCell="E8" sqref="E8"/>
    </sheetView>
  </sheetViews>
  <sheetFormatPr baseColWidth="10" defaultColWidth="8.83203125" defaultRowHeight="10" x14ac:dyDescent="0"/>
  <cols>
    <col min="1" max="1" width="23.1640625" style="1390" customWidth="1"/>
    <col min="2" max="2" width="92.1640625" style="1389" customWidth="1"/>
    <col min="3" max="3" width="17.5" style="1389" customWidth="1"/>
    <col min="4" max="4" width="10.5" style="1389" bestFit="1" customWidth="1"/>
    <col min="5" max="5" width="87.6640625" style="1389" customWidth="1"/>
    <col min="6" max="6" width="78.1640625" style="1389" customWidth="1"/>
    <col min="7" max="10" width="8.83203125" style="1390"/>
    <col min="11" max="16384" width="8.83203125" style="1389"/>
  </cols>
  <sheetData>
    <row r="1" spans="1:4">
      <c r="A1" s="2733" t="s">
        <v>975</v>
      </c>
      <c r="B1" s="2734"/>
      <c r="C1" s="2734"/>
      <c r="D1" s="2735"/>
    </row>
    <row r="2" spans="1:4">
      <c r="A2" s="1603" t="s">
        <v>754</v>
      </c>
      <c r="B2" s="1604" t="str">
        <f>HLOOKUP(MTREF,Headings,2)</f>
        <v>2011/12</v>
      </c>
      <c r="C2" s="1605" t="s">
        <v>125</v>
      </c>
      <c r="D2" s="1606"/>
    </row>
    <row r="3" spans="1:4">
      <c r="A3" s="1607" t="s">
        <v>407</v>
      </c>
      <c r="B3" s="1608" t="str">
        <f>HLOOKUP(MTREF,Headings,3)</f>
        <v>2010/11</v>
      </c>
      <c r="C3" s="1609" t="s">
        <v>126</v>
      </c>
      <c r="D3" s="1610"/>
    </row>
    <row r="4" spans="1:4">
      <c r="A4" s="1607" t="s">
        <v>807</v>
      </c>
      <c r="B4" s="1608" t="str">
        <f>HLOOKUP(MTREF,Headings,4)</f>
        <v>2009/10</v>
      </c>
      <c r="C4" s="1609" t="s">
        <v>127</v>
      </c>
      <c r="D4" s="1610"/>
    </row>
    <row r="5" spans="1:4">
      <c r="A5" s="1607" t="s">
        <v>1619</v>
      </c>
      <c r="B5" s="1609" t="str">
        <f>HLOOKUP(MTREF,Headings,5)</f>
        <v>Current Year 2012/13</v>
      </c>
      <c r="C5" s="1609" t="s">
        <v>891</v>
      </c>
      <c r="D5" s="1610"/>
    </row>
    <row r="6" spans="1:4">
      <c r="A6" s="1607" t="s">
        <v>782</v>
      </c>
      <c r="B6" s="1608" t="str">
        <f>HLOOKUP(MTREF,Headings,6)</f>
        <v>2012/13</v>
      </c>
      <c r="C6" s="1609" t="s">
        <v>891</v>
      </c>
      <c r="D6" s="1610"/>
    </row>
    <row r="7" spans="1:4">
      <c r="A7" s="1607" t="s">
        <v>1620</v>
      </c>
      <c r="B7" s="1609" t="str">
        <f>HLOOKUP(MTREF,Headings,7)</f>
        <v>2013/14 Medium Term Revenue &amp; Expenditure Framework</v>
      </c>
      <c r="C7" s="1609" t="s">
        <v>892</v>
      </c>
      <c r="D7" s="1610"/>
    </row>
    <row r="8" spans="1:4">
      <c r="A8" s="1479" t="s">
        <v>1621</v>
      </c>
      <c r="B8" s="1480" t="s">
        <v>548</v>
      </c>
      <c r="C8" s="1480" t="s">
        <v>893</v>
      </c>
      <c r="D8" s="1393"/>
    </row>
    <row r="9" spans="1:4">
      <c r="A9" s="1479" t="s">
        <v>1622</v>
      </c>
      <c r="B9" s="1480" t="s">
        <v>1063</v>
      </c>
      <c r="C9" s="1392"/>
      <c r="D9" s="1393"/>
    </row>
    <row r="10" spans="1:4">
      <c r="A10" s="1479" t="s">
        <v>317</v>
      </c>
      <c r="B10" s="1480" t="s">
        <v>318</v>
      </c>
      <c r="C10" s="1392"/>
      <c r="D10" s="1393"/>
    </row>
    <row r="11" spans="1:4">
      <c r="A11" s="1479" t="s">
        <v>671</v>
      </c>
      <c r="B11" s="1480" t="s">
        <v>672</v>
      </c>
      <c r="C11" s="1392"/>
      <c r="D11" s="1393"/>
    </row>
    <row r="12" spans="1:4">
      <c r="A12" s="1479" t="s">
        <v>1623</v>
      </c>
      <c r="B12" s="1480" t="s">
        <v>466</v>
      </c>
      <c r="C12" s="1392"/>
      <c r="D12" s="1393"/>
    </row>
    <row r="13" spans="1:4">
      <c r="A13" s="1479" t="s">
        <v>1624</v>
      </c>
      <c r="B13" s="1480" t="s">
        <v>1803</v>
      </c>
      <c r="C13" s="1392"/>
      <c r="D13" s="1393"/>
    </row>
    <row r="14" spans="1:4">
      <c r="A14" s="1479" t="s">
        <v>1625</v>
      </c>
      <c r="B14" s="1480" t="s">
        <v>1804</v>
      </c>
      <c r="C14" s="1392"/>
      <c r="D14" s="1393"/>
    </row>
    <row r="15" spans="1:4">
      <c r="A15" s="1607" t="s">
        <v>1626</v>
      </c>
      <c r="B15" s="1609" t="str">
        <f>HLOOKUP(MTREF,Headings,8)</f>
        <v>Budget Year 2013/14</v>
      </c>
      <c r="C15" s="1609" t="s">
        <v>894</v>
      </c>
      <c r="D15" s="1481" t="s">
        <v>1705</v>
      </c>
    </row>
    <row r="16" spans="1:4">
      <c r="A16" s="1607" t="s">
        <v>1627</v>
      </c>
      <c r="B16" s="1609" t="str">
        <f>HLOOKUP(MTREF,Headings,9)</f>
        <v>Budget Year +1 2014/15</v>
      </c>
      <c r="C16" s="1609" t="s">
        <v>895</v>
      </c>
      <c r="D16" s="1481" t="s">
        <v>1706</v>
      </c>
    </row>
    <row r="17" spans="1:4">
      <c r="A17" s="1607" t="s">
        <v>1632</v>
      </c>
      <c r="B17" s="1609" t="str">
        <f>HLOOKUP(MTREF,Headings,10)</f>
        <v>Budget Year +2 2015/16</v>
      </c>
      <c r="C17" s="1609" t="s">
        <v>896</v>
      </c>
      <c r="D17" s="1481" t="s">
        <v>1707</v>
      </c>
    </row>
    <row r="18" spans="1:4">
      <c r="A18" s="1607" t="s">
        <v>1633</v>
      </c>
      <c r="B18" s="1609" t="str">
        <f>HLOOKUP(MTREF,Headings,11)</f>
        <v>Forecast 2016/17</v>
      </c>
      <c r="C18" s="1609" t="s">
        <v>1104</v>
      </c>
      <c r="D18" s="1481" t="s">
        <v>1708</v>
      </c>
    </row>
    <row r="19" spans="1:4">
      <c r="A19" s="1607" t="s">
        <v>1634</v>
      </c>
      <c r="B19" s="1609" t="str">
        <f>HLOOKUP(MTREF,Headings,12)</f>
        <v>Forecast 2017/18</v>
      </c>
      <c r="C19" s="1609" t="s">
        <v>1105</v>
      </c>
      <c r="D19" s="1481" t="s">
        <v>1709</v>
      </c>
    </row>
    <row r="20" spans="1:4">
      <c r="A20" s="1607" t="s">
        <v>1635</v>
      </c>
      <c r="B20" s="1609" t="str">
        <f>HLOOKUP(MTREF,Headings,13)</f>
        <v>Forecast 2018/19</v>
      </c>
      <c r="C20" s="1609" t="s">
        <v>1105</v>
      </c>
      <c r="D20" s="1481" t="s">
        <v>1710</v>
      </c>
    </row>
    <row r="21" spans="1:4">
      <c r="A21" s="1607" t="s">
        <v>1636</v>
      </c>
      <c r="B21" s="1609" t="str">
        <f>HLOOKUP(MTREF,Headings,14)</f>
        <v>Forecast 2019/20</v>
      </c>
      <c r="C21" s="1609" t="s">
        <v>1105</v>
      </c>
      <c r="D21" s="1481" t="s">
        <v>1711</v>
      </c>
    </row>
    <row r="22" spans="1:4">
      <c r="A22" s="1607" t="s">
        <v>1637</v>
      </c>
      <c r="B22" s="1609" t="str">
        <f>HLOOKUP(MTREF,Headings,15)</f>
        <v>Forecast 2020/21</v>
      </c>
      <c r="C22" s="1609" t="s">
        <v>1105</v>
      </c>
      <c r="D22" s="1481" t="s">
        <v>1712</v>
      </c>
    </row>
    <row r="23" spans="1:4">
      <c r="A23" s="1607" t="s">
        <v>1638</v>
      </c>
      <c r="B23" s="1609" t="str">
        <f>HLOOKUP(MTREF,Headings,16)</f>
        <v>Forecast 2021/22</v>
      </c>
      <c r="C23" s="1609" t="s">
        <v>1105</v>
      </c>
      <c r="D23" s="1481" t="s">
        <v>1713</v>
      </c>
    </row>
    <row r="24" spans="1:4">
      <c r="A24" s="1607" t="s">
        <v>1639</v>
      </c>
      <c r="B24" s="1609" t="str">
        <f>HLOOKUP(MTREF,Headings,17)</f>
        <v>Forecast 2022/23</v>
      </c>
      <c r="C24" s="1609" t="s">
        <v>1105</v>
      </c>
      <c r="D24" s="1481" t="s">
        <v>655</v>
      </c>
    </row>
    <row r="25" spans="1:4">
      <c r="A25" s="1607" t="s">
        <v>1640</v>
      </c>
      <c r="B25" s="1609" t="str">
        <f>HLOOKUP(MTREF,Headings,18)</f>
        <v>Forecast 2023/24</v>
      </c>
      <c r="C25" s="1609" t="s">
        <v>1105</v>
      </c>
      <c r="D25" s="1481" t="s">
        <v>656</v>
      </c>
    </row>
    <row r="26" spans="1:4">
      <c r="A26" s="1607" t="s">
        <v>1641</v>
      </c>
      <c r="B26" s="1609" t="str">
        <f>HLOOKUP(MTREF,Headings,19)</f>
        <v>Forecast 2024/25</v>
      </c>
      <c r="C26" s="1609" t="s">
        <v>1105</v>
      </c>
      <c r="D26" s="1481" t="s">
        <v>657</v>
      </c>
    </row>
    <row r="27" spans="1:4">
      <c r="A27" s="1607" t="s">
        <v>1642</v>
      </c>
      <c r="B27" s="1609" t="str">
        <f>HLOOKUP(MTREF,Headings,20)</f>
        <v>Forecast 2025/26</v>
      </c>
      <c r="C27" s="1609" t="s">
        <v>1105</v>
      </c>
      <c r="D27" s="1481" t="s">
        <v>658</v>
      </c>
    </row>
    <row r="28" spans="1:4">
      <c r="A28" s="1607" t="s">
        <v>1643</v>
      </c>
      <c r="B28" s="1609" t="str">
        <f>HLOOKUP(MTREF,Headings,21)</f>
        <v>Forecast 2026/27</v>
      </c>
      <c r="C28" s="1609" t="s">
        <v>1105</v>
      </c>
      <c r="D28" s="1481" t="s">
        <v>659</v>
      </c>
    </row>
    <row r="29" spans="1:4">
      <c r="A29" s="1607" t="s">
        <v>1644</v>
      </c>
      <c r="B29" s="1609" t="str">
        <f>HLOOKUP(MTREF,Headings,22)</f>
        <v>Forecast 2027/28</v>
      </c>
      <c r="C29" s="1609" t="s">
        <v>1105</v>
      </c>
      <c r="D29" s="1481" t="s">
        <v>660</v>
      </c>
    </row>
    <row r="30" spans="1:4">
      <c r="A30" s="1479" t="s">
        <v>1086</v>
      </c>
      <c r="B30" s="1480" t="s">
        <v>775</v>
      </c>
      <c r="C30" s="1392"/>
      <c r="D30" s="1394"/>
    </row>
    <row r="31" spans="1:4">
      <c r="A31" s="1479" t="s">
        <v>1026</v>
      </c>
      <c r="B31" s="1392"/>
      <c r="C31" s="1392"/>
      <c r="D31" s="1394"/>
    </row>
    <row r="32" spans="1:4">
      <c r="A32" s="1479" t="s">
        <v>808</v>
      </c>
      <c r="B32" s="1480" t="s">
        <v>809</v>
      </c>
      <c r="C32" s="1392"/>
      <c r="D32" s="1394"/>
    </row>
    <row r="33" spans="1:4">
      <c r="A33" s="1479" t="s">
        <v>810</v>
      </c>
      <c r="B33" s="1480" t="s">
        <v>428</v>
      </c>
      <c r="C33" s="1392"/>
      <c r="D33" s="1394"/>
    </row>
    <row r="34" spans="1:4">
      <c r="A34" s="1479" t="s">
        <v>983</v>
      </c>
      <c r="B34" s="1480" t="s">
        <v>984</v>
      </c>
      <c r="C34" s="1392"/>
      <c r="D34" s="1394"/>
    </row>
    <row r="35" spans="1:4">
      <c r="A35" s="1479" t="s">
        <v>925</v>
      </c>
      <c r="B35" s="1480" t="s">
        <v>897</v>
      </c>
      <c r="C35" s="1392"/>
      <c r="D35" s="1481" t="s">
        <v>926</v>
      </c>
    </row>
    <row r="36" spans="1:4">
      <c r="A36" s="1607" t="s">
        <v>1733</v>
      </c>
      <c r="B36" s="1609" t="str">
        <f>HLOOKUP(MTREF,Headings,23)</f>
        <v>Annual target 2013/14</v>
      </c>
      <c r="C36" s="1609"/>
      <c r="D36" s="1394"/>
    </row>
    <row r="37" spans="1:4">
      <c r="A37" s="1607" t="s">
        <v>1734</v>
      </c>
      <c r="B37" s="1609" t="str">
        <f>HLOOKUP(MTREF,Headings,24)</f>
        <v>Revised target 2013/14</v>
      </c>
      <c r="C37" s="1609"/>
      <c r="D37" s="1394"/>
    </row>
    <row r="38" spans="1:4">
      <c r="A38" s="1479" t="s">
        <v>1735</v>
      </c>
      <c r="B38" s="1480" t="s">
        <v>643</v>
      </c>
      <c r="C38" s="1392"/>
      <c r="D38" s="1394"/>
    </row>
    <row r="39" spans="1:4">
      <c r="A39" s="1479" t="s">
        <v>1736</v>
      </c>
      <c r="B39" s="1480" t="s">
        <v>644</v>
      </c>
      <c r="C39" s="1392"/>
      <c r="D39" s="1394"/>
    </row>
    <row r="40" spans="1:4">
      <c r="A40" s="1479" t="s">
        <v>1737</v>
      </c>
      <c r="B40" s="1480" t="s">
        <v>645</v>
      </c>
      <c r="C40" s="1392"/>
      <c r="D40" s="1394"/>
    </row>
    <row r="41" spans="1:4">
      <c r="A41" s="1479" t="s">
        <v>1738</v>
      </c>
      <c r="B41" s="1480" t="s">
        <v>641</v>
      </c>
      <c r="C41" s="1392"/>
      <c r="D41" s="1394"/>
    </row>
    <row r="42" spans="1:4">
      <c r="A42" s="1479" t="s">
        <v>642</v>
      </c>
      <c r="B42" s="1480" t="s">
        <v>1513</v>
      </c>
      <c r="C42" s="1392"/>
      <c r="D42" s="1394"/>
    </row>
    <row r="43" spans="1:4">
      <c r="A43" s="1479" t="s">
        <v>350</v>
      </c>
      <c r="B43" s="1480" t="s">
        <v>777</v>
      </c>
      <c r="C43" s="1392"/>
      <c r="D43" s="1394"/>
    </row>
    <row r="44" spans="1:4">
      <c r="A44" s="1479" t="s">
        <v>351</v>
      </c>
      <c r="B44" s="1480" t="s">
        <v>778</v>
      </c>
      <c r="C44" s="1392"/>
      <c r="D44" s="1394"/>
    </row>
    <row r="45" spans="1:4">
      <c r="A45" s="1479" t="s">
        <v>352</v>
      </c>
      <c r="B45" s="1480" t="s">
        <v>1299</v>
      </c>
      <c r="C45" s="1392"/>
      <c r="D45" s="1394"/>
    </row>
    <row r="46" spans="1:4">
      <c r="A46" s="1479" t="s">
        <v>1298</v>
      </c>
      <c r="B46" s="1480" t="s">
        <v>1352</v>
      </c>
      <c r="C46" s="1392"/>
      <c r="D46" s="1394"/>
    </row>
    <row r="47" spans="1:4">
      <c r="A47" s="1479" t="s">
        <v>1300</v>
      </c>
      <c r="B47" s="1482" t="s">
        <v>98</v>
      </c>
      <c r="C47" s="1392"/>
      <c r="D47" s="1394"/>
    </row>
    <row r="48" spans="1:4">
      <c r="A48" s="1479" t="s">
        <v>1301</v>
      </c>
      <c r="B48" s="1482" t="s">
        <v>100</v>
      </c>
      <c r="C48" s="1392"/>
      <c r="D48" s="1394"/>
    </row>
    <row r="49" spans="1:4">
      <c r="A49" s="1479" t="s">
        <v>1302</v>
      </c>
      <c r="B49" s="1482" t="s">
        <v>1210</v>
      </c>
      <c r="C49" s="1392"/>
      <c r="D49" s="1394"/>
    </row>
    <row r="50" spans="1:4">
      <c r="A50" s="1479" t="s">
        <v>99</v>
      </c>
      <c r="B50" s="1482" t="str">
        <f>Head3&amp;" Summary"</f>
        <v>2013/14 Medium Term Revenue &amp; Expenditure Framework Summary</v>
      </c>
      <c r="C50" s="1392"/>
      <c r="D50" s="1394"/>
    </row>
    <row r="51" spans="1:4">
      <c r="A51" s="1479" t="s">
        <v>647</v>
      </c>
      <c r="B51" s="1482" t="s">
        <v>650</v>
      </c>
      <c r="C51" s="1392"/>
      <c r="D51" s="1394"/>
    </row>
    <row r="52" spans="1:4">
      <c r="A52" s="1479" t="s">
        <v>648</v>
      </c>
      <c r="B52" s="1482" t="s">
        <v>649</v>
      </c>
      <c r="C52" s="1392"/>
      <c r="D52" s="1394"/>
    </row>
    <row r="53" spans="1:4">
      <c r="A53" s="1479" t="s">
        <v>1537</v>
      </c>
      <c r="B53" s="1483" t="s">
        <v>1538</v>
      </c>
      <c r="C53" s="1396"/>
      <c r="D53" s="1394"/>
    </row>
    <row r="54" spans="1:4">
      <c r="A54" s="1479" t="s">
        <v>978</v>
      </c>
      <c r="B54" s="1482" t="s">
        <v>1653</v>
      </c>
      <c r="C54" s="1392"/>
      <c r="D54" s="1394"/>
    </row>
    <row r="55" spans="1:4">
      <c r="A55" s="1479" t="s">
        <v>398</v>
      </c>
      <c r="B55" s="1482" t="s">
        <v>878</v>
      </c>
      <c r="C55" s="1392"/>
      <c r="D55" s="1394"/>
    </row>
    <row r="56" spans="1:4">
      <c r="A56" s="1479" t="s">
        <v>1359</v>
      </c>
      <c r="B56" s="1395"/>
      <c r="C56" s="1392"/>
      <c r="D56" s="1394"/>
    </row>
    <row r="57" spans="1:4">
      <c r="A57" s="1479" t="s">
        <v>1360</v>
      </c>
      <c r="B57" s="1482" t="s">
        <v>597</v>
      </c>
      <c r="C57" s="1392"/>
      <c r="D57" s="1394"/>
    </row>
    <row r="58" spans="1:4">
      <c r="A58" s="1479" t="s">
        <v>592</v>
      </c>
      <c r="B58" s="1482" t="s">
        <v>596</v>
      </c>
      <c r="C58" s="1392"/>
      <c r="D58" s="1394"/>
    </row>
    <row r="59" spans="1:4">
      <c r="A59" s="1479" t="s">
        <v>593</v>
      </c>
      <c r="B59" s="1482" t="s">
        <v>465</v>
      </c>
      <c r="C59" s="1392"/>
      <c r="D59" s="1394"/>
    </row>
    <row r="60" spans="1:4">
      <c r="A60" s="1479" t="s">
        <v>594</v>
      </c>
      <c r="B60" s="1482" t="s">
        <v>598</v>
      </c>
      <c r="C60" s="1392"/>
      <c r="D60" s="1394"/>
    </row>
    <row r="61" spans="1:4">
      <c r="A61" s="1479" t="s">
        <v>595</v>
      </c>
      <c r="B61" s="1482" t="s">
        <v>471</v>
      </c>
      <c r="C61" s="1392"/>
      <c r="D61" s="1394"/>
    </row>
    <row r="62" spans="1:4">
      <c r="A62" s="1479" t="s">
        <v>1500</v>
      </c>
      <c r="B62" s="1482" t="s">
        <v>464</v>
      </c>
      <c r="C62" s="1392"/>
      <c r="D62" s="1394"/>
    </row>
    <row r="63" spans="1:4">
      <c r="A63" s="1479" t="s">
        <v>1673</v>
      </c>
      <c r="B63" s="1482" t="s">
        <v>1674</v>
      </c>
      <c r="C63" s="1392"/>
      <c r="D63" s="1394"/>
    </row>
    <row r="64" spans="1:4">
      <c r="A64" s="1479" t="s">
        <v>485</v>
      </c>
      <c r="B64" s="1482" t="s">
        <v>483</v>
      </c>
      <c r="C64" s="1392"/>
      <c r="D64" s="1394"/>
    </row>
    <row r="65" spans="1:4">
      <c r="A65" s="1479" t="s">
        <v>486</v>
      </c>
      <c r="B65" s="1482" t="s">
        <v>484</v>
      </c>
      <c r="C65" s="1392"/>
      <c r="D65" s="1394"/>
    </row>
    <row r="66" spans="1:4">
      <c r="A66" s="1479" t="s">
        <v>487</v>
      </c>
      <c r="B66" s="1482" t="s">
        <v>489</v>
      </c>
      <c r="C66" s="1392"/>
      <c r="D66" s="1394"/>
    </row>
    <row r="67" spans="1:4">
      <c r="A67" s="1479" t="s">
        <v>488</v>
      </c>
      <c r="B67" s="1482" t="s">
        <v>803</v>
      </c>
      <c r="C67" s="1392"/>
      <c r="D67" s="1394"/>
    </row>
    <row r="68" spans="1:4">
      <c r="A68" s="1479" t="s">
        <v>804</v>
      </c>
      <c r="B68" s="1482" t="s">
        <v>934</v>
      </c>
      <c r="C68" s="1392"/>
      <c r="D68" s="1394"/>
    </row>
    <row r="69" spans="1:4">
      <c r="A69" s="1479" t="s">
        <v>805</v>
      </c>
      <c r="B69" s="1482" t="s">
        <v>1261</v>
      </c>
      <c r="C69" s="1392"/>
      <c r="D69" s="1394"/>
    </row>
    <row r="70" spans="1:4">
      <c r="A70" s="1479" t="s">
        <v>1477</v>
      </c>
      <c r="B70" s="1482" t="s">
        <v>1476</v>
      </c>
      <c r="C70" s="1392"/>
      <c r="D70" s="1394"/>
    </row>
    <row r="71" spans="1:4">
      <c r="A71" s="1479" t="s">
        <v>1478</v>
      </c>
      <c r="B71" s="1482" t="s">
        <v>1248</v>
      </c>
      <c r="C71" s="1392"/>
      <c r="D71" s="1481" t="s">
        <v>1742</v>
      </c>
    </row>
    <row r="72" spans="1:4">
      <c r="A72" s="1479" t="s">
        <v>1479</v>
      </c>
      <c r="B72" s="1482" t="s">
        <v>1249</v>
      </c>
      <c r="C72" s="1392"/>
      <c r="D72" s="1481" t="s">
        <v>1743</v>
      </c>
    </row>
    <row r="73" spans="1:4">
      <c r="A73" s="1479" t="s">
        <v>1480</v>
      </c>
      <c r="B73" s="1482" t="s">
        <v>1250</v>
      </c>
      <c r="C73" s="1392"/>
      <c r="D73" s="1481" t="s">
        <v>1744</v>
      </c>
    </row>
    <row r="74" spans="1:4">
      <c r="A74" s="1479" t="s">
        <v>1481</v>
      </c>
      <c r="B74" s="1482" t="s">
        <v>1251</v>
      </c>
      <c r="C74" s="1392"/>
      <c r="D74" s="1481" t="s">
        <v>1745</v>
      </c>
    </row>
    <row r="75" spans="1:4">
      <c r="A75" s="1479" t="s">
        <v>1482</v>
      </c>
      <c r="B75" s="1482" t="s">
        <v>1252</v>
      </c>
      <c r="C75" s="1392"/>
      <c r="D75" s="1481" t="s">
        <v>1746</v>
      </c>
    </row>
    <row r="76" spans="1:4">
      <c r="A76" s="1479" t="s">
        <v>1307</v>
      </c>
      <c r="B76" s="1482" t="s">
        <v>1253</v>
      </c>
      <c r="C76" s="1392"/>
      <c r="D76" s="1481" t="s">
        <v>1747</v>
      </c>
    </row>
    <row r="77" spans="1:4">
      <c r="A77" s="1479" t="s">
        <v>1308</v>
      </c>
      <c r="B77" s="1482" t="s">
        <v>1254</v>
      </c>
      <c r="C77" s="1392"/>
      <c r="D77" s="1481" t="s">
        <v>1748</v>
      </c>
    </row>
    <row r="78" spans="1:4">
      <c r="A78" s="1479" t="s">
        <v>1309</v>
      </c>
      <c r="B78" s="1482" t="s">
        <v>1255</v>
      </c>
      <c r="C78" s="1392"/>
      <c r="D78" s="1481" t="s">
        <v>1749</v>
      </c>
    </row>
    <row r="79" spans="1:4">
      <c r="A79" s="1479" t="s">
        <v>1310</v>
      </c>
      <c r="B79" s="1482" t="s">
        <v>1256</v>
      </c>
      <c r="C79" s="1392"/>
      <c r="D79" s="1481" t="s">
        <v>1750</v>
      </c>
    </row>
    <row r="80" spans="1:4">
      <c r="A80" s="1479" t="s">
        <v>1311</v>
      </c>
      <c r="B80" s="1482" t="s">
        <v>1054</v>
      </c>
      <c r="C80" s="1392"/>
      <c r="D80" s="1481" t="s">
        <v>1319</v>
      </c>
    </row>
    <row r="81" spans="1:4">
      <c r="A81" s="1479" t="s">
        <v>1312</v>
      </c>
      <c r="B81" s="1482" t="s">
        <v>1055</v>
      </c>
      <c r="C81" s="1392"/>
      <c r="D81" s="1481" t="s">
        <v>1320</v>
      </c>
    </row>
    <row r="82" spans="1:4">
      <c r="A82" s="1479" t="s">
        <v>1313</v>
      </c>
      <c r="B82" s="1482" t="s">
        <v>1056</v>
      </c>
      <c r="C82" s="1392"/>
      <c r="D82" s="1481" t="s">
        <v>1321</v>
      </c>
    </row>
    <row r="83" spans="1:4">
      <c r="A83" s="1479" t="s">
        <v>1314</v>
      </c>
      <c r="B83" s="1482" t="s">
        <v>1057</v>
      </c>
      <c r="C83" s="1392"/>
      <c r="D83" s="1481" t="s">
        <v>1322</v>
      </c>
    </row>
    <row r="84" spans="1:4">
      <c r="A84" s="1479" t="s">
        <v>1741</v>
      </c>
      <c r="B84" s="1482" t="s">
        <v>1818</v>
      </c>
      <c r="C84" s="1392"/>
      <c r="D84" s="1481" t="s">
        <v>1323</v>
      </c>
    </row>
    <row r="85" spans="1:4">
      <c r="A85" s="1397"/>
      <c r="B85" s="1398"/>
      <c r="C85" s="1399"/>
      <c r="D85" s="1400"/>
    </row>
    <row r="86" spans="1:4">
      <c r="A86" s="1401"/>
      <c r="B86" s="1399"/>
      <c r="C86" s="1392"/>
      <c r="D86" s="1402"/>
    </row>
    <row r="87" spans="1:4">
      <c r="A87" s="2736" t="s">
        <v>1097</v>
      </c>
      <c r="B87" s="2737"/>
      <c r="C87" s="1403"/>
    </row>
    <row r="88" spans="1:4">
      <c r="A88" s="1484" t="s">
        <v>495</v>
      </c>
      <c r="B88" s="1485" t="s">
        <v>496</v>
      </c>
      <c r="C88" s="1392"/>
    </row>
    <row r="89" spans="1:4">
      <c r="A89" s="1405"/>
      <c r="B89" s="1486" t="s">
        <v>720</v>
      </c>
      <c r="C89" s="1392"/>
    </row>
    <row r="90" spans="1:4">
      <c r="A90" s="1401"/>
      <c r="B90" s="1487" t="s">
        <v>721</v>
      </c>
      <c r="C90" s="1392"/>
    </row>
    <row r="92" spans="1:4">
      <c r="A92" s="2736" t="s">
        <v>433</v>
      </c>
      <c r="B92" s="2742"/>
      <c r="C92" s="2742"/>
      <c r="D92" s="2737"/>
    </row>
    <row r="93" spans="1:4">
      <c r="A93" s="1611" t="s">
        <v>806</v>
      </c>
      <c r="B93" s="1612" t="str">
        <f>'Lookup and lists'!B28</f>
        <v>NW373 Rustenburg</v>
      </c>
      <c r="C93" s="1613"/>
      <c r="D93" s="1390"/>
    </row>
    <row r="94" spans="1:4">
      <c r="A94" s="1611" t="s">
        <v>886</v>
      </c>
      <c r="B94" s="1614">
        <v>1</v>
      </c>
      <c r="C94" s="1613" t="s">
        <v>887</v>
      </c>
      <c r="D94" s="1488">
        <v>2</v>
      </c>
    </row>
    <row r="95" spans="1:4">
      <c r="A95" s="1489" t="str">
        <f>IF((MuniEntities=1)*(MuniType=2),"YES","NO")</f>
        <v>YES</v>
      </c>
      <c r="B95" s="1180" t="s">
        <v>1029</v>
      </c>
      <c r="D95" s="1390"/>
    </row>
    <row r="96" spans="1:4">
      <c r="A96" s="1488" t="s">
        <v>1672</v>
      </c>
      <c r="B96" s="1180" t="s">
        <v>1473</v>
      </c>
      <c r="D96" s="1488" t="s">
        <v>1528</v>
      </c>
    </row>
    <row r="97" spans="1:6">
      <c r="A97" s="1488" t="s">
        <v>1262</v>
      </c>
      <c r="B97" s="1180" t="s">
        <v>1474</v>
      </c>
      <c r="D97" s="1488" t="s">
        <v>1264</v>
      </c>
    </row>
    <row r="98" spans="1:6">
      <c r="A98" s="1488" t="s">
        <v>1263</v>
      </c>
      <c r="B98" s="1180" t="s">
        <v>1475</v>
      </c>
      <c r="D98" s="1488" t="s">
        <v>1265</v>
      </c>
    </row>
    <row r="99" spans="1:6">
      <c r="A99" s="2740" t="s">
        <v>1098</v>
      </c>
      <c r="B99" s="2741"/>
      <c r="C99" s="1490" t="s">
        <v>1357</v>
      </c>
      <c r="D99" s="1491" t="s">
        <v>1356</v>
      </c>
      <c r="E99" s="1490" t="s">
        <v>1329</v>
      </c>
      <c r="F99" s="1491" t="s">
        <v>1329</v>
      </c>
    </row>
    <row r="100" spans="1:6">
      <c r="A100" s="1405"/>
      <c r="B100" s="1492" t="str">
        <f t="shared" ref="B100:B109" si="0">IF(Consolques="YES",E100,F100)</f>
        <v>Table A1 Consolidated Budget Summary</v>
      </c>
      <c r="C100" s="1404"/>
      <c r="D100" s="1479" t="s">
        <v>1829</v>
      </c>
      <c r="E100" s="1180" t="str">
        <f>D100&amp;"Consolidated Budget Summary"</f>
        <v>Table A1 Consolidated Budget Summary</v>
      </c>
      <c r="F100" s="1180" t="str">
        <f>D100&amp;"Budget Summary"</f>
        <v>Table A1 Budget Summary</v>
      </c>
    </row>
    <row r="101" spans="1:6">
      <c r="A101" s="1405"/>
      <c r="B101" s="1492" t="str">
        <f t="shared" si="0"/>
        <v>Table A2 Consolidated Budgeted Financial Performance (revenue and expenditure by standard classification)</v>
      </c>
      <c r="C101" s="1486" t="s">
        <v>638</v>
      </c>
      <c r="D101" s="1479" t="s">
        <v>1830</v>
      </c>
      <c r="E101" s="1180" t="str">
        <f>D101&amp;"Consolidated Budgeted Financial Performance (revenue and expenditure by standard classification)"</f>
        <v>Table A2 Consolidated Budgeted Financial Performance (revenue and expenditure by standard classification)</v>
      </c>
      <c r="F101" s="1180" t="str">
        <f>D101&amp;"Budgeted Financial Performance (revenue and expenditure by standard classification)"</f>
        <v>Table A2 Budgeted Financial Performance (revenue and expenditure by standard classification)</v>
      </c>
    </row>
    <row r="102" spans="1:6">
      <c r="A102" s="1405"/>
      <c r="B102" s="1492" t="str">
        <f t="shared" si="0"/>
        <v>Table A3 Consolidated Budgeted Financial Performance (revenue and expenditure by municipal vote)</v>
      </c>
      <c r="C102" s="1393"/>
      <c r="D102" s="1479" t="s">
        <v>1831</v>
      </c>
      <c r="E102" s="1180" t="str">
        <f>D102&amp;"Consolidated Budgeted Financial Performance (revenue and expenditure by municipal vote)"</f>
        <v>Table A3 Consolidated Budgeted Financial Performance (revenue and expenditure by municipal vote)</v>
      </c>
      <c r="F102" s="1180" t="str">
        <f>D102&amp;"Budgeted Financial Performance (revenue and expenditure by municipal vote)"</f>
        <v>Table A3 Budgeted Financial Performance (revenue and expenditure by municipal vote)</v>
      </c>
    </row>
    <row r="103" spans="1:6">
      <c r="A103" s="1405"/>
      <c r="B103" s="1492" t="str">
        <f t="shared" si="0"/>
        <v>Table A4 Consolidated Budgeted Financial Performance (revenue and expenditure)</v>
      </c>
      <c r="C103" s="1486" t="s">
        <v>637</v>
      </c>
      <c r="D103" s="1479" t="s">
        <v>1832</v>
      </c>
      <c r="E103" s="1180" t="str">
        <f>D103&amp;"Consolidated Budgeted Financial Performance (revenue and expenditure)"</f>
        <v>Table A4 Consolidated Budgeted Financial Performance (revenue and expenditure)</v>
      </c>
      <c r="F103" s="1180" t="str">
        <f>D103&amp;"Budgeted Financial Performance (revenue and expenditure)"</f>
        <v>Table A4 Budgeted Financial Performance (revenue and expenditure)</v>
      </c>
    </row>
    <row r="104" spans="1:6">
      <c r="A104" s="1405"/>
      <c r="B104" s="1480" t="str">
        <f t="shared" si="0"/>
        <v>Table A5 Consolidated Budgeted Capital Expenditure by vote, standard classification and funding</v>
      </c>
      <c r="C104" s="1486" t="s">
        <v>640</v>
      </c>
      <c r="D104" s="1479" t="s">
        <v>1833</v>
      </c>
      <c r="E104" s="1180" t="str">
        <f>D104&amp;"Consolidated Budgeted Capital Expenditure by vote, standard classification and funding"</f>
        <v>Table A5 Consolidated Budgeted Capital Expenditure by vote, standard classification and funding</v>
      </c>
      <c r="F104" s="1180" t="str">
        <f>D104&amp;"Budgeted Capital Expenditure by vote, standard classification and funding"</f>
        <v>Table A5 Budgeted Capital Expenditure by vote, standard classification and funding</v>
      </c>
    </row>
    <row r="105" spans="1:6">
      <c r="A105" s="1405"/>
      <c r="B105" s="1480" t="str">
        <f t="shared" si="0"/>
        <v>Table A6 Consolidated Budgeted Financial Position</v>
      </c>
      <c r="C105" s="1393"/>
      <c r="D105" s="1479" t="s">
        <v>1834</v>
      </c>
      <c r="E105" s="1180" t="str">
        <f>D105&amp;"Consolidated Budgeted Financial Position"</f>
        <v>Table A6 Consolidated Budgeted Financial Position</v>
      </c>
      <c r="F105" s="1180" t="str">
        <f>D105&amp;"Budgeted Financial Position"</f>
        <v>Table A6 Budgeted Financial Position</v>
      </c>
    </row>
    <row r="106" spans="1:6">
      <c r="A106" s="1405"/>
      <c r="B106" s="1480" t="str">
        <f t="shared" si="0"/>
        <v>Table A7 Consolidated Budgeted Cash Flows</v>
      </c>
      <c r="C106" s="1393"/>
      <c r="D106" s="1479" t="s">
        <v>1835</v>
      </c>
      <c r="E106" s="1180" t="str">
        <f>D106&amp;"Consolidated Budgeted Cash Flows"</f>
        <v>Table A7 Consolidated Budgeted Cash Flows</v>
      </c>
      <c r="F106" s="1180" t="str">
        <f>D106&amp;"Budgeted Cash Flows"</f>
        <v>Table A7 Budgeted Cash Flows</v>
      </c>
    </row>
    <row r="107" spans="1:6">
      <c r="A107" s="1405"/>
      <c r="B107" s="1480" t="str">
        <f t="shared" si="0"/>
        <v>Table A8 Consolidated Cash backed reserves/accumulated surplus reconciliation</v>
      </c>
      <c r="C107" s="1393"/>
      <c r="D107" s="1479" t="s">
        <v>1836</v>
      </c>
      <c r="E107" s="1493" t="str">
        <f>D107&amp;"Consolidated Cash backed reserves/accumulated surplus reconciliation"</f>
        <v>Table A8 Consolidated Cash backed reserves/accumulated surplus reconciliation</v>
      </c>
      <c r="F107" s="1493" t="str">
        <f>D107&amp;"Cash backed reserves/accumulated surplus reconciliation"</f>
        <v>Table A8 Cash backed reserves/accumulated surplus reconciliation</v>
      </c>
    </row>
    <row r="108" spans="1:6">
      <c r="A108" s="1405"/>
      <c r="B108" s="1480" t="str">
        <f t="shared" si="0"/>
        <v>Table A9 Consolidated Asset Management</v>
      </c>
      <c r="C108" s="1393"/>
      <c r="D108" s="1479" t="s">
        <v>1837</v>
      </c>
      <c r="E108" s="1180" t="str">
        <f>D108&amp;"Consolidated Asset Management"</f>
        <v>Table A9 Consolidated Asset Management</v>
      </c>
      <c r="F108" s="1180" t="str">
        <f>D108&amp;"Asset Management"</f>
        <v>Table A9 Asset Management</v>
      </c>
    </row>
    <row r="109" spans="1:6">
      <c r="A109" s="1405"/>
      <c r="B109" s="1494" t="str">
        <f t="shared" si="0"/>
        <v>Table A10 Consolidated basic service delivery measurement</v>
      </c>
      <c r="C109" s="1406"/>
      <c r="D109" s="1495" t="s">
        <v>1838</v>
      </c>
      <c r="E109" s="1180" t="str">
        <f>D109&amp;"Consolidated basic service delivery measurement"</f>
        <v>Table A10 Consolidated basic service delivery measurement</v>
      </c>
      <c r="F109" s="1180" t="str">
        <f>D109&amp;"Basic service delivery measurement"</f>
        <v>Table A10 Basic service delivery measurement</v>
      </c>
    </row>
    <row r="110" spans="1:6">
      <c r="A110" s="2738" t="s">
        <v>1378</v>
      </c>
      <c r="B110" s="2739"/>
      <c r="C110" s="1496" t="str">
        <f>$C$99</f>
        <v>Chart x-ref</v>
      </c>
      <c r="D110" s="1496" t="str">
        <f>$D$99</f>
        <v>Sch/Tab/Ch</v>
      </c>
    </row>
    <row r="111" spans="1:6">
      <c r="A111" s="1497" t="s">
        <v>1379</v>
      </c>
      <c r="B111" s="1498" t="str">
        <f>A111&amp;" Supportinging detail to 'Budgeted Financial Performance'"</f>
        <v>Supporting Table SA1 Supportinging detail to 'Budgeted Financial Performance'</v>
      </c>
      <c r="C111" s="1407"/>
      <c r="D111" s="1407"/>
      <c r="E111" s="1392"/>
      <c r="F111" s="1392"/>
    </row>
    <row r="112" spans="1:6">
      <c r="A112" s="1479" t="s">
        <v>1380</v>
      </c>
      <c r="B112" s="1480" t="str">
        <f>IF(Consolques="YES",E112,F112)</f>
        <v>Supporting Table SA2 Consolidated Matrix Financial Performance Budget (revenue source/expenditure type &amp; dept.)</v>
      </c>
      <c r="C112" s="1394"/>
      <c r="D112" s="1394"/>
      <c r="E112" s="1480" t="str">
        <f>A112&amp;"Consolidated Matrix Financial Performance Budget (revenue source/expenditure type &amp; dept.)"</f>
        <v>Supporting Table SA2 Consolidated Matrix Financial Performance Budget (revenue source/expenditure type &amp; dept.)</v>
      </c>
      <c r="F112" s="1480" t="str">
        <f>A112&amp;"Matrix Financial Performance Budget (revenue source/expenditure type and dept.)"</f>
        <v>Supporting Table SA2 Matrix Financial Performance Budget (revenue source/expenditure type and dept.)</v>
      </c>
    </row>
    <row r="113" spans="1:6">
      <c r="A113" s="1479" t="s">
        <v>1381</v>
      </c>
      <c r="B113" s="1480" t="str">
        <f>A113&amp;"Supportinging detail to 'Budgeted Financial Position'"</f>
        <v>Supporting Table SA3 Supportinging detail to 'Budgeted Financial Position'</v>
      </c>
      <c r="C113" s="1394"/>
      <c r="D113" s="1394"/>
      <c r="E113" s="1392"/>
      <c r="F113" s="1392"/>
    </row>
    <row r="114" spans="1:6">
      <c r="A114" s="1479" t="s">
        <v>1382</v>
      </c>
      <c r="B114" s="1480" t="str">
        <f>A114&amp;"Reconciliation of IDP strategic objectives and budget (revenue)"</f>
        <v>Supporting Table SA4 Reconciliation of IDP strategic objectives and budget (revenue)</v>
      </c>
      <c r="C114" s="1481" t="s">
        <v>1341</v>
      </c>
      <c r="D114" s="1394"/>
      <c r="E114" s="1392"/>
      <c r="F114" s="1392"/>
    </row>
    <row r="115" spans="1:6">
      <c r="A115" s="1479" t="s">
        <v>41</v>
      </c>
      <c r="B115" s="1480" t="str">
        <f>A115&amp;"Reconciliation of IDP strategic objectives and budget (operating expenditure)"</f>
        <v>Supporting Table SA5 Reconciliation of IDP strategic objectives and budget (operating expenditure)</v>
      </c>
      <c r="C115" s="1481" t="s">
        <v>1342</v>
      </c>
      <c r="D115" s="1394"/>
      <c r="E115" s="1392"/>
      <c r="F115" s="1392"/>
    </row>
    <row r="116" spans="1:6">
      <c r="A116" s="1479" t="s">
        <v>42</v>
      </c>
      <c r="B116" s="1480" t="str">
        <f>A116&amp;"Reconciliation of IDP strategic objectives and budget (capital expenditure)"</f>
        <v>Supporting Table SA6 Reconciliation of IDP strategic objectives and budget (capital expenditure)</v>
      </c>
      <c r="C116" s="1481" t="s">
        <v>1343</v>
      </c>
      <c r="D116" s="1394"/>
      <c r="E116" s="1392"/>
      <c r="F116" s="1392"/>
    </row>
    <row r="117" spans="1:6">
      <c r="A117" s="1479" t="s">
        <v>43</v>
      </c>
      <c r="B117" s="1480" t="str">
        <f>A117&amp;" Measureable performance objectives"</f>
        <v>Supporting Table SA7 Measureable performance objectives</v>
      </c>
      <c r="C117" s="1394"/>
      <c r="D117" s="1394"/>
      <c r="E117" s="1392"/>
      <c r="F117" s="1392"/>
    </row>
    <row r="118" spans="1:6">
      <c r="A118" s="1479" t="s">
        <v>44</v>
      </c>
      <c r="B118" s="1480" t="str">
        <f>A118&amp;" Performance indicators and benchmarks"</f>
        <v>Supporting Table SA8 Performance indicators and benchmarks</v>
      </c>
      <c r="C118" s="1481" t="s">
        <v>639</v>
      </c>
      <c r="D118" s="1394"/>
      <c r="E118" s="1392"/>
      <c r="F118" s="1392"/>
    </row>
    <row r="119" spans="1:6">
      <c r="A119" s="1479" t="s">
        <v>45</v>
      </c>
      <c r="B119" s="1480" t="str">
        <f>A119&amp;" Social, economic and demographic statistics and assumptions"</f>
        <v>Supporting Table SA9 Social, economic and demographic statistics and assumptions</v>
      </c>
      <c r="C119" s="1394"/>
      <c r="D119" s="1394"/>
      <c r="E119" s="1392"/>
      <c r="F119" s="1392"/>
    </row>
    <row r="120" spans="1:6">
      <c r="A120" s="1479" t="s">
        <v>994</v>
      </c>
      <c r="B120" s="1480" t="str">
        <f>A120&amp;" Funding measurement"</f>
        <v>Supporting Table SA10 Funding measurement</v>
      </c>
      <c r="C120" s="1481" t="s">
        <v>1344</v>
      </c>
      <c r="D120" s="1394"/>
      <c r="E120" s="1392"/>
      <c r="F120" s="1392"/>
    </row>
    <row r="121" spans="1:6">
      <c r="A121" s="1479" t="s">
        <v>995</v>
      </c>
      <c r="B121" s="1492" t="str">
        <f>A121&amp;" Property rates summary"</f>
        <v>Supporting Table SA11 Property rates summary</v>
      </c>
      <c r="C121" s="1394"/>
      <c r="D121" s="1394"/>
      <c r="E121" s="1392"/>
      <c r="F121" s="1392"/>
    </row>
    <row r="122" spans="1:6">
      <c r="A122" s="1479" t="s">
        <v>2055</v>
      </c>
      <c r="B122" s="1492" t="str">
        <f>A122&amp;" Property rates by category (current year)"</f>
        <v>Supporting Table SA12a Property rates by category (current year)</v>
      </c>
      <c r="C122" s="1394"/>
      <c r="D122" s="1394"/>
      <c r="E122" s="1392"/>
      <c r="F122" s="1392"/>
    </row>
    <row r="123" spans="1:6">
      <c r="A123" s="1479" t="s">
        <v>2056</v>
      </c>
      <c r="B123" s="1492" t="str">
        <f>A123&amp;" Property rates by category (budget year)"</f>
        <v>Supporting Table SA12b Property rates by category (budget year)</v>
      </c>
      <c r="C123" s="1394"/>
      <c r="D123" s="1394"/>
      <c r="E123" s="1392"/>
      <c r="F123" s="1392"/>
    </row>
    <row r="124" spans="1:6">
      <c r="A124" s="1479" t="s">
        <v>996</v>
      </c>
      <c r="B124" s="1492" t="str">
        <f>A124&amp;" Service Tariffs by category"</f>
        <v>Supporting Table SA13 Service Tariffs by category</v>
      </c>
      <c r="C124" s="1394"/>
      <c r="D124" s="1394"/>
      <c r="E124" s="1392"/>
      <c r="F124" s="1392"/>
    </row>
    <row r="125" spans="1:6">
      <c r="A125" s="1479" t="s">
        <v>997</v>
      </c>
      <c r="B125" s="1492" t="str">
        <f>A125&amp;" Household bills"</f>
        <v>Supporting Table SA14 Household bills</v>
      </c>
      <c r="C125" s="1394"/>
      <c r="D125" s="1394"/>
      <c r="E125" s="1392"/>
      <c r="F125" s="1392"/>
    </row>
    <row r="126" spans="1:6">
      <c r="A126" s="1479" t="s">
        <v>998</v>
      </c>
      <c r="B126" s="1480" t="str">
        <f>A126&amp;" Investment particulars by type"</f>
        <v>Supporting Table SA15 Investment particulars by type</v>
      </c>
      <c r="C126" s="1394"/>
      <c r="D126" s="1394"/>
      <c r="E126" s="1392"/>
      <c r="F126" s="1392"/>
    </row>
    <row r="127" spans="1:6">
      <c r="A127" s="1479" t="s">
        <v>999</v>
      </c>
      <c r="B127" s="1480" t="str">
        <f>A127&amp;" Investment particulars by maturity"</f>
        <v>Supporting Table SA16 Investment particulars by maturity</v>
      </c>
      <c r="C127" s="1394"/>
      <c r="D127" s="1394"/>
      <c r="E127" s="1392"/>
      <c r="F127" s="1392"/>
    </row>
    <row r="128" spans="1:6">
      <c r="A128" s="1479" t="s">
        <v>1000</v>
      </c>
      <c r="B128" s="1480" t="str">
        <f>A128&amp;" Borrowing"</f>
        <v>Supporting Table SA17 Borrowing</v>
      </c>
      <c r="C128" s="1394"/>
      <c r="D128" s="1408"/>
      <c r="E128" s="1392"/>
      <c r="F128" s="1392"/>
    </row>
    <row r="129" spans="1:6">
      <c r="A129" s="1479" t="s">
        <v>1001</v>
      </c>
      <c r="B129" s="1480" t="str">
        <f>A129&amp;" Transfers and grant receipts"</f>
        <v>Supporting Table SA18 Transfers and grant receipts</v>
      </c>
      <c r="C129" s="1394"/>
      <c r="D129" s="1394"/>
      <c r="E129" s="1392"/>
      <c r="F129" s="1392"/>
    </row>
    <row r="130" spans="1:6">
      <c r="A130" s="1479" t="s">
        <v>1002</v>
      </c>
      <c r="B130" s="1480" t="str">
        <f>A130&amp;" Expenditure on transfers and grant programme"</f>
        <v>Supporting Table SA19 Expenditure on transfers and grant programme</v>
      </c>
      <c r="C130" s="1394"/>
      <c r="D130" s="1394"/>
      <c r="E130" s="1392"/>
      <c r="F130" s="1392"/>
    </row>
    <row r="131" spans="1:6">
      <c r="A131" s="1479" t="s">
        <v>1003</v>
      </c>
      <c r="B131" s="1480" t="str">
        <f>A131&amp;" Reconciliation of transfers, grant receipts and unspent funds"</f>
        <v>Supporting Table SA20 Reconciliation of transfers, grant receipts and unspent funds</v>
      </c>
      <c r="C131" s="1394"/>
      <c r="D131" s="1394"/>
      <c r="E131" s="1392"/>
      <c r="F131" s="1392"/>
    </row>
    <row r="132" spans="1:6">
      <c r="A132" s="1479" t="s">
        <v>1004</v>
      </c>
      <c r="B132" s="1480" t="str">
        <f>A132&amp;" Transfers and grants made by the municipality"</f>
        <v>Supporting Table SA21 Transfers and grants made by the municipality</v>
      </c>
      <c r="C132" s="1394"/>
      <c r="D132" s="1394"/>
      <c r="E132" s="1392"/>
      <c r="F132" s="1392"/>
    </row>
    <row r="133" spans="1:6">
      <c r="A133" s="1479" t="s">
        <v>1005</v>
      </c>
      <c r="B133" s="1480" t="str">
        <f>A133&amp;" Summary councillor and staff benefits"</f>
        <v>Supporting Table SA22 Summary councillor and staff benefits</v>
      </c>
      <c r="C133" s="1394"/>
      <c r="D133" s="1408"/>
      <c r="E133" s="1392"/>
      <c r="F133" s="1392"/>
    </row>
    <row r="134" spans="1:6">
      <c r="A134" s="1479" t="s">
        <v>1006</v>
      </c>
      <c r="B134" s="1480" t="str">
        <f>A134&amp;" Salaries, allowances &amp; benefits (political office bearers/councillors/senior managers)"</f>
        <v>Supporting Table SA23 Salaries, allowances &amp; benefits (political office bearers/councillors/senior managers)</v>
      </c>
      <c r="C134" s="1394"/>
      <c r="D134" s="1408"/>
      <c r="E134" s="1392"/>
      <c r="F134" s="1392"/>
    </row>
    <row r="135" spans="1:6">
      <c r="A135" s="1479" t="s">
        <v>1007</v>
      </c>
      <c r="B135" s="1480" t="str">
        <f>A135&amp;" Summary of personnel numbers"</f>
        <v>Supporting Table SA24 Summary of personnel numbers</v>
      </c>
      <c r="C135" s="1394"/>
      <c r="D135" s="1394"/>
      <c r="E135" s="1392"/>
      <c r="F135" s="1392"/>
    </row>
    <row r="136" spans="1:6">
      <c r="A136" s="1479" t="s">
        <v>1008</v>
      </c>
      <c r="B136" s="1492" t="str">
        <f t="shared" ref="B136:B142" si="1">IF(Consolques="YES",E136,F136)</f>
        <v>Supporting Table SA25 Consolidated budgeted monthly revenue and expenditure</v>
      </c>
      <c r="C136" s="1394"/>
      <c r="D136" s="1394"/>
      <c r="E136" s="1480" t="str">
        <f>A136&amp;" Consolidated budgeted monthly revenue and expenditure"</f>
        <v>Supporting Table SA25 Consolidated budgeted monthly revenue and expenditure</v>
      </c>
      <c r="F136" s="1480" t="str">
        <f>A136&amp;" Budgeted monthly revenue and expenditure"</f>
        <v>Supporting Table SA25 Budgeted monthly revenue and expenditure</v>
      </c>
    </row>
    <row r="137" spans="1:6">
      <c r="A137" s="1479" t="s">
        <v>1009</v>
      </c>
      <c r="B137" s="1492" t="str">
        <f t="shared" si="1"/>
        <v>Supporting Table SA26 Consolidated budgeted monthly revenue and expenditure (municipal vote)</v>
      </c>
      <c r="C137" s="1394"/>
      <c r="D137" s="1394"/>
      <c r="E137" s="1480" t="str">
        <f>A137&amp;" Consolidated budgeted monthly revenue and expenditure (municipal vote)"</f>
        <v>Supporting Table SA26 Consolidated budgeted monthly revenue and expenditure (municipal vote)</v>
      </c>
      <c r="F137" s="1480" t="str">
        <f>A137&amp;" Budgeted monthly revenue and expenditure (municipal vote)"</f>
        <v>Supporting Table SA26 Budgeted monthly revenue and expenditure (municipal vote)</v>
      </c>
    </row>
    <row r="138" spans="1:6">
      <c r="A138" s="1479" t="s">
        <v>1010</v>
      </c>
      <c r="B138" s="1492" t="str">
        <f t="shared" si="1"/>
        <v>Supporting Table SA27 Consolidated budgeted monthly revenue and expenditure (standard classification)</v>
      </c>
      <c r="C138" s="1394"/>
      <c r="D138" s="1394"/>
      <c r="E138" s="1480" t="str">
        <f>A138&amp;" Consolidated budgeted monthly revenue and expenditure (standard classification)"</f>
        <v>Supporting Table SA27 Consolidated budgeted monthly revenue and expenditure (standard classification)</v>
      </c>
      <c r="F138" s="1480" t="str">
        <f>A138&amp;" Budgeted monthly revenue and expenditure (standard classification)"</f>
        <v>Supporting Table SA27 Budgeted monthly revenue and expenditure (standard classification)</v>
      </c>
    </row>
    <row r="139" spans="1:6">
      <c r="A139" s="1479" t="s">
        <v>1011</v>
      </c>
      <c r="B139" s="1492" t="str">
        <f t="shared" si="1"/>
        <v>Supporting Table SA28 Consolidated budgeted monthly capital expenditure (municipal vote)</v>
      </c>
      <c r="C139" s="1394"/>
      <c r="D139" s="1394"/>
      <c r="E139" s="1480" t="str">
        <f>A139&amp;" Consolidated budgeted monthly capital expenditure (municipal vote)"</f>
        <v>Supporting Table SA28 Consolidated budgeted monthly capital expenditure (municipal vote)</v>
      </c>
      <c r="F139" s="1480" t="str">
        <f>A139&amp;" Budgeted monthly capital expenditure (municipal vote)"</f>
        <v>Supporting Table SA28 Budgeted monthly capital expenditure (municipal vote)</v>
      </c>
    </row>
    <row r="140" spans="1:6">
      <c r="A140" s="1479" t="s">
        <v>1012</v>
      </c>
      <c r="B140" s="1492" t="str">
        <f t="shared" si="1"/>
        <v>Supporting Table SA29 Consolidated budgeted monthly capital expenditure (standard classification)</v>
      </c>
      <c r="C140" s="1394"/>
      <c r="D140" s="1394"/>
      <c r="E140" s="1480" t="str">
        <f>A140&amp;" Consolidated budgeted monthly capital expenditure (standard classification)"</f>
        <v>Supporting Table SA29 Consolidated budgeted monthly capital expenditure (standard classification)</v>
      </c>
      <c r="F140" s="1480" t="str">
        <f>A140&amp;" Budgeted monthly capital expenditure (standard classification)"</f>
        <v>Supporting Table SA29 Budgeted monthly capital expenditure (standard classification)</v>
      </c>
    </row>
    <row r="141" spans="1:6">
      <c r="A141" s="1479" t="s">
        <v>1013</v>
      </c>
      <c r="B141" s="1492" t="str">
        <f t="shared" si="1"/>
        <v>Supporting Table SA30 Consolidated budgeted monthly cash flow</v>
      </c>
      <c r="C141" s="1394"/>
      <c r="D141" s="1394"/>
      <c r="E141" s="1480" t="str">
        <f>A141&amp;" Consolidated budgeted monthly cash flow"</f>
        <v>Supporting Table SA30 Consolidated budgeted monthly cash flow</v>
      </c>
      <c r="F141" s="1480" t="str">
        <f>A141&amp;" Budgeted monthly cash flow"</f>
        <v>Supporting Table SA30 Budgeted monthly cash flow</v>
      </c>
    </row>
    <row r="142" spans="1:6">
      <c r="A142" s="1479" t="s">
        <v>1014</v>
      </c>
      <c r="B142" s="1480" t="str">
        <f t="shared" si="1"/>
        <v>Supporting Table SA31 Aggregated entity budget</v>
      </c>
      <c r="C142" s="1394"/>
      <c r="D142" s="1394"/>
      <c r="E142" s="1480" t="str">
        <f>A142&amp;" Aggregated entity budget"</f>
        <v>Supporting Table SA31 Aggregated entity budget</v>
      </c>
      <c r="F142" s="1480" t="s">
        <v>1030</v>
      </c>
    </row>
    <row r="143" spans="1:6">
      <c r="A143" s="1479" t="s">
        <v>1015</v>
      </c>
      <c r="B143" s="1480" t="str">
        <f>A143&amp;" List of external mechanisms"</f>
        <v>Supporting Table SA32 List of external mechanisms</v>
      </c>
      <c r="C143" s="1394"/>
      <c r="D143" s="1394"/>
      <c r="E143" s="1392"/>
      <c r="F143" s="1392"/>
    </row>
    <row r="144" spans="1:6">
      <c r="A144" s="1479" t="s">
        <v>1016</v>
      </c>
      <c r="B144" s="1480" t="str">
        <f>A144&amp;" Contracts having future budgetary implications"</f>
        <v>Supporting Table SA33 Contracts having future budgetary implications</v>
      </c>
      <c r="C144" s="1394"/>
      <c r="D144" s="1394"/>
      <c r="E144" s="1392"/>
      <c r="F144" s="1392"/>
    </row>
    <row r="145" spans="1:6">
      <c r="A145" s="1479" t="s">
        <v>1665</v>
      </c>
      <c r="B145" s="1480" t="str">
        <f t="shared" ref="B145:B151" si="2">IF(Consolques="YES",E145,F145)</f>
        <v>Supporting Table SA34a Consolidated capital expenditure on new assets by asset class</v>
      </c>
      <c r="C145" s="1394"/>
      <c r="D145" s="1394"/>
      <c r="E145" s="1480" t="str">
        <f>A145&amp;" Consolidated capital expenditure on new assets by asset class"</f>
        <v>Supporting Table SA34a Consolidated capital expenditure on new assets by asset class</v>
      </c>
      <c r="F145" s="1480" t="str">
        <f>A145&amp;" Capital expenditure on new assets by asset class"</f>
        <v>Supporting Table SA34a Capital expenditure on new assets by asset class</v>
      </c>
    </row>
    <row r="146" spans="1:6">
      <c r="A146" s="1479" t="s">
        <v>1666</v>
      </c>
      <c r="B146" s="1480" t="str">
        <f t="shared" si="2"/>
        <v>Supporting Table SA34b Consolidated capital expenditure on existing assets by asset class</v>
      </c>
      <c r="C146" s="1394"/>
      <c r="D146" s="1394"/>
      <c r="E146" s="1480" t="str">
        <f>A146&amp;" Consolidated capital expenditure on existing assets by asset class"</f>
        <v>Supporting Table SA34b Consolidated capital expenditure on existing assets by asset class</v>
      </c>
      <c r="F146" s="1480" t="str">
        <f>A146&amp;" Capital expenditure on the renewal of existing assets by asset class"</f>
        <v>Supporting Table SA34b Capital expenditure on the renewal of existing assets by asset class</v>
      </c>
    </row>
    <row r="147" spans="1:6">
      <c r="A147" s="1479" t="s">
        <v>1667</v>
      </c>
      <c r="B147" s="1480" t="str">
        <f t="shared" si="2"/>
        <v>Supporting Table SA34c Consolidated repairs and maintenance by asset class</v>
      </c>
      <c r="C147" s="1394"/>
      <c r="D147" s="1394"/>
      <c r="E147" s="1480" t="str">
        <f>A147&amp;" Consolidated repairs and maintenance by asset class"</f>
        <v>Supporting Table SA34c Consolidated repairs and maintenance by asset class</v>
      </c>
      <c r="F147" s="1480" t="str">
        <f>A147&amp;" Repairs and maintenance expenditure by asset class"</f>
        <v>Supporting Table SA34c Repairs and maintenance expenditure by asset class</v>
      </c>
    </row>
    <row r="148" spans="1:6">
      <c r="A148" s="1479" t="s">
        <v>2052</v>
      </c>
      <c r="B148" s="1480" t="str">
        <f>IF(Consolques="YES",E148,F148)</f>
        <v>Supporting Table SA34d Consolidated Depreciation by asset class</v>
      </c>
      <c r="C148" s="1394"/>
      <c r="D148" s="1394"/>
      <c r="E148" s="1480" t="str">
        <f>A148&amp;" Consolidated Depreciation by asset class"</f>
        <v>Supporting Table SA34d Consolidated Depreciation by asset class</v>
      </c>
      <c r="F148" s="1480" t="str">
        <f>A148&amp;" Depreciation by asset class"</f>
        <v>Supporting Table SA34d Depreciation by asset class</v>
      </c>
    </row>
    <row r="149" spans="1:6">
      <c r="A149" s="1479" t="s">
        <v>1017</v>
      </c>
      <c r="B149" s="1480" t="str">
        <f t="shared" si="2"/>
        <v>Supporting Table SA35 Consolidated future financial implications of the capital budget</v>
      </c>
      <c r="C149" s="1394"/>
      <c r="D149" s="1394"/>
      <c r="E149" s="1480" t="str">
        <f>A149&amp;" Consolidated future financial implications of the capital budget"</f>
        <v>Supporting Table SA35 Consolidated future financial implications of the capital budget</v>
      </c>
      <c r="F149" s="1480" t="str">
        <f>A149&amp; " Future financial implications of the capital budget"</f>
        <v>Supporting Table SA35 Future financial implications of the capital budget</v>
      </c>
    </row>
    <row r="150" spans="1:6">
      <c r="A150" s="1479" t="s">
        <v>1018</v>
      </c>
      <c r="B150" s="1480" t="str">
        <f t="shared" si="2"/>
        <v>Supporting Table SA36 Consolidated detailed capital budget</v>
      </c>
      <c r="C150" s="1394"/>
      <c r="D150" s="1394"/>
      <c r="E150" s="1480" t="str">
        <f>A150&amp;" Consolidated detailed capital budget"</f>
        <v>Supporting Table SA36 Consolidated detailed capital budget</v>
      </c>
      <c r="F150" s="1480" t="str">
        <f>A150&amp; " Detailed capital budget"</f>
        <v>Supporting Table SA36 Detailed capital budget</v>
      </c>
    </row>
    <row r="151" spans="1:6">
      <c r="A151" s="1479" t="s">
        <v>1019</v>
      </c>
      <c r="B151" s="1494" t="str">
        <f t="shared" si="2"/>
        <v>Supporting Table SA37 Consolidated projects delayed from previous financial year/s</v>
      </c>
      <c r="C151" s="1400"/>
      <c r="D151" s="1391"/>
      <c r="E151" s="1480" t="str">
        <f>A151&amp;" Consolidated projects delayed from previous financial year/s"</f>
        <v>Supporting Table SA37 Consolidated projects delayed from previous financial year/s</v>
      </c>
      <c r="F151" s="1480" t="str">
        <f>A151&amp; " Projects delayed from previous financial year/s"</f>
        <v>Supporting Table SA37 Projects delayed from previous financial year/s</v>
      </c>
    </row>
    <row r="152" spans="1:6">
      <c r="A152" s="1502"/>
      <c r="B152" s="1494"/>
      <c r="C152" s="1400"/>
      <c r="D152" s="1391"/>
      <c r="E152" s="1480"/>
      <c r="F152" s="1480"/>
    </row>
    <row r="153" spans="1:6">
      <c r="A153" s="1499" t="s">
        <v>1075</v>
      </c>
      <c r="B153" s="1500" t="s">
        <v>1358</v>
      </c>
      <c r="C153" s="1501" t="s">
        <v>1100</v>
      </c>
      <c r="D153" s="1397"/>
    </row>
    <row r="154" spans="1:6">
      <c r="A154" s="1502" t="s">
        <v>1841</v>
      </c>
      <c r="B154" s="1503" t="str">
        <f>A154&amp;"Revenue by Municipal Vote"</f>
        <v>Chart A1 Revenue by Municipal Vote</v>
      </c>
      <c r="C154" s="1407"/>
      <c r="D154" s="1409"/>
    </row>
    <row r="155" spans="1:6">
      <c r="A155" s="1502" t="s">
        <v>1842</v>
      </c>
      <c r="B155" s="1504" t="str">
        <f>A155&amp;"Expenditure by Municipal Vote"</f>
        <v>Chart A2 Expenditure by Municipal Vote</v>
      </c>
      <c r="C155" s="1394"/>
      <c r="D155" s="1402"/>
    </row>
    <row r="156" spans="1:6">
      <c r="A156" s="1502" t="s">
        <v>1843</v>
      </c>
      <c r="B156" s="1504" t="str">
        <f>A156&amp;"Revenue by Standard Classification"</f>
        <v>Chart A3 Revenue by Standard Classification</v>
      </c>
      <c r="C156" s="1481" t="s">
        <v>1099</v>
      </c>
      <c r="D156" s="1392"/>
    </row>
    <row r="157" spans="1:6">
      <c r="A157" s="1502" t="s">
        <v>1844</v>
      </c>
      <c r="B157" s="1504" t="str">
        <f>A157&amp;"Expenditure by Standard Classification"</f>
        <v>Chart A4 Expenditure by Standard Classification</v>
      </c>
      <c r="C157" s="1481" t="s">
        <v>1099</v>
      </c>
      <c r="D157" s="1392"/>
    </row>
    <row r="158" spans="1:6">
      <c r="A158" s="1502" t="s">
        <v>1845</v>
      </c>
      <c r="B158" s="1504" t="str">
        <f>A158&amp;"Revenue by Major Source (refer 'Minor' source for 'Other Revenue' allocation"</f>
        <v>Chart A5 Revenue by Major Source (refer 'Minor' source for 'Other Revenue' allocation</v>
      </c>
      <c r="C158" s="1481" t="s">
        <v>1101</v>
      </c>
      <c r="D158" s="1392"/>
    </row>
    <row r="159" spans="1:6">
      <c r="A159" s="1502" t="s">
        <v>1846</v>
      </c>
      <c r="B159" s="1504" t="str">
        <f>A159&amp;"Revenue by Minor Source (Other)"</f>
        <v>Chart A6 Revenue by Minor Source (Other)</v>
      </c>
      <c r="C159" s="1481" t="s">
        <v>1101</v>
      </c>
      <c r="D159" s="1392"/>
    </row>
    <row r="160" spans="1:6">
      <c r="A160" s="1502" t="s">
        <v>1847</v>
      </c>
      <c r="B160" s="1504" t="str">
        <f>A160&amp;"Expenditure by Major Type"</f>
        <v>Chart A7 Expenditure by Major Type</v>
      </c>
      <c r="C160" s="1481" t="s">
        <v>1101</v>
      </c>
      <c r="D160" s="1392"/>
    </row>
    <row r="161" spans="1:4">
      <c r="A161" s="1502" t="s">
        <v>1848</v>
      </c>
      <c r="B161" s="1504" t="str">
        <f>A161&amp;"Expenditure by Minor Type (Other)"</f>
        <v>Chart A8 Expenditure by Minor Type (Other)</v>
      </c>
      <c r="C161" s="1481" t="s">
        <v>1101</v>
      </c>
      <c r="D161" s="1392"/>
    </row>
    <row r="162" spans="1:4">
      <c r="A162" s="1502" t="s">
        <v>1849</v>
      </c>
      <c r="B162" s="1504" t="str">
        <f>A162&amp;"Capital Expenditure by Municipal Vote/Appropriation (Major)"</f>
        <v>Chart A9 Capital Expenditure by Municipal Vote/Appropriation (Major)</v>
      </c>
      <c r="C162" s="1481" t="s">
        <v>1102</v>
      </c>
      <c r="D162" s="1392"/>
    </row>
    <row r="163" spans="1:4">
      <c r="A163" s="1502" t="s">
        <v>1850</v>
      </c>
      <c r="B163" s="1504" t="str">
        <f>A163&amp;"Capital Expenditure by Municipal Vote/Appropriation (Minor)"</f>
        <v>Chart A10 Capital Expenditure by Municipal Vote/Appropriation (Minor)</v>
      </c>
      <c r="C163" s="1481" t="s">
        <v>1102</v>
      </c>
      <c r="D163" s="1392"/>
    </row>
    <row r="164" spans="1:4">
      <c r="A164" s="1502" t="s">
        <v>1851</v>
      </c>
      <c r="B164" s="1504" t="str">
        <f>A163&amp;"Capital Expenditure by Standard Classification"</f>
        <v>Chart A10 Capital Expenditure by Standard Classification</v>
      </c>
      <c r="C164" s="1481" t="s">
        <v>1102</v>
      </c>
      <c r="D164" s="1392"/>
    </row>
    <row r="165" spans="1:4">
      <c r="A165" s="1502" t="s">
        <v>1852</v>
      </c>
      <c r="B165" s="1504" t="str">
        <f>A165&amp;"Capital expenditure performance trend"</f>
        <v>Chart A12 Capital expenditure performance trend</v>
      </c>
      <c r="C165" s="1481" t="s">
        <v>1102</v>
      </c>
      <c r="D165" s="1392"/>
    </row>
    <row r="166" spans="1:4">
      <c r="A166" s="1502" t="s">
        <v>1853</v>
      </c>
      <c r="B166" s="1504" t="str">
        <f>A166&amp;"Capital funding by Source"</f>
        <v>Chart A13 Capital funding by Source</v>
      </c>
      <c r="C166" s="1481" t="s">
        <v>1102</v>
      </c>
      <c r="D166" s="1392"/>
    </row>
    <row r="167" spans="1:4">
      <c r="A167" s="1502" t="s">
        <v>1854</v>
      </c>
      <c r="B167" s="1504" t="str">
        <f>A167&amp;"Cash flow trend"</f>
        <v>Chart A14 Cash flow trend</v>
      </c>
      <c r="C167" s="1481" t="s">
        <v>1103</v>
      </c>
      <c r="D167" s="1392"/>
    </row>
    <row r="168" spans="1:4">
      <c r="A168" s="1502" t="s">
        <v>1855</v>
      </c>
      <c r="B168" s="1504" t="str">
        <f>A168&amp;"IDP Strategic Objective - Revenue"</f>
        <v>Chart A15 IDP Strategic Objective - Revenue</v>
      </c>
      <c r="C168" s="1481" t="s">
        <v>313</v>
      </c>
      <c r="D168" s="1392"/>
    </row>
    <row r="169" spans="1:4">
      <c r="A169" s="1502" t="s">
        <v>1856</v>
      </c>
      <c r="B169" s="1504" t="str">
        <f>A169&amp;"IDP Strategic Objective - Expenditure"</f>
        <v>Chart A16 IDP Strategic Objective - Expenditure</v>
      </c>
      <c r="C169" s="1481" t="s">
        <v>314</v>
      </c>
      <c r="D169" s="1392"/>
    </row>
    <row r="170" spans="1:4">
      <c r="A170" s="1502" t="s">
        <v>1857</v>
      </c>
      <c r="B170" s="1504" t="str">
        <f>A170&amp;"IDP Strategic Objective - Capital Expenditure"</f>
        <v>Chart A17 IDP Strategic Objective - Capital Expenditure</v>
      </c>
      <c r="C170" s="1481" t="s">
        <v>315</v>
      </c>
    </row>
    <row r="171" spans="1:4">
      <c r="A171" s="1502" t="s">
        <v>1858</v>
      </c>
      <c r="B171" s="1504" t="str">
        <f>A171&amp;"Debt (borrowing to Total Revenue)"</f>
        <v>Chart A18 Debt (borrowing to Total Revenue)</v>
      </c>
      <c r="C171" s="1481" t="s">
        <v>316</v>
      </c>
    </row>
    <row r="172" spans="1:4">
      <c r="A172" s="1502" t="s">
        <v>1859</v>
      </c>
      <c r="B172" s="1504" t="str">
        <f>A172&amp;"Debtors' trend analysis"</f>
        <v>Chart A19 Debtors' trend analysis</v>
      </c>
      <c r="C172" s="1481" t="s">
        <v>316</v>
      </c>
    </row>
    <row r="173" spans="1:4">
      <c r="A173" s="1502" t="s">
        <v>1860</v>
      </c>
      <c r="B173" s="1504" t="str">
        <f>A173&amp;"Distribution losses"</f>
        <v>Chart A20 Distribution losses</v>
      </c>
      <c r="C173" s="1481" t="s">
        <v>316</v>
      </c>
    </row>
    <row r="174" spans="1:4">
      <c r="A174" s="1502" t="s">
        <v>1861</v>
      </c>
      <c r="B174" s="1504" t="str">
        <f>A174&amp;"Borrowed funding of capital expenditure"</f>
        <v>Chart A21 Borrowed funding of capital expenditure</v>
      </c>
      <c r="C174" s="1481" t="s">
        <v>316</v>
      </c>
    </row>
    <row r="175" spans="1:4">
      <c r="A175" s="1502" t="s">
        <v>1862</v>
      </c>
      <c r="B175" s="1504" t="str">
        <f>A175&amp;"Expenditure analysis (% of Revenue)"</f>
        <v>Chart A22 Expenditure analysis (% of Revenue)</v>
      </c>
      <c r="C175" s="1481" t="s">
        <v>316</v>
      </c>
    </row>
    <row r="176" spans="1:4">
      <c r="A176" s="1495" t="s">
        <v>1863</v>
      </c>
      <c r="B176" s="1505" t="str">
        <f>A176&amp;"Increases in service charges"</f>
        <v>Chart A23 Increases in service charges</v>
      </c>
      <c r="C176" s="1506" t="s">
        <v>636</v>
      </c>
    </row>
    <row r="177" spans="1:5">
      <c r="A177" s="1389"/>
    </row>
    <row r="178" spans="1:5">
      <c r="A178" s="1389"/>
    </row>
    <row r="179" spans="1:5">
      <c r="A179" s="1389"/>
    </row>
    <row r="180" spans="1:5">
      <c r="D180" s="1402"/>
      <c r="E180" s="1392"/>
    </row>
  </sheetData>
  <mergeCells count="5">
    <mergeCell ref="A1:D1"/>
    <mergeCell ref="A87:B87"/>
    <mergeCell ref="A110:B110"/>
    <mergeCell ref="A99:B99"/>
    <mergeCell ref="A92:D92"/>
  </mergeCells>
  <phoneticPr fontId="5" type="noConversion"/>
  <printOptions horizontalCentered="1" verticalCentered="1"/>
  <pageMargins left="0.39370078740157483" right="0.15748031496062992" top="0.51181102362204722" bottom="0.55118110236220474" header="0.51181102362204722" footer="0.39370078740157483"/>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75786" r:id="rId3" name="Button 10">
              <controlPr defaultSize="0" print="0" autoFill="0" autoPict="0" macro="[0]!SaveForUsers">
                <anchor moveWithCells="1" sizeWithCells="1">
                  <from>
                    <xdr:col>4</xdr:col>
                    <xdr:colOff>381000</xdr:colOff>
                    <xdr:row>2</xdr:row>
                    <xdr:rowOff>12700</xdr:rowOff>
                  </from>
                  <to>
                    <xdr:col>4</xdr:col>
                    <xdr:colOff>2654300</xdr:colOff>
                    <xdr:row>4</xdr:row>
                    <xdr:rowOff>12700</xdr:rowOff>
                  </to>
                </anchor>
              </controlPr>
            </control>
          </mc:Choice>
          <mc:Fallback/>
        </mc:AlternateContent>
      </controls>
    </mc:Choice>
    <mc:Fallback/>
  </mc:AlternateContent>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indexed="42"/>
  </sheetPr>
  <dimension ref="A1:L112"/>
  <sheetViews>
    <sheetView showGridLines="0" workbookViewId="0">
      <pane xSplit="2" ySplit="4" topLeftCell="C50" activePane="bottomRight" state="frozen"/>
      <selection pane="topRight"/>
      <selection pane="bottomLeft"/>
      <selection pane="bottomRight" activeCell="F55" sqref="F55:K62"/>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2">
      <c r="A1" s="147" t="str">
        <f>muni&amp;" - "&amp;TableA11</f>
        <v>NW373 Rustenburg - Supporting Table SA11 Property rates summary</v>
      </c>
      <c r="B1" s="147"/>
      <c r="C1" s="147"/>
      <c r="D1" s="147"/>
      <c r="E1" s="147"/>
      <c r="F1" s="147"/>
      <c r="G1" s="147"/>
      <c r="H1" s="147"/>
      <c r="I1" s="147"/>
      <c r="J1" s="147"/>
      <c r="K1" s="147"/>
    </row>
    <row r="2" spans="1:11" ht="28.5" customHeight="1">
      <c r="A2" s="2814" t="str">
        <f>desc</f>
        <v>Description</v>
      </c>
      <c r="B2" s="2791" t="str">
        <f>head27</f>
        <v>Ref</v>
      </c>
      <c r="C2" s="145"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1" ht="20">
      <c r="A3" s="2815"/>
      <c r="B3" s="279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ht="4.5" customHeight="1">
      <c r="A4" s="180"/>
      <c r="B4" s="2797"/>
      <c r="C4" s="157"/>
      <c r="D4" s="138"/>
      <c r="E4" s="156"/>
      <c r="F4" s="155"/>
      <c r="G4" s="138"/>
      <c r="H4" s="156"/>
      <c r="I4" s="155"/>
      <c r="J4" s="138"/>
      <c r="K4" s="156"/>
    </row>
    <row r="5" spans="1:11" ht="11.25" customHeight="1">
      <c r="A5" s="181" t="s">
        <v>759</v>
      </c>
      <c r="B5" s="593">
        <v>1</v>
      </c>
      <c r="C5" s="594"/>
      <c r="D5" s="594"/>
      <c r="E5" s="222"/>
      <c r="F5" s="595"/>
      <c r="G5" s="2037"/>
      <c r="H5" s="2038"/>
      <c r="I5" s="2039"/>
      <c r="J5" s="2037"/>
      <c r="K5" s="2040"/>
    </row>
    <row r="6" spans="1:11" ht="11.25" customHeight="1">
      <c r="A6" s="190" t="s">
        <v>758</v>
      </c>
      <c r="B6" s="557"/>
      <c r="C6" s="1848">
        <v>39820</v>
      </c>
      <c r="D6" s="1848">
        <v>40185</v>
      </c>
      <c r="E6" s="1849">
        <v>40550</v>
      </c>
      <c r="F6" s="2638">
        <v>40915</v>
      </c>
      <c r="G6" s="2041"/>
      <c r="H6" s="2042"/>
      <c r="I6" s="2043"/>
      <c r="J6" s="2041"/>
      <c r="K6" s="2044"/>
    </row>
    <row r="7" spans="1:11" ht="11.25" customHeight="1">
      <c r="A7" s="190" t="s">
        <v>661</v>
      </c>
      <c r="B7" s="557"/>
      <c r="C7" s="1848">
        <v>39820</v>
      </c>
      <c r="D7" s="1848">
        <v>39820</v>
      </c>
      <c r="E7" s="1848">
        <v>39820</v>
      </c>
      <c r="F7" s="1848">
        <v>39820</v>
      </c>
      <c r="G7" s="2045"/>
      <c r="H7" s="2046"/>
      <c r="I7" s="1848">
        <v>39820</v>
      </c>
      <c r="J7" s="2049"/>
      <c r="K7" s="2050"/>
    </row>
    <row r="8" spans="1:11" ht="11.25" customHeight="1">
      <c r="A8" s="190" t="s">
        <v>411</v>
      </c>
      <c r="B8" s="597" t="s">
        <v>781</v>
      </c>
      <c r="C8" s="1840" t="s">
        <v>427</v>
      </c>
      <c r="D8" s="1840" t="s">
        <v>427</v>
      </c>
      <c r="E8" s="1840" t="s">
        <v>427</v>
      </c>
      <c r="F8" s="1840" t="s">
        <v>427</v>
      </c>
      <c r="G8" s="2047"/>
      <c r="H8" s="2048"/>
      <c r="I8" s="1839" t="s">
        <v>427</v>
      </c>
      <c r="J8" s="2049"/>
      <c r="K8" s="2050"/>
    </row>
    <row r="9" spans="1:11" ht="11.25" customHeight="1">
      <c r="A9" s="190" t="s">
        <v>1268</v>
      </c>
      <c r="B9" s="557"/>
      <c r="C9" s="1840" t="s">
        <v>427</v>
      </c>
      <c r="D9" s="1840" t="s">
        <v>427</v>
      </c>
      <c r="E9" s="1840" t="s">
        <v>427</v>
      </c>
      <c r="F9" s="1840" t="s">
        <v>427</v>
      </c>
      <c r="G9" s="2031"/>
      <c r="H9" s="2032"/>
      <c r="I9" s="1839" t="s">
        <v>427</v>
      </c>
      <c r="J9" s="2033"/>
      <c r="K9" s="2034"/>
    </row>
    <row r="10" spans="1:11" ht="11.25" customHeight="1">
      <c r="A10" s="190" t="s">
        <v>760</v>
      </c>
      <c r="B10" s="557"/>
      <c r="C10" s="1840" t="s">
        <v>828</v>
      </c>
      <c r="D10" s="1840" t="s">
        <v>828</v>
      </c>
      <c r="E10" s="1840" t="s">
        <v>828</v>
      </c>
      <c r="F10" s="1840" t="s">
        <v>828</v>
      </c>
      <c r="G10" s="1840" t="s">
        <v>828</v>
      </c>
      <c r="H10" s="1840" t="s">
        <v>828</v>
      </c>
      <c r="I10" s="1840" t="s">
        <v>828</v>
      </c>
      <c r="J10" s="1840" t="s">
        <v>828</v>
      </c>
      <c r="K10" s="1840" t="s">
        <v>828</v>
      </c>
    </row>
    <row r="11" spans="1:11" ht="11.25" customHeight="1">
      <c r="A11" s="190" t="s">
        <v>1269</v>
      </c>
      <c r="B11" s="597">
        <v>3</v>
      </c>
      <c r="C11" s="1843">
        <v>1</v>
      </c>
      <c r="D11" s="1843">
        <v>1</v>
      </c>
      <c r="E11" s="1843">
        <v>1</v>
      </c>
      <c r="F11" s="1843">
        <v>1</v>
      </c>
      <c r="G11" s="1843">
        <v>1</v>
      </c>
      <c r="H11" s="1843">
        <v>1</v>
      </c>
      <c r="I11" s="1843">
        <v>1</v>
      </c>
      <c r="J11" s="1843">
        <v>1</v>
      </c>
      <c r="K11" s="1843">
        <v>1</v>
      </c>
    </row>
    <row r="12" spans="1:11" ht="11.25" customHeight="1">
      <c r="A12" s="325" t="s">
        <v>1270</v>
      </c>
      <c r="B12" s="565">
        <v>3</v>
      </c>
      <c r="C12" s="1845">
        <v>1</v>
      </c>
      <c r="D12" s="1845">
        <v>1</v>
      </c>
      <c r="E12" s="1845">
        <v>1</v>
      </c>
      <c r="F12" s="1845">
        <v>1</v>
      </c>
      <c r="G12" s="1845">
        <v>1</v>
      </c>
      <c r="H12" s="1845">
        <v>1</v>
      </c>
      <c r="I12" s="1845">
        <v>1</v>
      </c>
      <c r="J12" s="1845">
        <v>1</v>
      </c>
      <c r="K12" s="1845">
        <v>1</v>
      </c>
    </row>
    <row r="13" spans="1:11" ht="11.25" customHeight="1">
      <c r="A13" s="325" t="s">
        <v>1271</v>
      </c>
      <c r="B13" s="565">
        <v>3</v>
      </c>
      <c r="C13" s="1845">
        <v>0</v>
      </c>
      <c r="D13" s="1845">
        <v>0</v>
      </c>
      <c r="E13" s="1845">
        <v>0</v>
      </c>
      <c r="F13" s="1845">
        <v>0</v>
      </c>
      <c r="G13" s="1845">
        <v>0</v>
      </c>
      <c r="H13" s="1845">
        <v>0</v>
      </c>
      <c r="I13" s="1845">
        <v>0</v>
      </c>
      <c r="J13" s="1845">
        <v>0</v>
      </c>
      <c r="K13" s="1845">
        <v>0</v>
      </c>
    </row>
    <row r="14" spans="1:11" ht="11.25" customHeight="1">
      <c r="A14" s="325" t="s">
        <v>1272</v>
      </c>
      <c r="B14" s="565">
        <v>3</v>
      </c>
      <c r="C14" s="1845">
        <v>1</v>
      </c>
      <c r="D14" s="1845">
        <v>1</v>
      </c>
      <c r="E14" s="1845">
        <v>1</v>
      </c>
      <c r="F14" s="2639">
        <v>1</v>
      </c>
      <c r="G14" s="1851">
        <v>1</v>
      </c>
      <c r="H14" s="1851">
        <v>1</v>
      </c>
      <c r="I14" s="1851">
        <v>1</v>
      </c>
      <c r="J14" s="1851">
        <v>1</v>
      </c>
      <c r="K14" s="1851">
        <v>1</v>
      </c>
    </row>
    <row r="15" spans="1:11" ht="11.25" customHeight="1">
      <c r="A15" s="325" t="s">
        <v>1588</v>
      </c>
      <c r="B15" s="598">
        <v>4</v>
      </c>
      <c r="C15" s="1845">
        <v>0</v>
      </c>
      <c r="D15" s="1845">
        <v>0</v>
      </c>
      <c r="E15" s="1845">
        <v>0</v>
      </c>
      <c r="F15" s="2639">
        <v>0</v>
      </c>
      <c r="G15" s="1845">
        <v>0</v>
      </c>
      <c r="H15" s="1846">
        <v>0</v>
      </c>
      <c r="I15" s="1844">
        <v>0</v>
      </c>
      <c r="J15" s="1845">
        <v>0</v>
      </c>
      <c r="K15" s="1847">
        <v>0</v>
      </c>
    </row>
    <row r="16" spans="1:11" ht="11.25" customHeight="1">
      <c r="A16" s="190" t="s">
        <v>662</v>
      </c>
      <c r="B16" s="557"/>
      <c r="C16" s="1840" t="s">
        <v>427</v>
      </c>
      <c r="D16" s="1840" t="s">
        <v>427</v>
      </c>
      <c r="E16" s="1840" t="s">
        <v>427</v>
      </c>
      <c r="F16" s="1840" t="s">
        <v>427</v>
      </c>
      <c r="G16" s="2031"/>
      <c r="H16" s="2032"/>
      <c r="I16" s="1839"/>
      <c r="J16" s="2033"/>
      <c r="K16" s="2034"/>
    </row>
    <row r="17" spans="1:11" ht="11.25" customHeight="1">
      <c r="A17" s="190" t="s">
        <v>409</v>
      </c>
      <c r="B17" s="557"/>
      <c r="C17" s="1845">
        <v>60</v>
      </c>
      <c r="D17" s="1845">
        <v>60</v>
      </c>
      <c r="E17" s="1845">
        <v>60</v>
      </c>
      <c r="F17" s="1845">
        <v>60</v>
      </c>
      <c r="G17" s="2031"/>
      <c r="H17" s="2032"/>
      <c r="I17" s="1844"/>
      <c r="J17" s="2035"/>
      <c r="K17" s="2036"/>
    </row>
    <row r="18" spans="1:11" ht="11.25" customHeight="1">
      <c r="A18" s="190" t="s">
        <v>412</v>
      </c>
      <c r="B18" s="597">
        <v>5</v>
      </c>
      <c r="C18" s="1852"/>
      <c r="D18" s="1852"/>
      <c r="E18" s="1853"/>
      <c r="F18" s="1853">
        <v>64190</v>
      </c>
      <c r="G18" s="1853">
        <v>64190</v>
      </c>
      <c r="H18" s="1853">
        <v>82925</v>
      </c>
      <c r="I18" s="1844">
        <f t="shared" ref="I18:K19" si="0">+H18*1.05</f>
        <v>87071.25</v>
      </c>
      <c r="J18" s="1844">
        <f t="shared" si="0"/>
        <v>91424.8125</v>
      </c>
      <c r="K18" s="1844">
        <f t="shared" si="0"/>
        <v>95996.053125000006</v>
      </c>
    </row>
    <row r="19" spans="1:11" ht="11.25" customHeight="1">
      <c r="A19" s="190" t="s">
        <v>413</v>
      </c>
      <c r="B19" s="597">
        <v>5</v>
      </c>
      <c r="C19" s="1852"/>
      <c r="D19" s="1852"/>
      <c r="E19" s="1853"/>
      <c r="F19" s="1853">
        <v>8155</v>
      </c>
      <c r="G19" s="1853">
        <v>8155</v>
      </c>
      <c r="H19" s="1853">
        <v>8478</v>
      </c>
      <c r="I19" s="1844">
        <f t="shared" si="0"/>
        <v>8901.9</v>
      </c>
      <c r="J19" s="1844">
        <f t="shared" si="0"/>
        <v>9346.9950000000008</v>
      </c>
      <c r="K19" s="1844">
        <f t="shared" si="0"/>
        <v>9814.344750000002</v>
      </c>
    </row>
    <row r="20" spans="1:11" ht="11.25" customHeight="1">
      <c r="A20" s="190" t="s">
        <v>414</v>
      </c>
      <c r="B20" s="597"/>
      <c r="C20" s="1852"/>
      <c r="D20" s="1852">
        <v>0</v>
      </c>
      <c r="E20" s="1853">
        <v>0</v>
      </c>
      <c r="F20" s="1853">
        <v>0</v>
      </c>
      <c r="G20" s="1853">
        <v>0</v>
      </c>
      <c r="H20" s="1853">
        <v>0</v>
      </c>
      <c r="I20" s="1853">
        <v>0</v>
      </c>
      <c r="J20" s="1853">
        <v>0</v>
      </c>
      <c r="K20" s="1853">
        <v>0</v>
      </c>
    </row>
    <row r="21" spans="1:11" ht="11.25" customHeight="1">
      <c r="A21" s="190" t="s">
        <v>750</v>
      </c>
      <c r="B21" s="557"/>
      <c r="C21" s="1845">
        <v>1</v>
      </c>
      <c r="D21" s="1852">
        <v>1</v>
      </c>
      <c r="E21" s="1853">
        <v>1</v>
      </c>
      <c r="F21" s="2639">
        <v>1</v>
      </c>
      <c r="G21" s="2639">
        <v>1</v>
      </c>
      <c r="H21" s="2639">
        <v>1</v>
      </c>
      <c r="I21" s="1844">
        <v>1</v>
      </c>
      <c r="J21" s="1845">
        <v>1</v>
      </c>
      <c r="K21" s="1847">
        <v>1</v>
      </c>
    </row>
    <row r="22" spans="1:11" ht="11.25" customHeight="1">
      <c r="A22" s="190" t="s">
        <v>751</v>
      </c>
      <c r="B22" s="557"/>
      <c r="C22" s="1845">
        <v>405</v>
      </c>
      <c r="D22" s="1845">
        <v>426</v>
      </c>
      <c r="E22" s="1845">
        <v>450</v>
      </c>
      <c r="F22" s="1845">
        <v>473</v>
      </c>
      <c r="G22" s="1845">
        <v>535</v>
      </c>
      <c r="H22" s="1845">
        <v>535</v>
      </c>
      <c r="I22" s="1845">
        <v>562</v>
      </c>
      <c r="J22" s="1845">
        <v>590</v>
      </c>
      <c r="K22" s="1845">
        <v>621</v>
      </c>
    </row>
    <row r="23" spans="1:11" ht="11.25" customHeight="1">
      <c r="A23" s="190" t="s">
        <v>370</v>
      </c>
      <c r="B23" s="557"/>
      <c r="C23" s="1845">
        <v>147</v>
      </c>
      <c r="D23" s="1845">
        <v>0</v>
      </c>
      <c r="E23" s="1845">
        <v>0</v>
      </c>
      <c r="F23" s="1845">
        <v>0</v>
      </c>
      <c r="G23" s="1845">
        <v>0</v>
      </c>
      <c r="H23" s="1845">
        <v>0</v>
      </c>
      <c r="I23" s="1845">
        <v>0</v>
      </c>
      <c r="J23" s="1845">
        <v>294</v>
      </c>
      <c r="K23" s="1845">
        <v>0</v>
      </c>
    </row>
    <row r="24" spans="1:11" ht="11.25" customHeight="1">
      <c r="A24" s="190" t="s">
        <v>371</v>
      </c>
      <c r="B24" s="557"/>
      <c r="C24" s="1845">
        <v>50</v>
      </c>
      <c r="D24" s="1845">
        <v>0</v>
      </c>
      <c r="E24" s="1845">
        <v>0</v>
      </c>
      <c r="F24" s="1845">
        <v>0</v>
      </c>
      <c r="G24" s="1845">
        <v>0</v>
      </c>
      <c r="H24" s="1845">
        <v>0</v>
      </c>
      <c r="I24" s="1845">
        <v>0</v>
      </c>
      <c r="J24" s="1845">
        <v>61</v>
      </c>
      <c r="K24" s="1845">
        <v>0</v>
      </c>
    </row>
    <row r="25" spans="1:11" ht="11.25" customHeight="1">
      <c r="A25" s="190" t="s">
        <v>761</v>
      </c>
      <c r="B25" s="557">
        <v>8</v>
      </c>
      <c r="C25" s="1845">
        <v>49</v>
      </c>
      <c r="D25" s="1845">
        <v>0</v>
      </c>
      <c r="E25" s="1845">
        <v>0</v>
      </c>
      <c r="F25" s="1845">
        <v>0</v>
      </c>
      <c r="G25" s="1845">
        <v>0</v>
      </c>
      <c r="H25" s="1845">
        <v>0</v>
      </c>
      <c r="I25" s="1845">
        <v>0</v>
      </c>
      <c r="J25" s="1845">
        <v>98</v>
      </c>
      <c r="K25" s="1845">
        <v>0</v>
      </c>
    </row>
    <row r="26" spans="1:11" ht="11.25" customHeight="1">
      <c r="A26" s="190" t="s">
        <v>749</v>
      </c>
      <c r="B26" s="557">
        <v>8</v>
      </c>
      <c r="C26" s="1845">
        <v>16</v>
      </c>
      <c r="D26" s="1845">
        <v>0</v>
      </c>
      <c r="E26" s="1845">
        <v>0</v>
      </c>
      <c r="F26" s="1845">
        <v>0</v>
      </c>
      <c r="G26" s="1845">
        <v>0</v>
      </c>
      <c r="H26" s="1845">
        <v>0</v>
      </c>
      <c r="I26" s="1845">
        <v>0</v>
      </c>
      <c r="J26" s="1845">
        <v>30</v>
      </c>
      <c r="K26" s="1845">
        <v>0</v>
      </c>
    </row>
    <row r="27" spans="1:11" ht="11.25" customHeight="1">
      <c r="A27" s="190" t="s">
        <v>1542</v>
      </c>
      <c r="B27" s="557"/>
      <c r="C27" s="1852">
        <v>1</v>
      </c>
      <c r="D27" s="1852">
        <v>1</v>
      </c>
      <c r="E27" s="1853">
        <v>1</v>
      </c>
      <c r="F27" s="2639">
        <v>1</v>
      </c>
      <c r="G27" s="2639">
        <v>1</v>
      </c>
      <c r="H27" s="2639">
        <v>1</v>
      </c>
      <c r="I27" s="1844">
        <v>1</v>
      </c>
      <c r="J27" s="1844">
        <v>1</v>
      </c>
      <c r="K27" s="1844">
        <v>1</v>
      </c>
    </row>
    <row r="28" spans="1:11" ht="11.25" customHeight="1">
      <c r="A28" s="190" t="s">
        <v>523</v>
      </c>
      <c r="B28" s="597">
        <v>5</v>
      </c>
      <c r="C28" s="1854">
        <v>2838250</v>
      </c>
      <c r="D28" s="1854">
        <v>2839650</v>
      </c>
      <c r="E28" s="1855">
        <v>2839650</v>
      </c>
      <c r="F28" s="2640">
        <v>2840650</v>
      </c>
      <c r="G28" s="1854">
        <v>3841650</v>
      </c>
      <c r="H28" s="1854">
        <v>3841650</v>
      </c>
      <c r="I28" s="1858">
        <v>2843950</v>
      </c>
      <c r="J28" s="1859">
        <v>2844650</v>
      </c>
      <c r="K28" s="1860">
        <v>2845950</v>
      </c>
    </row>
    <row r="29" spans="1:11" ht="11.25" customHeight="1">
      <c r="A29" s="190" t="s">
        <v>1404</v>
      </c>
      <c r="B29" s="597"/>
      <c r="C29" s="1854">
        <v>319528820</v>
      </c>
      <c r="D29" s="1854">
        <v>319528300</v>
      </c>
      <c r="E29" s="1855">
        <v>319539720</v>
      </c>
      <c r="F29" s="2640">
        <v>319540820</v>
      </c>
      <c r="G29" s="1854">
        <v>322736228</v>
      </c>
      <c r="H29" s="1854">
        <v>322736228</v>
      </c>
      <c r="I29" s="1858">
        <v>328959561</v>
      </c>
      <c r="J29" s="1859">
        <v>345407539</v>
      </c>
      <c r="K29" s="1860">
        <v>362677915</v>
      </c>
    </row>
    <row r="30" spans="1:11" ht="11.25" customHeight="1">
      <c r="A30" s="181" t="s">
        <v>1543</v>
      </c>
      <c r="B30" s="597"/>
      <c r="C30" s="599"/>
      <c r="D30" s="599"/>
      <c r="E30" s="600"/>
      <c r="F30" s="601"/>
      <c r="G30" s="599"/>
      <c r="H30" s="602"/>
      <c r="I30" s="603"/>
      <c r="J30" s="517"/>
      <c r="K30" s="208"/>
    </row>
    <row r="31" spans="1:11" ht="11.25" customHeight="1">
      <c r="A31" s="190" t="s">
        <v>524</v>
      </c>
      <c r="B31" s="597"/>
      <c r="C31" s="1854"/>
      <c r="D31" s="1854"/>
      <c r="E31" s="1855"/>
      <c r="F31" s="1856"/>
      <c r="G31" s="1854"/>
      <c r="H31" s="1857"/>
      <c r="I31" s="1858"/>
      <c r="J31" s="1859"/>
      <c r="K31" s="1860"/>
    </row>
    <row r="32" spans="1:11" ht="11.25" customHeight="1">
      <c r="A32" s="190" t="s">
        <v>525</v>
      </c>
      <c r="B32" s="597"/>
      <c r="C32" s="1854"/>
      <c r="D32" s="1854"/>
      <c r="E32" s="1855"/>
      <c r="F32" s="1856"/>
      <c r="G32" s="1854"/>
      <c r="H32" s="1857"/>
      <c r="I32" s="1858"/>
      <c r="J32" s="1859"/>
      <c r="K32" s="1860"/>
    </row>
    <row r="33" spans="1:11" ht="11.25" customHeight="1">
      <c r="A33" s="190" t="s">
        <v>526</v>
      </c>
      <c r="B33" s="597"/>
      <c r="C33" s="1854"/>
      <c r="D33" s="1854"/>
      <c r="E33" s="1855"/>
      <c r="F33" s="1856"/>
      <c r="G33" s="1854"/>
      <c r="H33" s="1857"/>
      <c r="I33" s="1858"/>
      <c r="J33" s="1859"/>
      <c r="K33" s="1860"/>
    </row>
    <row r="34" spans="1:11" ht="11.25" customHeight="1">
      <c r="A34" s="190" t="s">
        <v>527</v>
      </c>
      <c r="B34" s="597"/>
      <c r="C34" s="1854"/>
      <c r="D34" s="1854"/>
      <c r="E34" s="1855"/>
      <c r="F34" s="1856"/>
      <c r="G34" s="1854"/>
      <c r="H34" s="1857"/>
      <c r="I34" s="1858"/>
      <c r="J34" s="1859"/>
      <c r="K34" s="1860"/>
    </row>
    <row r="35" spans="1:11" ht="11.25" customHeight="1">
      <c r="A35" s="190" t="s">
        <v>528</v>
      </c>
      <c r="B35" s="597"/>
      <c r="C35" s="1854"/>
      <c r="D35" s="1854"/>
      <c r="E35" s="1855"/>
      <c r="F35" s="1856"/>
      <c r="G35" s="1854"/>
      <c r="H35" s="1857"/>
      <c r="I35" s="1858"/>
      <c r="J35" s="1859"/>
      <c r="K35" s="1860"/>
    </row>
    <row r="36" spans="1:11" ht="11.25" customHeight="1">
      <c r="A36" s="190" t="s">
        <v>529</v>
      </c>
      <c r="B36" s="597"/>
      <c r="C36" s="1854"/>
      <c r="D36" s="1854"/>
      <c r="E36" s="1855"/>
      <c r="F36" s="1856"/>
      <c r="G36" s="1854"/>
      <c r="H36" s="1857"/>
      <c r="I36" s="1858"/>
      <c r="J36" s="1859"/>
      <c r="K36" s="1860"/>
    </row>
    <row r="37" spans="1:11" ht="11.25" customHeight="1">
      <c r="A37" s="326" t="s">
        <v>1544</v>
      </c>
      <c r="B37" s="597"/>
      <c r="C37" s="604">
        <f>SUM(C31:C36)</f>
        <v>0</v>
      </c>
      <c r="D37" s="604">
        <f t="shared" ref="D37:K37" si="1">SUM(D31:D36)</f>
        <v>0</v>
      </c>
      <c r="E37" s="605">
        <f t="shared" si="1"/>
        <v>0</v>
      </c>
      <c r="F37" s="606">
        <f t="shared" si="1"/>
        <v>0</v>
      </c>
      <c r="G37" s="604">
        <f t="shared" si="1"/>
        <v>0</v>
      </c>
      <c r="H37" s="607">
        <f t="shared" si="1"/>
        <v>0</v>
      </c>
      <c r="I37" s="608">
        <f t="shared" si="1"/>
        <v>0</v>
      </c>
      <c r="J37" s="609">
        <f t="shared" si="1"/>
        <v>0</v>
      </c>
      <c r="K37" s="610">
        <f t="shared" si="1"/>
        <v>0</v>
      </c>
    </row>
    <row r="38" spans="1:11" ht="15.75" customHeight="1">
      <c r="A38" s="190" t="s">
        <v>1457</v>
      </c>
      <c r="B38" s="597">
        <v>5</v>
      </c>
      <c r="C38" s="1859"/>
      <c r="D38" s="1859"/>
      <c r="E38" s="1860"/>
      <c r="F38" s="1861"/>
      <c r="G38" s="1859"/>
      <c r="H38" s="1862"/>
      <c r="I38" s="1863"/>
      <c r="J38" s="1859"/>
      <c r="K38" s="1860"/>
    </row>
    <row r="39" spans="1:11" ht="11.25" customHeight="1">
      <c r="A39" s="190" t="s">
        <v>1458</v>
      </c>
      <c r="B39" s="597">
        <v>5</v>
      </c>
      <c r="C39" s="1859"/>
      <c r="D39" s="1859"/>
      <c r="E39" s="1860"/>
      <c r="F39" s="1861"/>
      <c r="G39" s="1859"/>
      <c r="H39" s="1862"/>
      <c r="I39" s="1863"/>
      <c r="J39" s="1864"/>
      <c r="K39" s="1865"/>
    </row>
    <row r="40" spans="1:11" ht="11.25" customHeight="1">
      <c r="A40" s="325" t="s">
        <v>1459</v>
      </c>
      <c r="B40" s="597">
        <v>5</v>
      </c>
      <c r="C40" s="1859"/>
      <c r="D40" s="1859"/>
      <c r="E40" s="1860"/>
      <c r="F40" s="1861"/>
      <c r="G40" s="1859"/>
      <c r="H40" s="1862"/>
      <c r="I40" s="1863"/>
      <c r="J40" s="1859"/>
      <c r="K40" s="1860"/>
    </row>
    <row r="41" spans="1:11" ht="11.25" customHeight="1">
      <c r="A41" s="325" t="s">
        <v>1460</v>
      </c>
      <c r="B41" s="597">
        <v>5</v>
      </c>
      <c r="C41" s="1859">
        <v>2308529624</v>
      </c>
      <c r="D41" s="1854">
        <v>2430031183</v>
      </c>
      <c r="E41" s="1855">
        <v>2557927561</v>
      </c>
      <c r="F41" s="1856">
        <v>26925553270</v>
      </c>
      <c r="G41" s="1856">
        <v>27464064335</v>
      </c>
      <c r="H41" s="1856">
        <v>27464064335</v>
      </c>
      <c r="I41" s="1856">
        <v>27466064335</v>
      </c>
      <c r="J41" s="1856">
        <v>27466964335</v>
      </c>
      <c r="K41" s="1856">
        <v>27467064335</v>
      </c>
    </row>
    <row r="42" spans="1:11" ht="5" customHeight="1">
      <c r="A42" s="405"/>
      <c r="B42" s="597"/>
      <c r="C42" s="1672"/>
      <c r="D42" s="1866"/>
      <c r="E42" s="1867"/>
      <c r="F42" s="1868"/>
      <c r="G42" s="1866"/>
      <c r="H42" s="1869"/>
      <c r="I42" s="1870"/>
      <c r="J42" s="1672"/>
      <c r="K42" s="1673"/>
    </row>
    <row r="43" spans="1:11" ht="11.25" customHeight="1">
      <c r="A43" s="614" t="s">
        <v>1545</v>
      </c>
      <c r="B43" s="615"/>
      <c r="C43" s="616"/>
      <c r="D43" s="616"/>
      <c r="E43" s="617"/>
      <c r="F43" s="618"/>
      <c r="G43" s="616"/>
      <c r="H43" s="619"/>
      <c r="I43" s="620"/>
      <c r="J43" s="616"/>
      <c r="K43" s="617"/>
    </row>
    <row r="44" spans="1:11" ht="26.25" customHeight="1">
      <c r="A44" s="477" t="s">
        <v>1456</v>
      </c>
      <c r="B44" s="557"/>
      <c r="C44" s="1840" t="s">
        <v>427</v>
      </c>
      <c r="D44" s="1840" t="s">
        <v>427</v>
      </c>
      <c r="E44" s="1840" t="s">
        <v>427</v>
      </c>
      <c r="F44" s="1840" t="s">
        <v>427</v>
      </c>
      <c r="G44" s="2051"/>
      <c r="H44" s="2052"/>
      <c r="I44" s="1840" t="s">
        <v>427</v>
      </c>
      <c r="J44" s="2051"/>
      <c r="K44" s="2055"/>
    </row>
    <row r="45" spans="1:11" ht="11.25" customHeight="1">
      <c r="A45" s="190" t="s">
        <v>755</v>
      </c>
      <c r="B45" s="557">
        <v>5</v>
      </c>
      <c r="C45" s="1840" t="s">
        <v>427</v>
      </c>
      <c r="D45" s="1840" t="s">
        <v>427</v>
      </c>
      <c r="E45" s="1840" t="s">
        <v>427</v>
      </c>
      <c r="F45" s="1840" t="s">
        <v>427</v>
      </c>
      <c r="G45" s="2053"/>
      <c r="H45" s="2054"/>
      <c r="I45" s="1840" t="s">
        <v>427</v>
      </c>
      <c r="J45" s="2053"/>
      <c r="K45" s="2056"/>
    </row>
    <row r="46" spans="1:11" ht="11.25" customHeight="1">
      <c r="A46" s="190" t="s">
        <v>756</v>
      </c>
      <c r="B46" s="557"/>
      <c r="C46" s="1840" t="s">
        <v>427</v>
      </c>
      <c r="D46" s="1840" t="s">
        <v>427</v>
      </c>
      <c r="E46" s="1840" t="s">
        <v>427</v>
      </c>
      <c r="F46" s="1840" t="s">
        <v>427</v>
      </c>
      <c r="G46" s="1840"/>
      <c r="H46" s="1841"/>
      <c r="I46" s="1840" t="s">
        <v>427</v>
      </c>
      <c r="J46" s="1840"/>
      <c r="K46" s="1842"/>
    </row>
    <row r="47" spans="1:11" ht="11.25" customHeight="1">
      <c r="A47" s="190" t="s">
        <v>757</v>
      </c>
      <c r="B47" s="557"/>
      <c r="C47" s="1840" t="s">
        <v>427</v>
      </c>
      <c r="D47" s="1840" t="s">
        <v>427</v>
      </c>
      <c r="E47" s="1840" t="s">
        <v>427</v>
      </c>
      <c r="F47" s="1840" t="s">
        <v>427</v>
      </c>
      <c r="G47" s="2053"/>
      <c r="H47" s="2054"/>
      <c r="I47" s="1840" t="s">
        <v>427</v>
      </c>
      <c r="J47" s="2053"/>
      <c r="K47" s="2056"/>
    </row>
    <row r="48" spans="1:11" ht="11.25" customHeight="1">
      <c r="A48" s="190" t="s">
        <v>164</v>
      </c>
      <c r="B48" s="557"/>
      <c r="C48" s="1840" t="s">
        <v>427</v>
      </c>
      <c r="D48" s="1840" t="s">
        <v>427</v>
      </c>
      <c r="E48" s="1840" t="s">
        <v>427</v>
      </c>
      <c r="F48" s="1840" t="s">
        <v>427</v>
      </c>
      <c r="G48" s="1840"/>
      <c r="H48" s="1841"/>
      <c r="I48" s="1840" t="s">
        <v>427</v>
      </c>
      <c r="J48" s="1840"/>
      <c r="K48" s="1842"/>
    </row>
    <row r="49" spans="1:12" ht="11.25" customHeight="1">
      <c r="A49" s="190" t="s">
        <v>410</v>
      </c>
      <c r="B49" s="557"/>
      <c r="C49" s="1840" t="s">
        <v>427</v>
      </c>
      <c r="D49" s="1840" t="s">
        <v>427</v>
      </c>
      <c r="E49" s="1840" t="s">
        <v>427</v>
      </c>
      <c r="F49" s="1840" t="s">
        <v>427</v>
      </c>
      <c r="G49" s="2053"/>
      <c r="H49" s="2054"/>
      <c r="I49" s="1840" t="s">
        <v>427</v>
      </c>
      <c r="J49" s="2053"/>
      <c r="K49" s="2056"/>
    </row>
    <row r="50" spans="1:12" ht="11.25" customHeight="1">
      <c r="A50" s="190" t="s">
        <v>418</v>
      </c>
      <c r="B50" s="557"/>
      <c r="C50" s="1840" t="s">
        <v>427</v>
      </c>
      <c r="D50" s="1840" t="s">
        <v>427</v>
      </c>
      <c r="E50" s="1840" t="s">
        <v>427</v>
      </c>
      <c r="F50" s="1840" t="s">
        <v>427</v>
      </c>
      <c r="G50" s="2053"/>
      <c r="H50" s="2054"/>
      <c r="I50" s="1840" t="s">
        <v>427</v>
      </c>
      <c r="J50" s="2053"/>
      <c r="K50" s="2056"/>
    </row>
    <row r="51" spans="1:12" ht="11.25" customHeight="1">
      <c r="A51" s="190" t="s">
        <v>530</v>
      </c>
      <c r="B51" s="557"/>
      <c r="C51" s="1840" t="s">
        <v>427</v>
      </c>
      <c r="D51" s="1840" t="s">
        <v>427</v>
      </c>
      <c r="E51" s="1840" t="s">
        <v>427</v>
      </c>
      <c r="F51" s="1840" t="s">
        <v>427</v>
      </c>
      <c r="G51" s="2053"/>
      <c r="H51" s="2054"/>
      <c r="I51" s="1840" t="s">
        <v>427</v>
      </c>
      <c r="J51" s="2053"/>
      <c r="K51" s="2056"/>
    </row>
    <row r="52" spans="1:12" ht="5" customHeight="1">
      <c r="A52" s="201"/>
      <c r="B52" s="557"/>
      <c r="C52" s="517"/>
      <c r="D52" s="517"/>
      <c r="E52" s="208"/>
      <c r="F52" s="516"/>
      <c r="G52" s="2053"/>
      <c r="H52" s="2054"/>
      <c r="I52" s="1674"/>
      <c r="J52" s="2053"/>
      <c r="K52" s="2056"/>
    </row>
    <row r="53" spans="1:12" ht="11.25" customHeight="1">
      <c r="A53" s="181" t="s">
        <v>665</v>
      </c>
      <c r="B53" s="557"/>
      <c r="C53" s="517"/>
      <c r="D53" s="517"/>
      <c r="E53" s="208"/>
      <c r="F53" s="516"/>
      <c r="G53" s="2053"/>
      <c r="H53" s="2054"/>
      <c r="I53" s="363"/>
      <c r="J53" s="2053"/>
      <c r="K53" s="2056"/>
    </row>
    <row r="54" spans="1:12" ht="11.25" customHeight="1">
      <c r="A54" s="325" t="s">
        <v>1461</v>
      </c>
      <c r="B54" s="597">
        <v>6</v>
      </c>
      <c r="C54" s="1615"/>
      <c r="D54" s="1615"/>
      <c r="E54" s="1635"/>
      <c r="F54" s="2641"/>
      <c r="G54" s="2642"/>
      <c r="H54" s="2643"/>
      <c r="I54" s="1637"/>
      <c r="J54" s="1615"/>
      <c r="K54" s="1635"/>
      <c r="L54" s="370"/>
    </row>
    <row r="55" spans="1:12" ht="11.25" customHeight="1">
      <c r="A55" s="325" t="s">
        <v>1462</v>
      </c>
      <c r="B55" s="597">
        <v>6</v>
      </c>
      <c r="C55" s="1615"/>
      <c r="D55" s="1615"/>
      <c r="E55" s="1635"/>
      <c r="F55" s="2641">
        <v>196957518</v>
      </c>
      <c r="G55" s="2642">
        <v>202845643</v>
      </c>
      <c r="H55" s="2643">
        <v>210955546</v>
      </c>
      <c r="I55" s="1637">
        <v>221503323</v>
      </c>
      <c r="J55" s="1615">
        <v>232578489</v>
      </c>
      <c r="K55" s="1635">
        <v>244207413</v>
      </c>
      <c r="L55" s="370"/>
    </row>
    <row r="56" spans="1:12" ht="11.25" customHeight="1">
      <c r="A56" s="190" t="s">
        <v>1584</v>
      </c>
      <c r="B56" s="597"/>
      <c r="C56" s="1874"/>
      <c r="D56" s="1874"/>
      <c r="E56" s="1875"/>
      <c r="F56" s="2644"/>
      <c r="G56" s="2645"/>
      <c r="H56" s="2646"/>
      <c r="I56" s="1877"/>
      <c r="J56" s="1872"/>
      <c r="K56" s="1873"/>
    </row>
    <row r="57" spans="1:12" ht="11.25" customHeight="1">
      <c r="A57" s="190" t="s">
        <v>1502</v>
      </c>
      <c r="B57" s="597">
        <v>7</v>
      </c>
      <c r="C57" s="1878"/>
      <c r="D57" s="1878"/>
      <c r="E57" s="1879"/>
      <c r="F57" s="2647"/>
      <c r="G57" s="2648"/>
      <c r="H57" s="2649"/>
      <c r="I57" s="1880"/>
      <c r="J57" s="1615"/>
      <c r="K57" s="1635"/>
    </row>
    <row r="58" spans="1:12" ht="15.75" customHeight="1">
      <c r="A58" s="190" t="s">
        <v>419</v>
      </c>
      <c r="B58" s="597"/>
      <c r="C58" s="1881"/>
      <c r="D58" s="1881"/>
      <c r="E58" s="1882"/>
      <c r="F58" s="2650">
        <v>5000000</v>
      </c>
      <c r="G58" s="2650">
        <v>5000000</v>
      </c>
      <c r="H58" s="2650">
        <v>5000000</v>
      </c>
      <c r="I58" s="1883">
        <v>5250000</v>
      </c>
      <c r="J58" s="1620">
        <v>5512500</v>
      </c>
      <c r="K58" s="1884">
        <v>5788125</v>
      </c>
    </row>
    <row r="59" spans="1:12" ht="11.25" customHeight="1">
      <c r="A59" s="190" t="s">
        <v>520</v>
      </c>
      <c r="B59" s="597"/>
      <c r="C59" s="1878"/>
      <c r="D59" s="1878"/>
      <c r="E59" s="1879"/>
      <c r="F59" s="2647"/>
      <c r="G59" s="2648"/>
      <c r="H59" s="2649"/>
      <c r="I59" s="1880"/>
      <c r="J59" s="1615"/>
      <c r="K59" s="1635"/>
    </row>
    <row r="60" spans="1:12" ht="11.25" customHeight="1">
      <c r="A60" s="190" t="s">
        <v>521</v>
      </c>
      <c r="B60" s="597"/>
      <c r="C60" s="1878"/>
      <c r="D60" s="1878"/>
      <c r="E60" s="1879"/>
      <c r="F60" s="2647"/>
      <c r="G60" s="2648"/>
      <c r="H60" s="2649"/>
      <c r="I60" s="1880"/>
      <c r="J60" s="1615"/>
      <c r="K60" s="1635"/>
    </row>
    <row r="61" spans="1:12" ht="11.25" customHeight="1">
      <c r="A61" s="190" t="s">
        <v>522</v>
      </c>
      <c r="B61" s="597"/>
      <c r="C61" s="1878"/>
      <c r="D61" s="1878"/>
      <c r="E61" s="1879"/>
      <c r="F61" s="2647">
        <v>3200000</v>
      </c>
      <c r="G61" s="2647">
        <v>3200000</v>
      </c>
      <c r="H61" s="2647">
        <v>3200000</v>
      </c>
      <c r="I61" s="1880">
        <v>3360000</v>
      </c>
      <c r="J61" s="1615">
        <v>3528000</v>
      </c>
      <c r="K61" s="1635">
        <v>3704400</v>
      </c>
    </row>
    <row r="62" spans="1:12" ht="11.25" customHeight="1">
      <c r="A62" s="190" t="s">
        <v>1501</v>
      </c>
      <c r="B62" s="597"/>
      <c r="C62" s="1885"/>
      <c r="D62" s="1885"/>
      <c r="E62" s="1886"/>
      <c r="F62" s="2651"/>
      <c r="G62" s="2652"/>
      <c r="H62" s="2653"/>
      <c r="I62" s="1887"/>
      <c r="J62" s="1656"/>
      <c r="K62" s="1657"/>
    </row>
    <row r="63" spans="1:12" ht="11.25" customHeight="1">
      <c r="A63" s="326" t="s">
        <v>663</v>
      </c>
      <c r="B63" s="597"/>
      <c r="C63" s="394">
        <f>SUM(C58:C62)</f>
        <v>0</v>
      </c>
      <c r="D63" s="394">
        <f t="shared" ref="D63:K63" si="2">SUM(D58:D62)</f>
        <v>0</v>
      </c>
      <c r="E63" s="345">
        <f t="shared" si="2"/>
        <v>0</v>
      </c>
      <c r="F63" s="395">
        <f t="shared" si="2"/>
        <v>8200000</v>
      </c>
      <c r="G63" s="394">
        <f t="shared" si="2"/>
        <v>8200000</v>
      </c>
      <c r="H63" s="624">
        <f t="shared" si="2"/>
        <v>8200000</v>
      </c>
      <c r="I63" s="396">
        <f t="shared" si="2"/>
        <v>8610000</v>
      </c>
      <c r="J63" s="394">
        <f t="shared" si="2"/>
        <v>9040500</v>
      </c>
      <c r="K63" s="345">
        <f t="shared" si="2"/>
        <v>9492525</v>
      </c>
    </row>
    <row r="64" spans="1:12" ht="5" customHeight="1">
      <c r="A64" s="336"/>
      <c r="B64" s="625"/>
      <c r="C64" s="626"/>
      <c r="D64" s="626"/>
      <c r="E64" s="627"/>
      <c r="F64" s="628"/>
      <c r="G64" s="629"/>
      <c r="H64" s="630"/>
      <c r="I64" s="631"/>
      <c r="J64" s="626"/>
      <c r="K64" s="627"/>
    </row>
    <row r="65" spans="1:11" s="709" customFormat="1">
      <c r="A65" s="1233" t="str">
        <f>head27a</f>
        <v>References</v>
      </c>
      <c r="B65" s="1038"/>
      <c r="C65" s="1042"/>
      <c r="D65" s="1042"/>
      <c r="E65" s="1042"/>
      <c r="F65" s="1042"/>
      <c r="G65" s="1042"/>
      <c r="H65" s="1042"/>
      <c r="I65" s="1042"/>
      <c r="J65" s="1042"/>
      <c r="K65" s="1042"/>
    </row>
    <row r="66" spans="1:11" s="709" customFormat="1">
      <c r="A66" s="1198" t="s">
        <v>1583</v>
      </c>
      <c r="B66" s="1062"/>
      <c r="C66" s="1062"/>
      <c r="D66" s="1062"/>
      <c r="E66" s="1062"/>
      <c r="F66" s="1062"/>
      <c r="G66" s="1062"/>
      <c r="H66" s="1062"/>
      <c r="I66" s="1062"/>
      <c r="J66" s="1062"/>
      <c r="K66" s="1062"/>
    </row>
    <row r="67" spans="1:11" s="709" customFormat="1">
      <c r="A67" s="1195" t="s">
        <v>1585</v>
      </c>
      <c r="B67" s="1062"/>
      <c r="C67" s="1062"/>
      <c r="D67" s="1062"/>
      <c r="E67" s="1062"/>
      <c r="F67" s="1062"/>
      <c r="G67" s="1062"/>
      <c r="H67" s="1062"/>
      <c r="I67" s="1062"/>
      <c r="J67" s="1062"/>
      <c r="K67" s="1062"/>
    </row>
    <row r="68" spans="1:11" s="709" customFormat="1">
      <c r="A68" s="1195" t="s">
        <v>1586</v>
      </c>
      <c r="B68" s="1062"/>
      <c r="C68" s="1062"/>
      <c r="D68" s="1062"/>
      <c r="E68" s="1063"/>
      <c r="F68" s="1063"/>
      <c r="G68" s="1062"/>
      <c r="H68" s="1062"/>
      <c r="I68" s="1062"/>
      <c r="J68" s="1062"/>
      <c r="K68" s="1062"/>
    </row>
    <row r="69" spans="1:11" s="709" customFormat="1">
      <c r="A69" s="1195" t="s">
        <v>1587</v>
      </c>
      <c r="B69" s="1062"/>
      <c r="C69" s="1062"/>
      <c r="D69" s="1062"/>
      <c r="E69" s="1063"/>
      <c r="F69" s="1063"/>
      <c r="G69" s="1062"/>
      <c r="H69" s="1062"/>
      <c r="I69" s="1062"/>
      <c r="J69" s="1062"/>
      <c r="K69" s="1062"/>
    </row>
    <row r="70" spans="1:11" s="709" customFormat="1">
      <c r="A70" s="1198" t="s">
        <v>1609</v>
      </c>
      <c r="B70" s="1062"/>
      <c r="C70" s="1062"/>
      <c r="D70" s="1062"/>
      <c r="E70" s="1063"/>
      <c r="F70" s="1063"/>
      <c r="G70" s="1062"/>
      <c r="H70" s="1062"/>
      <c r="I70" s="1062"/>
      <c r="J70" s="1062"/>
      <c r="K70" s="1062"/>
    </row>
    <row r="71" spans="1:11" s="709" customFormat="1">
      <c r="A71" s="1198" t="str">
        <f>"6. Current and budget year must reconcile to "&amp;'Template names'!F103</f>
        <v>6. Current and budget year must reconcile to Table A4 Budgeted Financial Performance (revenue and expenditure)</v>
      </c>
      <c r="B71" s="1062"/>
      <c r="C71" s="1062"/>
      <c r="D71" s="1062"/>
      <c r="E71" s="1063"/>
      <c r="F71" s="1063"/>
      <c r="G71" s="1062"/>
      <c r="H71" s="1062"/>
      <c r="I71" s="1062"/>
      <c r="J71" s="1062"/>
      <c r="K71" s="1062"/>
    </row>
    <row r="72" spans="1:11" s="709" customFormat="1">
      <c r="A72" s="1198" t="s">
        <v>664</v>
      </c>
      <c r="B72" s="1062"/>
      <c r="C72" s="1062"/>
      <c r="D72" s="1062"/>
      <c r="E72" s="1063"/>
      <c r="F72" s="1063"/>
      <c r="G72" s="1062"/>
      <c r="H72" s="1062"/>
      <c r="I72" s="1062"/>
      <c r="J72" s="1062"/>
      <c r="K72" s="1062"/>
    </row>
    <row r="73" spans="1:11">
      <c r="A73" s="1198" t="s">
        <v>1607</v>
      </c>
      <c r="B73" s="246"/>
      <c r="C73" s="246"/>
      <c r="D73" s="246"/>
      <c r="E73" s="360"/>
      <c r="F73" s="360"/>
      <c r="G73" s="246"/>
      <c r="H73" s="246"/>
      <c r="I73" s="246"/>
      <c r="J73" s="246"/>
      <c r="K73" s="246"/>
    </row>
    <row r="74" spans="1:11">
      <c r="A74" s="246"/>
      <c r="B74" s="246"/>
      <c r="C74" s="246"/>
      <c r="D74" s="246"/>
      <c r="E74" s="360"/>
      <c r="F74" s="360"/>
      <c r="G74" s="246"/>
      <c r="H74" s="246"/>
      <c r="I74" s="246"/>
      <c r="J74" s="246"/>
      <c r="K74" s="246"/>
    </row>
    <row r="75" spans="1:11">
      <c r="A75" s="246"/>
      <c r="B75" s="236"/>
      <c r="C75" s="240"/>
      <c r="D75" s="240"/>
      <c r="E75" s="241"/>
      <c r="F75" s="241"/>
      <c r="G75" s="241"/>
      <c r="H75" s="241"/>
      <c r="I75" s="241"/>
      <c r="J75" s="241"/>
      <c r="K75" s="241"/>
    </row>
    <row r="76" spans="1:11">
      <c r="A76" s="246"/>
      <c r="B76" s="236"/>
      <c r="C76" s="240"/>
      <c r="D76" s="240"/>
      <c r="E76" s="241"/>
      <c r="F76" s="241"/>
      <c r="G76" s="241"/>
      <c r="H76" s="241"/>
      <c r="I76" s="241"/>
      <c r="J76" s="241"/>
      <c r="K76" s="241"/>
    </row>
    <row r="77" spans="1:11">
      <c r="A77" s="246"/>
      <c r="B77" s="236"/>
      <c r="C77" s="240"/>
      <c r="D77" s="240"/>
      <c r="E77" s="241"/>
      <c r="F77" s="241"/>
      <c r="G77" s="241"/>
      <c r="H77" s="241"/>
      <c r="I77" s="241"/>
      <c r="J77" s="241"/>
      <c r="K77" s="241"/>
    </row>
    <row r="78" spans="1:11">
      <c r="A78" s="246"/>
      <c r="B78" s="236"/>
      <c r="C78" s="240"/>
      <c r="D78" s="240"/>
      <c r="E78" s="241"/>
      <c r="F78" s="241"/>
      <c r="G78" s="241"/>
      <c r="H78" s="241"/>
      <c r="I78" s="241"/>
      <c r="J78" s="241"/>
      <c r="K78" s="241"/>
    </row>
    <row r="79" spans="1:11" ht="11.25" customHeight="1">
      <c r="A79" s="246"/>
      <c r="B79" s="236"/>
      <c r="C79" s="246"/>
      <c r="D79" s="246"/>
      <c r="E79" s="246"/>
      <c r="F79" s="246"/>
      <c r="G79" s="246"/>
    </row>
    <row r="80" spans="1:11" ht="11.25" customHeight="1">
      <c r="A80" s="246"/>
      <c r="B80" s="246"/>
      <c r="C80" s="246"/>
      <c r="D80" s="246"/>
      <c r="E80" s="246"/>
      <c r="F80" s="246"/>
      <c r="G80" s="246"/>
    </row>
    <row r="81" spans="1:7" ht="11.25" customHeight="1">
      <c r="A81" s="246"/>
      <c r="B81" s="246"/>
      <c r="C81" s="246"/>
      <c r="D81" s="246"/>
      <c r="E81" s="246"/>
      <c r="F81" s="246"/>
      <c r="G81" s="246"/>
    </row>
    <row r="82" spans="1:7" ht="11.25" customHeight="1">
      <c r="A82" s="246"/>
      <c r="B82" s="246"/>
      <c r="C82" s="246"/>
      <c r="D82" s="246"/>
      <c r="E82" s="246"/>
      <c r="F82" s="246"/>
      <c r="G82" s="246"/>
    </row>
    <row r="83" spans="1:7" ht="11.25" customHeight="1">
      <c r="A83" s="246"/>
      <c r="B83" s="236"/>
      <c r="C83" s="246"/>
      <c r="D83" s="246"/>
      <c r="E83" s="246"/>
      <c r="F83" s="246"/>
      <c r="G83" s="246"/>
    </row>
    <row r="84" spans="1:7" ht="11.25" customHeight="1"/>
    <row r="85" spans="1:7" ht="11.25" customHeight="1"/>
    <row r="86" spans="1:7" ht="11.25" customHeight="1"/>
    <row r="87" spans="1:7" ht="11.25" customHeight="1"/>
    <row r="88" spans="1:7" ht="11.25" customHeight="1"/>
    <row r="89" spans="1:7" ht="11.25" customHeight="1"/>
    <row r="90" spans="1:7" ht="11.25" customHeight="1"/>
    <row r="91" spans="1:7" ht="11.25" customHeight="1"/>
    <row r="92" spans="1:7" ht="11.25" customHeight="1"/>
    <row r="93" spans="1:7" ht="11.25" customHeight="1"/>
    <row r="94" spans="1:7" ht="11.25" customHeight="1"/>
    <row r="95" spans="1:7" ht="11.25" customHeight="1"/>
    <row r="96" spans="1:7"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sheetData>
  <sheetProtection sheet="1" objects="1" scenarios="1"/>
  <mergeCells count="4">
    <mergeCell ref="F2:H2"/>
    <mergeCell ref="I2:K2"/>
    <mergeCell ref="B2:B4"/>
    <mergeCell ref="A2:A3"/>
  </mergeCells>
  <phoneticPr fontId="5"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headerFooter alignWithMargins="0"/>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enableFormatConditionsCalculation="0">
    <tabColor indexed="42"/>
  </sheetPr>
  <dimension ref="A1:S146"/>
  <sheetViews>
    <sheetView showGridLines="0" workbookViewId="0">
      <pane xSplit="2" ySplit="2" topLeftCell="C30" activePane="bottomRight" state="frozen"/>
      <selection pane="topRight"/>
      <selection pane="bottomLeft"/>
      <selection pane="bottomRight" activeCell="C38" sqref="C38:R47"/>
    </sheetView>
  </sheetViews>
  <sheetFormatPr baseColWidth="10" defaultColWidth="8.83203125" defaultRowHeight="10" x14ac:dyDescent="0"/>
  <cols>
    <col min="1" max="1" width="30.6640625" style="149" customWidth="1"/>
    <col min="2" max="2" width="3" style="654" customWidth="1"/>
    <col min="3" max="18" width="8.1640625" style="149" customWidth="1"/>
    <col min="19" max="19" width="9.83203125" style="149" customWidth="1"/>
    <col min="20" max="20" width="9.5" style="149" customWidth="1"/>
    <col min="21" max="21" width="9.83203125" style="149" customWidth="1"/>
    <col min="22" max="24" width="9.5" style="149" customWidth="1"/>
    <col min="25" max="25" width="9.83203125" style="149" customWidth="1"/>
    <col min="26" max="28" width="9.5" style="149" customWidth="1"/>
    <col min="29" max="30" width="9.83203125" style="149" customWidth="1"/>
    <col min="31" max="16384" width="8.83203125" style="149"/>
  </cols>
  <sheetData>
    <row r="1" spans="1:18" ht="12">
      <c r="A1" s="147" t="str">
        <f>muni&amp;" - "&amp;TableA12a</f>
        <v>NW373 Rustenburg - Supporting Table SA12a Property rates by category (current year)</v>
      </c>
      <c r="B1" s="633"/>
      <c r="C1" s="147"/>
      <c r="D1" s="147"/>
      <c r="E1" s="147"/>
      <c r="F1" s="147"/>
      <c r="G1" s="147"/>
      <c r="H1" s="147"/>
      <c r="I1" s="147"/>
      <c r="J1" s="147"/>
      <c r="K1" s="147"/>
      <c r="L1" s="147"/>
      <c r="M1" s="147"/>
      <c r="N1" s="147"/>
      <c r="O1" s="147"/>
      <c r="P1" s="147"/>
      <c r="Q1" s="147"/>
      <c r="R1" s="147"/>
    </row>
    <row r="2" spans="1:18" ht="30">
      <c r="A2" s="634" t="str">
        <f>desc</f>
        <v>Description</v>
      </c>
      <c r="B2" s="635" t="str">
        <f>head27</f>
        <v>Ref</v>
      </c>
      <c r="C2" s="519" t="s">
        <v>1076</v>
      </c>
      <c r="D2" s="519" t="s">
        <v>1077</v>
      </c>
      <c r="E2" s="519" t="s">
        <v>1078</v>
      </c>
      <c r="F2" s="519" t="s">
        <v>1079</v>
      </c>
      <c r="G2" s="519" t="s">
        <v>1463</v>
      </c>
      <c r="H2" s="519" t="s">
        <v>1546</v>
      </c>
      <c r="I2" s="519" t="s">
        <v>1464</v>
      </c>
      <c r="J2" s="519" t="s">
        <v>1080</v>
      </c>
      <c r="K2" s="519" t="s">
        <v>415</v>
      </c>
      <c r="L2" s="519" t="s">
        <v>1081</v>
      </c>
      <c r="M2" s="519" t="s">
        <v>416</v>
      </c>
      <c r="N2" s="519" t="s">
        <v>1547</v>
      </c>
      <c r="O2" s="519" t="s">
        <v>1082</v>
      </c>
      <c r="P2" s="519" t="s">
        <v>417</v>
      </c>
      <c r="Q2" s="519" t="s">
        <v>1548</v>
      </c>
      <c r="R2" s="636" t="s">
        <v>1549</v>
      </c>
    </row>
    <row r="3" spans="1:18" ht="11.25" customHeight="1">
      <c r="A3" s="249" t="str">
        <f>Head2</f>
        <v>Current Year 2012/13</v>
      </c>
      <c r="B3" s="182"/>
      <c r="C3" s="637"/>
      <c r="D3" s="637"/>
      <c r="E3" s="637"/>
      <c r="F3" s="637"/>
      <c r="G3" s="637"/>
      <c r="H3" s="637"/>
      <c r="I3" s="637"/>
      <c r="J3" s="637"/>
      <c r="K3" s="637"/>
      <c r="L3" s="637"/>
      <c r="M3" s="637"/>
      <c r="N3" s="637"/>
      <c r="O3" s="637"/>
      <c r="P3" s="637"/>
      <c r="Q3" s="637"/>
      <c r="R3" s="638"/>
    </row>
    <row r="4" spans="1:18" ht="11.25" customHeight="1">
      <c r="A4" s="249" t="s">
        <v>759</v>
      </c>
      <c r="B4" s="182"/>
      <c r="C4" s="637"/>
      <c r="D4" s="637"/>
      <c r="E4" s="637"/>
      <c r="F4" s="637"/>
      <c r="G4" s="637"/>
      <c r="H4" s="637"/>
      <c r="I4" s="637"/>
      <c r="J4" s="637"/>
      <c r="K4" s="637"/>
      <c r="L4" s="637"/>
      <c r="M4" s="637"/>
      <c r="N4" s="637"/>
      <c r="O4" s="637"/>
      <c r="P4" s="637"/>
      <c r="Q4" s="637"/>
      <c r="R4" s="638"/>
    </row>
    <row r="5" spans="1:18" ht="11.25" customHeight="1">
      <c r="A5" s="250" t="s">
        <v>412</v>
      </c>
      <c r="B5" s="182"/>
      <c r="C5" s="2654">
        <v>64190</v>
      </c>
      <c r="D5" s="2654">
        <v>491</v>
      </c>
      <c r="E5" s="2654">
        <v>1497</v>
      </c>
      <c r="F5" s="2654">
        <v>29233</v>
      </c>
      <c r="G5" s="2654">
        <v>448</v>
      </c>
      <c r="H5" s="2654">
        <v>875</v>
      </c>
      <c r="I5" s="2654">
        <v>163</v>
      </c>
      <c r="J5" s="2654"/>
      <c r="K5" s="2654"/>
      <c r="L5" s="2654"/>
      <c r="M5" s="2654"/>
      <c r="N5" s="2654"/>
      <c r="O5" s="2654"/>
      <c r="P5" s="2654"/>
      <c r="Q5" s="2654">
        <v>5</v>
      </c>
      <c r="R5" s="2655">
        <v>62</v>
      </c>
    </row>
    <row r="6" spans="1:18" ht="11.25" customHeight="1">
      <c r="A6" s="250" t="s">
        <v>1401</v>
      </c>
      <c r="B6" s="182"/>
      <c r="C6" s="2654">
        <v>8155</v>
      </c>
      <c r="D6" s="2654"/>
      <c r="E6" s="2654"/>
      <c r="F6" s="2654"/>
      <c r="G6" s="2654"/>
      <c r="H6" s="2654"/>
      <c r="I6" s="2654"/>
      <c r="J6" s="2654"/>
      <c r="K6" s="2654"/>
      <c r="L6" s="2654"/>
      <c r="M6" s="2654"/>
      <c r="N6" s="2654"/>
      <c r="O6" s="2654"/>
      <c r="P6" s="2654"/>
      <c r="Q6" s="2654"/>
      <c r="R6" s="2655"/>
    </row>
    <row r="7" spans="1:18" ht="11.25" customHeight="1">
      <c r="A7" s="250" t="s">
        <v>414</v>
      </c>
      <c r="B7" s="182"/>
      <c r="C7" s="2654"/>
      <c r="D7" s="2654"/>
      <c r="E7" s="2654"/>
      <c r="F7" s="2654"/>
      <c r="G7" s="2654"/>
      <c r="H7" s="2654"/>
      <c r="I7" s="2654"/>
      <c r="J7" s="2654"/>
      <c r="K7" s="2654"/>
      <c r="L7" s="2654"/>
      <c r="M7" s="2654"/>
      <c r="N7" s="2654"/>
      <c r="O7" s="2654"/>
      <c r="P7" s="2654"/>
      <c r="Q7" s="2654"/>
      <c r="R7" s="2655"/>
    </row>
    <row r="8" spans="1:18" ht="11.25" customHeight="1">
      <c r="A8" s="250" t="s">
        <v>750</v>
      </c>
      <c r="B8" s="182"/>
      <c r="C8" s="2654"/>
      <c r="D8" s="2654"/>
      <c r="E8" s="2654"/>
      <c r="F8" s="2654"/>
      <c r="G8" s="2654"/>
      <c r="H8" s="2654"/>
      <c r="I8" s="2654"/>
      <c r="J8" s="2654"/>
      <c r="K8" s="2654"/>
      <c r="L8" s="2654"/>
      <c r="M8" s="2654"/>
      <c r="N8" s="2654"/>
      <c r="O8" s="2654"/>
      <c r="P8" s="2654"/>
      <c r="Q8" s="2654"/>
      <c r="R8" s="2655"/>
    </row>
    <row r="9" spans="1:18" ht="11.25" customHeight="1">
      <c r="A9" s="250" t="s">
        <v>1402</v>
      </c>
      <c r="B9" s="182"/>
      <c r="C9" s="2654">
        <v>0</v>
      </c>
      <c r="D9" s="2654">
        <v>0</v>
      </c>
      <c r="E9" s="2654">
        <v>0</v>
      </c>
      <c r="F9" s="2654">
        <v>0</v>
      </c>
      <c r="G9" s="2654">
        <v>0</v>
      </c>
      <c r="H9" s="2654">
        <v>0</v>
      </c>
      <c r="I9" s="2654">
        <v>0</v>
      </c>
      <c r="J9" s="2654">
        <v>0</v>
      </c>
      <c r="K9" s="2654">
        <v>0</v>
      </c>
      <c r="L9" s="2654">
        <v>0</v>
      </c>
      <c r="M9" s="2654">
        <v>0</v>
      </c>
      <c r="N9" s="2654">
        <v>0</v>
      </c>
      <c r="O9" s="2654">
        <v>0</v>
      </c>
      <c r="P9" s="2654">
        <v>0</v>
      </c>
      <c r="Q9" s="2654">
        <v>0</v>
      </c>
      <c r="R9" s="2654">
        <v>0</v>
      </c>
    </row>
    <row r="10" spans="1:18" ht="11.25" customHeight="1">
      <c r="A10" s="250" t="s">
        <v>751</v>
      </c>
      <c r="B10" s="182"/>
      <c r="C10" s="2654">
        <v>0</v>
      </c>
      <c r="D10" s="2654">
        <v>0</v>
      </c>
      <c r="E10" s="2654">
        <v>0</v>
      </c>
      <c r="F10" s="2654">
        <v>0</v>
      </c>
      <c r="G10" s="2654">
        <v>0</v>
      </c>
      <c r="H10" s="2654">
        <v>0</v>
      </c>
      <c r="I10" s="2654">
        <v>0</v>
      </c>
      <c r="J10" s="2654">
        <v>0</v>
      </c>
      <c r="K10" s="2654">
        <v>0</v>
      </c>
      <c r="L10" s="2654">
        <v>0</v>
      </c>
      <c r="M10" s="2654">
        <v>0</v>
      </c>
      <c r="N10" s="2654">
        <v>0</v>
      </c>
      <c r="O10" s="2654">
        <v>0</v>
      </c>
      <c r="P10" s="2654">
        <v>0</v>
      </c>
      <c r="Q10" s="2654">
        <v>0</v>
      </c>
      <c r="R10" s="2654">
        <v>0</v>
      </c>
    </row>
    <row r="11" spans="1:18" ht="11.25" customHeight="1">
      <c r="A11" s="250" t="s">
        <v>367</v>
      </c>
      <c r="B11" s="182"/>
      <c r="C11" s="2654">
        <v>0</v>
      </c>
      <c r="D11" s="2654">
        <v>0</v>
      </c>
      <c r="E11" s="2654">
        <v>0</v>
      </c>
      <c r="F11" s="2654">
        <v>0</v>
      </c>
      <c r="G11" s="2654">
        <v>0</v>
      </c>
      <c r="H11" s="2654">
        <v>0</v>
      </c>
      <c r="I11" s="2654">
        <v>0</v>
      </c>
      <c r="J11" s="2654">
        <v>0</v>
      </c>
      <c r="K11" s="2654">
        <v>0</v>
      </c>
      <c r="L11" s="2654">
        <v>0</v>
      </c>
      <c r="M11" s="2654">
        <v>0</v>
      </c>
      <c r="N11" s="2654">
        <v>0</v>
      </c>
      <c r="O11" s="2654">
        <v>0</v>
      </c>
      <c r="P11" s="2654">
        <v>0</v>
      </c>
      <c r="Q11" s="2654">
        <v>0</v>
      </c>
      <c r="R11" s="2654">
        <v>0</v>
      </c>
    </row>
    <row r="12" spans="1:18" ht="11.25" customHeight="1">
      <c r="A12" s="250" t="s">
        <v>368</v>
      </c>
      <c r="B12" s="182"/>
      <c r="C12" s="2654">
        <v>0</v>
      </c>
      <c r="D12" s="2654">
        <v>0</v>
      </c>
      <c r="E12" s="2654">
        <v>0</v>
      </c>
      <c r="F12" s="2654">
        <v>0</v>
      </c>
      <c r="G12" s="2654">
        <v>0</v>
      </c>
      <c r="H12" s="2654">
        <v>0</v>
      </c>
      <c r="I12" s="2654">
        <v>0</v>
      </c>
      <c r="J12" s="2654">
        <v>0</v>
      </c>
      <c r="K12" s="2654">
        <v>0</v>
      </c>
      <c r="L12" s="2654">
        <v>0</v>
      </c>
      <c r="M12" s="2654">
        <v>0</v>
      </c>
      <c r="N12" s="2654">
        <v>0</v>
      </c>
      <c r="O12" s="2654">
        <v>0</v>
      </c>
      <c r="P12" s="2654">
        <v>0</v>
      </c>
      <c r="Q12" s="2654">
        <v>0</v>
      </c>
      <c r="R12" s="2654">
        <v>0</v>
      </c>
    </row>
    <row r="13" spans="1:18" ht="11.25" customHeight="1">
      <c r="A13" s="250" t="s">
        <v>369</v>
      </c>
      <c r="B13" s="182"/>
      <c r="C13" s="2654">
        <v>0</v>
      </c>
      <c r="D13" s="2654">
        <v>0</v>
      </c>
      <c r="E13" s="2654">
        <v>0</v>
      </c>
      <c r="F13" s="2654">
        <v>0</v>
      </c>
      <c r="G13" s="2654">
        <v>0</v>
      </c>
      <c r="H13" s="2654">
        <v>0</v>
      </c>
      <c r="I13" s="2654">
        <v>0</v>
      </c>
      <c r="J13" s="2654">
        <v>0</v>
      </c>
      <c r="K13" s="2654">
        <v>0</v>
      </c>
      <c r="L13" s="2654">
        <v>0</v>
      </c>
      <c r="M13" s="2654">
        <v>0</v>
      </c>
      <c r="N13" s="2654">
        <v>0</v>
      </c>
      <c r="O13" s="2654">
        <v>0</v>
      </c>
      <c r="P13" s="2654">
        <v>0</v>
      </c>
      <c r="Q13" s="2654">
        <v>0</v>
      </c>
      <c r="R13" s="2654">
        <v>0</v>
      </c>
    </row>
    <row r="14" spans="1:18" ht="11.25" customHeight="1">
      <c r="A14" s="250" t="s">
        <v>761</v>
      </c>
      <c r="B14" s="182">
        <v>5</v>
      </c>
      <c r="C14" s="2654">
        <v>0</v>
      </c>
      <c r="D14" s="2654">
        <v>0</v>
      </c>
      <c r="E14" s="2654">
        <v>0</v>
      </c>
      <c r="F14" s="2654">
        <v>0</v>
      </c>
      <c r="G14" s="2654">
        <v>0</v>
      </c>
      <c r="H14" s="2654">
        <v>0</v>
      </c>
      <c r="I14" s="2654">
        <v>0</v>
      </c>
      <c r="J14" s="2654">
        <v>0</v>
      </c>
      <c r="K14" s="2654">
        <v>0</v>
      </c>
      <c r="L14" s="2654">
        <v>0</v>
      </c>
      <c r="M14" s="2654">
        <v>0</v>
      </c>
      <c r="N14" s="2654">
        <v>0</v>
      </c>
      <c r="O14" s="2654">
        <v>0</v>
      </c>
      <c r="P14" s="2654">
        <v>0</v>
      </c>
      <c r="Q14" s="2654">
        <v>0</v>
      </c>
      <c r="R14" s="2654">
        <v>0</v>
      </c>
    </row>
    <row r="15" spans="1:18" ht="11.25" customHeight="1">
      <c r="A15" s="250" t="s">
        <v>749</v>
      </c>
      <c r="B15" s="182">
        <v>5</v>
      </c>
      <c r="C15" s="2654">
        <v>0</v>
      </c>
      <c r="D15" s="2654">
        <v>0</v>
      </c>
      <c r="E15" s="2654">
        <v>0</v>
      </c>
      <c r="F15" s="2654">
        <v>0</v>
      </c>
      <c r="G15" s="2654">
        <v>0</v>
      </c>
      <c r="H15" s="2654">
        <v>0</v>
      </c>
      <c r="I15" s="2654">
        <v>0</v>
      </c>
      <c r="J15" s="2654">
        <v>0</v>
      </c>
      <c r="K15" s="2654">
        <v>0</v>
      </c>
      <c r="L15" s="2654">
        <v>0</v>
      </c>
      <c r="M15" s="2654">
        <v>0</v>
      </c>
      <c r="N15" s="2654">
        <v>0</v>
      </c>
      <c r="O15" s="2654">
        <v>0</v>
      </c>
      <c r="P15" s="2654">
        <v>0</v>
      </c>
      <c r="Q15" s="2654">
        <v>0</v>
      </c>
      <c r="R15" s="2654">
        <v>0</v>
      </c>
    </row>
    <row r="16" spans="1:18" ht="11.25" customHeight="1">
      <c r="A16" s="254" t="s">
        <v>1403</v>
      </c>
      <c r="B16" s="350"/>
      <c r="C16" s="2656">
        <v>5000</v>
      </c>
      <c r="D16" s="2656">
        <v>50</v>
      </c>
      <c r="E16" s="2656">
        <v>60</v>
      </c>
      <c r="F16" s="2656">
        <v>100</v>
      </c>
      <c r="G16" s="2656">
        <v>100</v>
      </c>
      <c r="H16" s="2656">
        <v>100</v>
      </c>
      <c r="I16" s="2657"/>
      <c r="J16" s="2656"/>
      <c r="K16" s="2656"/>
      <c r="L16" s="2656"/>
      <c r="M16" s="2656"/>
      <c r="N16" s="2656"/>
      <c r="O16" s="2656"/>
      <c r="P16" s="2656"/>
      <c r="Q16" s="2656">
        <v>4</v>
      </c>
      <c r="R16" s="2658">
        <v>2</v>
      </c>
    </row>
    <row r="17" spans="1:18" ht="11.25" customHeight="1">
      <c r="A17" s="250" t="s">
        <v>1684</v>
      </c>
      <c r="B17" s="182"/>
      <c r="C17" s="2659"/>
      <c r="D17" s="2659"/>
      <c r="E17" s="2659"/>
      <c r="F17" s="2659"/>
      <c r="G17" s="2659"/>
      <c r="H17" s="2659"/>
      <c r="I17" s="2659"/>
      <c r="J17" s="2659"/>
      <c r="K17" s="2659"/>
      <c r="L17" s="2659"/>
      <c r="M17" s="2659"/>
      <c r="N17" s="2659"/>
      <c r="O17" s="2659"/>
      <c r="P17" s="2659"/>
      <c r="Q17" s="2659"/>
      <c r="R17" s="2660"/>
    </row>
    <row r="18" spans="1:18" ht="11.25" customHeight="1">
      <c r="A18" s="250" t="s">
        <v>1685</v>
      </c>
      <c r="B18" s="182"/>
      <c r="C18" s="2659"/>
      <c r="D18" s="2661"/>
      <c r="E18" s="2661"/>
      <c r="F18" s="2661"/>
      <c r="G18" s="2661"/>
      <c r="H18" s="2661"/>
      <c r="I18" s="2661"/>
      <c r="J18" s="2661"/>
      <c r="K18" s="2661"/>
      <c r="L18" s="2661"/>
      <c r="M18" s="2661"/>
      <c r="N18" s="2661"/>
      <c r="O18" s="2661"/>
      <c r="P18" s="2661"/>
      <c r="Q18" s="2661"/>
      <c r="R18" s="2662"/>
    </row>
    <row r="19" spans="1:18" ht="11.25" customHeight="1">
      <c r="A19" s="250" t="s">
        <v>1686</v>
      </c>
      <c r="B19" s="182"/>
      <c r="C19" s="2659"/>
      <c r="D19" s="2659"/>
      <c r="E19" s="2659"/>
      <c r="F19" s="2659"/>
      <c r="G19" s="2659"/>
      <c r="H19" s="2659"/>
      <c r="I19" s="2659"/>
      <c r="J19" s="2659"/>
      <c r="K19" s="2659"/>
      <c r="L19" s="2659"/>
      <c r="M19" s="2659"/>
      <c r="N19" s="2659"/>
      <c r="O19" s="2659"/>
      <c r="P19" s="2659"/>
      <c r="Q19" s="2659"/>
      <c r="R19" s="2660"/>
    </row>
    <row r="20" spans="1:18" ht="11.25" customHeight="1">
      <c r="A20" s="250" t="s">
        <v>1687</v>
      </c>
      <c r="B20" s="182"/>
      <c r="C20" s="2659"/>
      <c r="D20" s="2659"/>
      <c r="E20" s="2659"/>
      <c r="F20" s="2659"/>
      <c r="G20" s="2659"/>
      <c r="H20" s="2659"/>
      <c r="I20" s="2659"/>
      <c r="J20" s="2659"/>
      <c r="K20" s="2659"/>
      <c r="L20" s="2659"/>
      <c r="M20" s="2659"/>
      <c r="N20" s="2659"/>
      <c r="O20" s="2659"/>
      <c r="P20" s="2659"/>
      <c r="Q20" s="2659"/>
      <c r="R20" s="2660"/>
    </row>
    <row r="21" spans="1:18" ht="11.25" customHeight="1">
      <c r="A21" s="250" t="s">
        <v>164</v>
      </c>
      <c r="B21" s="182"/>
      <c r="C21" s="2659"/>
      <c r="D21" s="2659"/>
      <c r="E21" s="2659"/>
      <c r="F21" s="2659"/>
      <c r="G21" s="2659"/>
      <c r="H21" s="2659"/>
      <c r="I21" s="2659"/>
      <c r="J21" s="2659"/>
      <c r="K21" s="2659"/>
      <c r="L21" s="2659"/>
      <c r="M21" s="2659"/>
      <c r="N21" s="2659"/>
      <c r="O21" s="2659"/>
      <c r="P21" s="2659"/>
      <c r="Q21" s="2659"/>
      <c r="R21" s="2660"/>
    </row>
    <row r="22" spans="1:18" ht="11.25" customHeight="1">
      <c r="A22" s="250" t="s">
        <v>678</v>
      </c>
      <c r="B22" s="639"/>
      <c r="C22" s="2659"/>
      <c r="D22" s="2659"/>
      <c r="E22" s="2659"/>
      <c r="F22" s="2659"/>
      <c r="G22" s="2659"/>
      <c r="H22" s="2659"/>
      <c r="I22" s="2659"/>
      <c r="J22" s="2659"/>
      <c r="K22" s="2659"/>
      <c r="L22" s="2659"/>
      <c r="M22" s="2659"/>
      <c r="N22" s="2659"/>
      <c r="O22" s="2659"/>
      <c r="P22" s="2659"/>
      <c r="Q22" s="2659"/>
      <c r="R22" s="2660"/>
    </row>
    <row r="23" spans="1:18" ht="11.25" customHeight="1">
      <c r="A23" s="250" t="s">
        <v>679</v>
      </c>
      <c r="B23" s="639"/>
      <c r="C23" s="2659"/>
      <c r="D23" s="2659"/>
      <c r="E23" s="2659"/>
      <c r="F23" s="2659"/>
      <c r="G23" s="2659"/>
      <c r="H23" s="2659"/>
      <c r="I23" s="2659"/>
      <c r="J23" s="2659"/>
      <c r="K23" s="2659"/>
      <c r="L23" s="2659"/>
      <c r="M23" s="2659"/>
      <c r="N23" s="2659"/>
      <c r="O23" s="2659"/>
      <c r="P23" s="2659"/>
      <c r="Q23" s="2659"/>
      <c r="R23" s="2660"/>
    </row>
    <row r="24" spans="1:18" ht="11.25" customHeight="1">
      <c r="A24" s="250" t="s">
        <v>312</v>
      </c>
      <c r="B24" s="639"/>
      <c r="C24" s="2659"/>
      <c r="D24" s="2659"/>
      <c r="E24" s="2659"/>
      <c r="F24" s="2659"/>
      <c r="G24" s="2659"/>
      <c r="H24" s="2659"/>
      <c r="I24" s="2659"/>
      <c r="J24" s="2659"/>
      <c r="K24" s="2659"/>
      <c r="L24" s="2659"/>
      <c r="M24" s="2659"/>
      <c r="N24" s="2659"/>
      <c r="O24" s="2659"/>
      <c r="P24" s="2659"/>
      <c r="Q24" s="2659"/>
      <c r="R24" s="2660"/>
    </row>
    <row r="25" spans="1:18" ht="11.25" customHeight="1">
      <c r="A25" s="249" t="s">
        <v>1543</v>
      </c>
      <c r="B25" s="182"/>
      <c r="C25" s="599"/>
      <c r="D25" s="599"/>
      <c r="E25" s="599"/>
      <c r="F25" s="599"/>
      <c r="G25" s="599"/>
      <c r="H25" s="599"/>
      <c r="I25" s="599"/>
      <c r="J25" s="599"/>
      <c r="K25" s="599"/>
      <c r="L25" s="599"/>
      <c r="M25" s="599"/>
      <c r="N25" s="599"/>
      <c r="O25" s="599"/>
      <c r="P25" s="599"/>
      <c r="Q25" s="599"/>
      <c r="R25" s="602"/>
    </row>
    <row r="26" spans="1:18" ht="11.25" customHeight="1">
      <c r="A26" s="250" t="s">
        <v>524</v>
      </c>
      <c r="B26" s="182"/>
      <c r="C26" s="2663"/>
      <c r="D26" s="2663"/>
      <c r="E26" s="2663"/>
      <c r="F26" s="2663"/>
      <c r="G26" s="2663"/>
      <c r="H26" s="2663"/>
      <c r="I26" s="2663"/>
      <c r="J26" s="2663"/>
      <c r="K26" s="2663"/>
      <c r="L26" s="2663"/>
      <c r="M26" s="2663"/>
      <c r="N26" s="2663"/>
      <c r="O26" s="2663"/>
      <c r="P26" s="2663"/>
      <c r="Q26" s="2663"/>
      <c r="R26" s="2664"/>
    </row>
    <row r="27" spans="1:18" ht="11.25" customHeight="1">
      <c r="A27" s="250" t="s">
        <v>525</v>
      </c>
      <c r="B27" s="182"/>
      <c r="C27" s="2663"/>
      <c r="D27" s="2663"/>
      <c r="E27" s="2663"/>
      <c r="F27" s="2663"/>
      <c r="G27" s="2663"/>
      <c r="H27" s="2663"/>
      <c r="I27" s="2663"/>
      <c r="J27" s="2663"/>
      <c r="K27" s="2663"/>
      <c r="L27" s="2663"/>
      <c r="M27" s="2663"/>
      <c r="N27" s="2663"/>
      <c r="O27" s="2663"/>
      <c r="P27" s="2663"/>
      <c r="Q27" s="2663"/>
      <c r="R27" s="2664"/>
    </row>
    <row r="28" spans="1:18" ht="11.25" customHeight="1">
      <c r="A28" s="250" t="s">
        <v>526</v>
      </c>
      <c r="B28" s="182"/>
      <c r="C28" s="2663"/>
      <c r="D28" s="2663"/>
      <c r="E28" s="2663"/>
      <c r="F28" s="2663"/>
      <c r="G28" s="2663"/>
      <c r="H28" s="2663"/>
      <c r="I28" s="2663"/>
      <c r="J28" s="2663"/>
      <c r="K28" s="2663"/>
      <c r="L28" s="2663"/>
      <c r="M28" s="2663"/>
      <c r="N28" s="2663"/>
      <c r="O28" s="2663"/>
      <c r="P28" s="2663"/>
      <c r="Q28" s="2663"/>
      <c r="R28" s="2664"/>
    </row>
    <row r="29" spans="1:18" ht="11.25" customHeight="1">
      <c r="A29" s="250" t="s">
        <v>527</v>
      </c>
      <c r="B29" s="182"/>
      <c r="C29" s="2663">
        <v>3200000</v>
      </c>
      <c r="D29" s="2663"/>
      <c r="E29" s="2663"/>
      <c r="F29" s="2663"/>
      <c r="G29" s="2663"/>
      <c r="H29" s="2663"/>
      <c r="I29" s="2663"/>
      <c r="J29" s="2663"/>
      <c r="K29" s="2663"/>
      <c r="L29" s="2663"/>
      <c r="M29" s="2663"/>
      <c r="N29" s="2663"/>
      <c r="O29" s="2663"/>
      <c r="P29" s="2663"/>
      <c r="Q29" s="2663"/>
      <c r="R29" s="2664"/>
    </row>
    <row r="30" spans="1:18" ht="11.25" customHeight="1">
      <c r="A30" s="250" t="s">
        <v>528</v>
      </c>
      <c r="B30" s="182"/>
      <c r="C30" s="2663">
        <v>1300000</v>
      </c>
      <c r="D30" s="2663"/>
      <c r="E30" s="2663"/>
      <c r="F30" s="2663"/>
      <c r="G30" s="2663"/>
      <c r="H30" s="2663"/>
      <c r="I30" s="2663"/>
      <c r="J30" s="2663"/>
      <c r="K30" s="2663"/>
      <c r="L30" s="2663"/>
      <c r="M30" s="2663"/>
      <c r="N30" s="2663"/>
      <c r="O30" s="2663"/>
      <c r="P30" s="2663"/>
      <c r="Q30" s="2663"/>
      <c r="R30" s="2664"/>
    </row>
    <row r="31" spans="1:18" ht="11.25" customHeight="1">
      <c r="A31" s="250" t="s">
        <v>529</v>
      </c>
      <c r="B31" s="639">
        <v>2</v>
      </c>
      <c r="C31" s="2663"/>
      <c r="D31" s="2663"/>
      <c r="E31" s="2663"/>
      <c r="F31" s="2663"/>
      <c r="G31" s="2663"/>
      <c r="H31" s="2663"/>
      <c r="I31" s="2663"/>
      <c r="J31" s="2663"/>
      <c r="K31" s="2663"/>
      <c r="L31" s="2663"/>
      <c r="M31" s="2663"/>
      <c r="N31" s="2663"/>
      <c r="O31" s="2663"/>
      <c r="P31" s="2663"/>
      <c r="Q31" s="2663"/>
      <c r="R31" s="2664"/>
    </row>
    <row r="32" spans="1:18" ht="11.25" customHeight="1">
      <c r="A32" s="265" t="s">
        <v>1544</v>
      </c>
      <c r="B32" s="182"/>
      <c r="C32" s="640"/>
      <c r="D32" s="640"/>
      <c r="E32" s="640"/>
      <c r="F32" s="640"/>
      <c r="G32" s="640"/>
      <c r="H32" s="640"/>
      <c r="I32" s="640"/>
      <c r="J32" s="640"/>
      <c r="K32" s="640"/>
      <c r="L32" s="640"/>
      <c r="M32" s="640"/>
      <c r="N32" s="640"/>
      <c r="O32" s="640"/>
      <c r="P32" s="640"/>
      <c r="Q32" s="640"/>
      <c r="R32" s="641"/>
    </row>
    <row r="33" spans="1:19" ht="15.75" customHeight="1">
      <c r="A33" s="250" t="s">
        <v>1457</v>
      </c>
      <c r="B33" s="182">
        <v>6</v>
      </c>
      <c r="C33" s="1859"/>
      <c r="D33" s="1859"/>
      <c r="E33" s="1859"/>
      <c r="F33" s="1859"/>
      <c r="G33" s="1859"/>
      <c r="H33" s="1859"/>
      <c r="I33" s="1859"/>
      <c r="J33" s="1859"/>
      <c r="K33" s="1859"/>
      <c r="L33" s="1859"/>
      <c r="M33" s="1859"/>
      <c r="N33" s="1859"/>
      <c r="O33" s="1859"/>
      <c r="P33" s="1859"/>
      <c r="Q33" s="1859"/>
      <c r="R33" s="1862"/>
    </row>
    <row r="34" spans="1:19" ht="11.25" customHeight="1">
      <c r="A34" s="250" t="s">
        <v>1458</v>
      </c>
      <c r="B34" s="182">
        <v>6</v>
      </c>
      <c r="C34" s="1859"/>
      <c r="D34" s="1859"/>
      <c r="E34" s="1859"/>
      <c r="F34" s="1859"/>
      <c r="G34" s="1859"/>
      <c r="H34" s="1859"/>
      <c r="I34" s="1859"/>
      <c r="J34" s="1859"/>
      <c r="K34" s="1859"/>
      <c r="L34" s="1859"/>
      <c r="M34" s="1859"/>
      <c r="N34" s="1859"/>
      <c r="O34" s="1859"/>
      <c r="P34" s="1859"/>
      <c r="Q34" s="1859"/>
      <c r="R34" s="1862"/>
    </row>
    <row r="35" spans="1:19" ht="11.25" customHeight="1">
      <c r="A35" s="250" t="s">
        <v>1459</v>
      </c>
      <c r="B35" s="182">
        <v>6</v>
      </c>
      <c r="C35" s="1859"/>
      <c r="D35" s="1859"/>
      <c r="E35" s="1859"/>
      <c r="F35" s="1859"/>
      <c r="G35" s="1859"/>
      <c r="H35" s="1859"/>
      <c r="I35" s="1859"/>
      <c r="J35" s="1859"/>
      <c r="K35" s="1859"/>
      <c r="L35" s="1859"/>
      <c r="M35" s="1859"/>
      <c r="N35" s="1859"/>
      <c r="O35" s="1859"/>
      <c r="P35" s="1859"/>
      <c r="Q35" s="1859"/>
      <c r="R35" s="1862"/>
    </row>
    <row r="36" spans="1:19" ht="11.25" customHeight="1">
      <c r="A36" s="250" t="s">
        <v>1460</v>
      </c>
      <c r="B36" s="182">
        <v>6</v>
      </c>
      <c r="C36" s="1864">
        <v>18011659400</v>
      </c>
      <c r="D36" s="1864">
        <v>697694000</v>
      </c>
      <c r="E36" s="1864">
        <v>3029098200</v>
      </c>
      <c r="F36" s="1864">
        <v>1639365100</v>
      </c>
      <c r="G36" s="1864">
        <v>590827500</v>
      </c>
      <c r="H36" s="1864">
        <v>313294820</v>
      </c>
      <c r="I36" s="1864">
        <v>4295050</v>
      </c>
      <c r="J36" s="1864">
        <v>0</v>
      </c>
      <c r="K36" s="1864">
        <v>0</v>
      </c>
      <c r="L36" s="1864">
        <v>0</v>
      </c>
      <c r="M36" s="1864">
        <v>0</v>
      </c>
      <c r="N36" s="1864">
        <v>0</v>
      </c>
      <c r="O36" s="1864">
        <v>0</v>
      </c>
      <c r="P36" s="1864">
        <v>0</v>
      </c>
      <c r="Q36" s="1864">
        <v>0</v>
      </c>
      <c r="R36" s="1889">
        <v>0</v>
      </c>
    </row>
    <row r="37" spans="1:19" ht="15.75" customHeight="1">
      <c r="A37" s="642" t="s">
        <v>1545</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2665" t="s">
        <v>4379</v>
      </c>
      <c r="D38" s="2665" t="s">
        <v>4380</v>
      </c>
      <c r="E38" s="2665" t="s">
        <v>4381</v>
      </c>
      <c r="F38" s="2665">
        <v>1.2999999999999999E-3</v>
      </c>
      <c r="G38" s="2665">
        <v>1.7600000000000001E-2</v>
      </c>
      <c r="H38" s="2665">
        <v>0</v>
      </c>
      <c r="I38" s="2665">
        <v>0</v>
      </c>
      <c r="J38" s="2665">
        <v>0</v>
      </c>
      <c r="K38" s="2665">
        <v>0</v>
      </c>
      <c r="L38" s="2665">
        <v>0</v>
      </c>
      <c r="M38" s="2665">
        <v>0</v>
      </c>
      <c r="N38" s="2665">
        <v>0</v>
      </c>
      <c r="O38" s="2665">
        <v>0</v>
      </c>
      <c r="P38" s="2665">
        <v>0</v>
      </c>
      <c r="Q38" s="2665">
        <v>1.7399999999999999E-2</v>
      </c>
      <c r="R38" s="2666">
        <v>1.89E-2</v>
      </c>
      <c r="S38" s="370"/>
    </row>
    <row r="39" spans="1:19" ht="11.25" customHeight="1">
      <c r="A39" s="254" t="s">
        <v>1461</v>
      </c>
      <c r="B39" s="646"/>
      <c r="C39" s="2667">
        <v>72021380</v>
      </c>
      <c r="D39" s="2667">
        <v>13277136</v>
      </c>
      <c r="E39" s="2667">
        <v>56003243</v>
      </c>
      <c r="F39" s="2667">
        <v>3756590</v>
      </c>
      <c r="G39" s="2667">
        <v>6040452</v>
      </c>
      <c r="H39" s="2667">
        <v>0</v>
      </c>
      <c r="I39" s="2667">
        <v>0</v>
      </c>
      <c r="J39" s="2667">
        <v>0</v>
      </c>
      <c r="K39" s="2667">
        <v>0</v>
      </c>
      <c r="L39" s="2667">
        <v>0</v>
      </c>
      <c r="M39" s="2667">
        <v>0</v>
      </c>
      <c r="N39" s="2667">
        <v>0</v>
      </c>
      <c r="O39" s="2667">
        <v>0</v>
      </c>
      <c r="P39" s="2667">
        <v>0</v>
      </c>
      <c r="Q39" s="2667">
        <v>92220</v>
      </c>
      <c r="R39" s="2668">
        <v>6486621</v>
      </c>
      <c r="S39" s="647">
        <f>SUM(C39:R39)</f>
        <v>157677642</v>
      </c>
    </row>
    <row r="40" spans="1:19" ht="11.25" customHeight="1">
      <c r="A40" s="254" t="s">
        <v>1462</v>
      </c>
      <c r="B40" s="646"/>
      <c r="C40" s="2667">
        <v>61218388</v>
      </c>
      <c r="D40" s="2667">
        <v>12122025</v>
      </c>
      <c r="E40" s="2667">
        <v>51130960</v>
      </c>
      <c r="F40" s="2667">
        <v>3429766</v>
      </c>
      <c r="G40" s="2667">
        <v>5514932</v>
      </c>
      <c r="H40" s="2667">
        <v>0</v>
      </c>
      <c r="I40" s="2667">
        <v>0</v>
      </c>
      <c r="J40" s="2667">
        <v>0</v>
      </c>
      <c r="K40" s="2667">
        <v>0</v>
      </c>
      <c r="L40" s="2667">
        <v>0</v>
      </c>
      <c r="M40" s="2667">
        <v>0</v>
      </c>
      <c r="N40" s="2667">
        <v>0</v>
      </c>
      <c r="O40" s="2667">
        <v>0</v>
      </c>
      <c r="P40" s="2667">
        <v>0</v>
      </c>
      <c r="Q40" s="2667">
        <v>84196</v>
      </c>
      <c r="R40" s="2668">
        <v>5922284</v>
      </c>
      <c r="S40" s="647">
        <f>SUM(C40:R40)</f>
        <v>139422551</v>
      </c>
    </row>
    <row r="41" spans="1:19" ht="11.25" customHeight="1">
      <c r="A41" s="254" t="s">
        <v>1584</v>
      </c>
      <c r="B41" s="646">
        <v>4</v>
      </c>
      <c r="C41" s="2669">
        <v>0.91300000000000003</v>
      </c>
      <c r="D41" s="2669">
        <v>0.91300000000000003</v>
      </c>
      <c r="E41" s="2669">
        <v>0.91300000000000003</v>
      </c>
      <c r="F41" s="2669">
        <v>0.91300000000000003</v>
      </c>
      <c r="G41" s="2669">
        <v>0.91300000000000003</v>
      </c>
      <c r="H41" s="2669"/>
      <c r="I41" s="2669"/>
      <c r="J41" s="2669"/>
      <c r="K41" s="2669"/>
      <c r="L41" s="2669"/>
      <c r="M41" s="2669"/>
      <c r="N41" s="2669"/>
      <c r="O41" s="2669"/>
      <c r="P41" s="2669"/>
      <c r="Q41" s="2669">
        <v>0.91300000000000003</v>
      </c>
      <c r="R41" s="2670">
        <v>0.91300000000000003</v>
      </c>
    </row>
    <row r="42" spans="1:19" ht="11.25" customHeight="1">
      <c r="A42" s="254" t="s">
        <v>1502</v>
      </c>
      <c r="B42" s="646"/>
      <c r="C42" s="2671">
        <v>0</v>
      </c>
      <c r="D42" s="2671">
        <v>0</v>
      </c>
      <c r="E42" s="2671">
        <v>0</v>
      </c>
      <c r="F42" s="2671">
        <v>0</v>
      </c>
      <c r="G42" s="2671">
        <v>0</v>
      </c>
      <c r="H42" s="2671">
        <v>0</v>
      </c>
      <c r="I42" s="2671">
        <v>0</v>
      </c>
      <c r="J42" s="2671">
        <v>0</v>
      </c>
      <c r="K42" s="2671">
        <v>0</v>
      </c>
      <c r="L42" s="2671">
        <v>0</v>
      </c>
      <c r="M42" s="2671">
        <v>0</v>
      </c>
      <c r="N42" s="2671">
        <v>0</v>
      </c>
      <c r="O42" s="2671">
        <v>0</v>
      </c>
      <c r="P42" s="2671">
        <v>0</v>
      </c>
      <c r="Q42" s="2671">
        <v>0</v>
      </c>
      <c r="R42" s="2672">
        <v>0</v>
      </c>
      <c r="S42" s="370"/>
    </row>
    <row r="43" spans="1:19" ht="15.75" customHeight="1">
      <c r="A43" s="254" t="s">
        <v>419</v>
      </c>
      <c r="B43" s="646"/>
      <c r="C43" s="2673">
        <v>5000000</v>
      </c>
      <c r="D43" s="2673">
        <v>0</v>
      </c>
      <c r="E43" s="2673">
        <v>0</v>
      </c>
      <c r="F43" s="2673">
        <v>0</v>
      </c>
      <c r="G43" s="2673">
        <v>0</v>
      </c>
      <c r="H43" s="2673">
        <v>0</v>
      </c>
      <c r="I43" s="2673">
        <v>0</v>
      </c>
      <c r="J43" s="2673">
        <v>0</v>
      </c>
      <c r="K43" s="2673">
        <v>0</v>
      </c>
      <c r="L43" s="2673">
        <v>0</v>
      </c>
      <c r="M43" s="2673">
        <v>0</v>
      </c>
      <c r="N43" s="2673">
        <v>0</v>
      </c>
      <c r="O43" s="2673">
        <v>0</v>
      </c>
      <c r="P43" s="2673">
        <v>0</v>
      </c>
      <c r="Q43" s="2673">
        <v>0</v>
      </c>
      <c r="R43" s="2674">
        <v>0</v>
      </c>
      <c r="S43" s="370"/>
    </row>
    <row r="44" spans="1:19" ht="11.25" customHeight="1">
      <c r="A44" s="254" t="s">
        <v>520</v>
      </c>
      <c r="B44" s="646"/>
      <c r="C44" s="2671"/>
      <c r="D44" s="2671"/>
      <c r="E44" s="2671"/>
      <c r="F44" s="2671"/>
      <c r="G44" s="2671"/>
      <c r="H44" s="2671"/>
      <c r="I44" s="2671"/>
      <c r="J44" s="2671"/>
      <c r="K44" s="2671"/>
      <c r="L44" s="2671"/>
      <c r="M44" s="2671"/>
      <c r="N44" s="2671"/>
      <c r="O44" s="2671"/>
      <c r="P44" s="2671"/>
      <c r="Q44" s="2671"/>
      <c r="R44" s="2672"/>
      <c r="S44" s="370"/>
    </row>
    <row r="45" spans="1:19" ht="11.25" customHeight="1">
      <c r="A45" s="254" t="s">
        <v>521</v>
      </c>
      <c r="B45" s="646"/>
      <c r="C45" s="2671"/>
      <c r="D45" s="2671"/>
      <c r="E45" s="2671"/>
      <c r="F45" s="2671"/>
      <c r="G45" s="2671"/>
      <c r="H45" s="2671"/>
      <c r="I45" s="2671"/>
      <c r="J45" s="2671"/>
      <c r="K45" s="2671"/>
      <c r="L45" s="2671"/>
      <c r="M45" s="2671"/>
      <c r="N45" s="2671"/>
      <c r="O45" s="2671"/>
      <c r="P45" s="2671"/>
      <c r="Q45" s="2671"/>
      <c r="R45" s="2672"/>
      <c r="S45" s="370"/>
    </row>
    <row r="46" spans="1:19" ht="11.25" customHeight="1">
      <c r="A46" s="254" t="s">
        <v>522</v>
      </c>
      <c r="B46" s="646"/>
      <c r="C46" s="2671">
        <v>3200000</v>
      </c>
      <c r="D46" s="2671">
        <v>0</v>
      </c>
      <c r="E46" s="2671">
        <v>0</v>
      </c>
      <c r="F46" s="2671">
        <v>0</v>
      </c>
      <c r="G46" s="2671">
        <v>0</v>
      </c>
      <c r="H46" s="2671">
        <v>0</v>
      </c>
      <c r="I46" s="2671">
        <v>0</v>
      </c>
      <c r="J46" s="2671">
        <v>0</v>
      </c>
      <c r="K46" s="2671">
        <v>0</v>
      </c>
      <c r="L46" s="2671">
        <v>0</v>
      </c>
      <c r="M46" s="2671">
        <v>0</v>
      </c>
      <c r="N46" s="2671">
        <v>0</v>
      </c>
      <c r="O46" s="2671">
        <v>0</v>
      </c>
      <c r="P46" s="2671">
        <v>0</v>
      </c>
      <c r="Q46" s="2671">
        <v>0</v>
      </c>
      <c r="R46" s="2672">
        <v>0</v>
      </c>
      <c r="S46" s="370"/>
    </row>
    <row r="47" spans="1:19" ht="11.25" customHeight="1">
      <c r="A47" s="254" t="s">
        <v>1501</v>
      </c>
      <c r="B47" s="646"/>
      <c r="C47" s="2671"/>
      <c r="D47" s="2671"/>
      <c r="E47" s="2671"/>
      <c r="F47" s="2671"/>
      <c r="G47" s="2671"/>
      <c r="H47" s="2671"/>
      <c r="I47" s="2671"/>
      <c r="J47" s="2671"/>
      <c r="K47" s="2671"/>
      <c r="L47" s="2671"/>
      <c r="M47" s="2671"/>
      <c r="N47" s="2671"/>
      <c r="O47" s="2671"/>
      <c r="P47" s="2671"/>
      <c r="Q47" s="2671"/>
      <c r="R47" s="2672"/>
      <c r="S47" s="370"/>
    </row>
    <row r="48" spans="1:19" ht="11.25" customHeight="1">
      <c r="A48" s="650" t="s">
        <v>663</v>
      </c>
      <c r="B48" s="639"/>
      <c r="C48" s="648"/>
      <c r="D48" s="648"/>
      <c r="E48" s="648"/>
      <c r="F48" s="648"/>
      <c r="G48" s="648"/>
      <c r="H48" s="648"/>
      <c r="I48" s="648"/>
      <c r="J48" s="648"/>
      <c r="K48" s="648"/>
      <c r="L48" s="648"/>
      <c r="M48" s="648"/>
      <c r="N48" s="648"/>
      <c r="O48" s="648"/>
      <c r="P48" s="648"/>
      <c r="Q48" s="648"/>
      <c r="R48" s="649"/>
      <c r="S48" s="370"/>
    </row>
    <row r="49" spans="1:19" ht="5"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c r="A51" s="1417" t="s">
        <v>532</v>
      </c>
      <c r="B51" s="1076"/>
      <c r="C51" s="1042"/>
      <c r="D51" s="1042"/>
      <c r="E51" s="1042"/>
      <c r="F51" s="1042"/>
      <c r="G51" s="1042"/>
      <c r="H51" s="1042"/>
      <c r="I51" s="1042"/>
      <c r="J51" s="1042"/>
      <c r="K51" s="1042"/>
      <c r="L51" s="1042"/>
      <c r="M51" s="1042"/>
      <c r="N51" s="1042"/>
      <c r="O51" s="1042"/>
      <c r="P51" s="1042"/>
      <c r="Q51" s="1042"/>
      <c r="R51" s="1042"/>
    </row>
    <row r="52" spans="1:19" s="709" customFormat="1">
      <c r="A52" s="1417" t="s">
        <v>533</v>
      </c>
      <c r="B52" s="1076"/>
      <c r="C52" s="1042"/>
      <c r="D52" s="1042"/>
      <c r="E52" s="1042"/>
      <c r="F52" s="1042"/>
      <c r="G52" s="1042"/>
      <c r="H52" s="1042"/>
      <c r="I52" s="1042"/>
      <c r="J52" s="1042"/>
      <c r="K52" s="1042"/>
      <c r="L52" s="1042"/>
      <c r="M52" s="1042"/>
      <c r="N52" s="1042"/>
      <c r="O52" s="1042"/>
      <c r="P52" s="1042"/>
      <c r="Q52" s="1042"/>
      <c r="R52" s="1042"/>
    </row>
    <row r="53" spans="1:19" s="709" customFormat="1">
      <c r="A53" s="1263" t="s">
        <v>534</v>
      </c>
      <c r="B53" s="1076"/>
      <c r="C53" s="1042"/>
      <c r="D53" s="1042"/>
      <c r="E53" s="1042"/>
      <c r="F53" s="1042"/>
      <c r="G53" s="1042"/>
      <c r="H53" s="1042"/>
      <c r="I53" s="1042"/>
      <c r="J53" s="1042"/>
      <c r="K53" s="1042"/>
      <c r="L53" s="1042"/>
      <c r="M53" s="1042"/>
      <c r="N53" s="1042"/>
      <c r="O53" s="1042"/>
      <c r="P53" s="1042"/>
      <c r="Q53" s="1042"/>
      <c r="R53" s="1042"/>
    </row>
    <row r="54" spans="1:19" s="709" customFormat="1">
      <c r="A54" s="1417" t="s">
        <v>535</v>
      </c>
      <c r="B54" s="1076"/>
      <c r="C54" s="1042"/>
      <c r="D54" s="1042"/>
      <c r="E54" s="1042"/>
      <c r="F54" s="1042"/>
      <c r="G54" s="1042"/>
      <c r="H54" s="1042"/>
      <c r="I54" s="1042"/>
      <c r="J54" s="1042"/>
      <c r="K54" s="1042"/>
      <c r="L54" s="1042"/>
      <c r="M54" s="1042"/>
      <c r="N54" s="1042"/>
      <c r="O54" s="1042"/>
      <c r="P54" s="1042"/>
      <c r="Q54" s="1042"/>
      <c r="R54" s="1042"/>
    </row>
    <row r="55" spans="1:19" s="709" customFormat="1">
      <c r="A55" s="1195" t="s">
        <v>1608</v>
      </c>
      <c r="B55" s="1076"/>
      <c r="C55" s="1042"/>
      <c r="D55" s="1042"/>
      <c r="E55" s="1042"/>
      <c r="F55" s="1042"/>
      <c r="G55" s="1042"/>
      <c r="H55" s="1042"/>
      <c r="I55" s="1042"/>
      <c r="J55" s="1042"/>
      <c r="K55" s="1042"/>
      <c r="L55" s="1042"/>
      <c r="M55" s="1042"/>
      <c r="N55" s="1042"/>
      <c r="O55" s="1042"/>
      <c r="P55" s="1042"/>
      <c r="Q55" s="1042"/>
      <c r="R55" s="1042"/>
    </row>
    <row r="56" spans="1:19" s="709" customFormat="1">
      <c r="A56" s="1195" t="s">
        <v>1610</v>
      </c>
      <c r="B56" s="1076"/>
      <c r="C56" s="1042"/>
      <c r="D56" s="1042"/>
      <c r="E56" s="1042"/>
      <c r="F56" s="1042"/>
      <c r="G56" s="1042"/>
      <c r="H56" s="1042"/>
      <c r="I56" s="1042"/>
      <c r="J56" s="1042"/>
      <c r="K56" s="1042"/>
      <c r="L56" s="1042"/>
      <c r="M56" s="1042"/>
      <c r="N56" s="1042"/>
      <c r="O56" s="1042"/>
      <c r="P56" s="1042"/>
      <c r="Q56" s="1042"/>
      <c r="R56" s="1042"/>
    </row>
    <row r="57" spans="1:19" ht="15.75" customHeight="1">
      <c r="A57" s="2264"/>
      <c r="B57" s="2264"/>
      <c r="C57" s="935"/>
      <c r="D57" s="935"/>
      <c r="E57" s="935"/>
      <c r="F57" s="935"/>
      <c r="G57" s="935"/>
      <c r="H57" s="935"/>
      <c r="I57" s="935"/>
      <c r="J57" s="935"/>
      <c r="K57" s="935"/>
      <c r="L57" s="935"/>
      <c r="M57" s="935"/>
      <c r="N57" s="935"/>
      <c r="O57" s="935"/>
      <c r="P57" s="935"/>
      <c r="Q57" s="935"/>
      <c r="R57" s="935"/>
      <c r="S57" s="360"/>
    </row>
    <row r="58" spans="1:19" ht="38.25" customHeight="1">
      <c r="A58" s="2265"/>
      <c r="B58" s="2266"/>
      <c r="C58" s="2267"/>
      <c r="D58" s="2267"/>
      <c r="E58" s="2267"/>
      <c r="F58" s="2267"/>
      <c r="G58" s="2267"/>
      <c r="H58" s="2267"/>
      <c r="I58" s="2267"/>
      <c r="J58" s="2267"/>
      <c r="K58" s="2267"/>
      <c r="L58" s="2267"/>
      <c r="M58" s="2267"/>
      <c r="N58" s="2267"/>
      <c r="O58" s="2267"/>
      <c r="P58" s="2267"/>
      <c r="Q58" s="2267"/>
      <c r="R58" s="2267"/>
      <c r="S58" s="360"/>
    </row>
    <row r="59" spans="1:19" ht="11.25" customHeight="1">
      <c r="A59" s="2275"/>
      <c r="B59" s="2269"/>
      <c r="C59" s="238"/>
      <c r="D59" s="238"/>
      <c r="E59" s="238"/>
      <c r="F59" s="238"/>
      <c r="G59" s="238"/>
      <c r="H59" s="238"/>
      <c r="I59" s="238"/>
      <c r="J59" s="238"/>
      <c r="K59" s="238"/>
      <c r="L59" s="238"/>
      <c r="M59" s="238"/>
      <c r="N59" s="238"/>
      <c r="O59" s="238"/>
      <c r="P59" s="238"/>
      <c r="Q59" s="238"/>
      <c r="R59" s="238"/>
      <c r="S59" s="360"/>
    </row>
    <row r="60" spans="1:19" ht="11.25" customHeight="1">
      <c r="A60" s="2275"/>
      <c r="B60" s="2269"/>
      <c r="C60" s="238"/>
      <c r="D60" s="238"/>
      <c r="E60" s="238"/>
      <c r="F60" s="238"/>
      <c r="G60" s="238"/>
      <c r="H60" s="238"/>
      <c r="I60" s="238"/>
      <c r="J60" s="238"/>
      <c r="K60" s="238"/>
      <c r="L60" s="238"/>
      <c r="M60" s="238"/>
      <c r="N60" s="238"/>
      <c r="O60" s="238"/>
      <c r="P60" s="238"/>
      <c r="Q60" s="238"/>
      <c r="R60" s="238"/>
      <c r="S60" s="360"/>
    </row>
    <row r="61" spans="1:19" ht="11.25" customHeight="1">
      <c r="A61" s="2268"/>
      <c r="B61" s="2269"/>
      <c r="C61" s="2067"/>
      <c r="D61" s="2067"/>
      <c r="E61" s="2067"/>
      <c r="F61" s="2067"/>
      <c r="G61" s="2067"/>
      <c r="H61" s="2067"/>
      <c r="I61" s="2067"/>
      <c r="J61" s="2067"/>
      <c r="K61" s="2067"/>
      <c r="L61" s="2067"/>
      <c r="M61" s="2067"/>
      <c r="N61" s="2067"/>
      <c r="O61" s="2067"/>
      <c r="P61" s="2067"/>
      <c r="Q61" s="2067"/>
      <c r="R61" s="2067"/>
      <c r="S61" s="360"/>
    </row>
    <row r="62" spans="1:19" ht="11.25" customHeight="1">
      <c r="A62" s="2268"/>
      <c r="B62" s="2269"/>
      <c r="C62" s="2067"/>
      <c r="D62" s="2067"/>
      <c r="E62" s="2067"/>
      <c r="F62" s="2067"/>
      <c r="G62" s="2067"/>
      <c r="H62" s="2067"/>
      <c r="I62" s="2067"/>
      <c r="J62" s="2067"/>
      <c r="K62" s="2067"/>
      <c r="L62" s="2067"/>
      <c r="M62" s="2067"/>
      <c r="N62" s="2067"/>
      <c r="O62" s="2067"/>
      <c r="P62" s="2067"/>
      <c r="Q62" s="2067"/>
      <c r="R62" s="2067"/>
      <c r="S62" s="360"/>
    </row>
    <row r="63" spans="1:19" ht="11.25" customHeight="1">
      <c r="A63" s="2268"/>
      <c r="B63" s="2269"/>
      <c r="C63" s="2067"/>
      <c r="D63" s="2067"/>
      <c r="E63" s="2067"/>
      <c r="F63" s="2067"/>
      <c r="G63" s="2067"/>
      <c r="H63" s="2067"/>
      <c r="I63" s="2067"/>
      <c r="J63" s="2067"/>
      <c r="K63" s="2067"/>
      <c r="L63" s="2067"/>
      <c r="M63" s="2067"/>
      <c r="N63" s="2067"/>
      <c r="O63" s="2067"/>
      <c r="P63" s="2067"/>
      <c r="Q63" s="2067"/>
      <c r="R63" s="2067"/>
      <c r="S63" s="360"/>
    </row>
    <row r="64" spans="1:19" ht="11.25" customHeight="1">
      <c r="A64" s="2268"/>
      <c r="B64" s="2269"/>
      <c r="C64" s="2067"/>
      <c r="D64" s="2067"/>
      <c r="E64" s="2067"/>
      <c r="F64" s="2067"/>
      <c r="G64" s="2067"/>
      <c r="H64" s="2067"/>
      <c r="I64" s="2067"/>
      <c r="J64" s="2067"/>
      <c r="K64" s="2067"/>
      <c r="L64" s="2067"/>
      <c r="M64" s="2067"/>
      <c r="N64" s="2067"/>
      <c r="O64" s="2067"/>
      <c r="P64" s="2067"/>
      <c r="Q64" s="2067"/>
      <c r="R64" s="2067"/>
      <c r="S64" s="360"/>
    </row>
    <row r="65" spans="1:19" ht="11.25" customHeight="1">
      <c r="A65" s="2268"/>
      <c r="B65" s="2269"/>
      <c r="C65" s="2067"/>
      <c r="D65" s="2067"/>
      <c r="E65" s="2067"/>
      <c r="F65" s="2067"/>
      <c r="G65" s="2067"/>
      <c r="H65" s="2067"/>
      <c r="I65" s="2067"/>
      <c r="J65" s="2067"/>
      <c r="K65" s="2067"/>
      <c r="L65" s="2067"/>
      <c r="M65" s="2067"/>
      <c r="N65" s="2067"/>
      <c r="O65" s="2067"/>
      <c r="P65" s="2067"/>
      <c r="Q65" s="2067"/>
      <c r="R65" s="2067"/>
      <c r="S65" s="360"/>
    </row>
    <row r="66" spans="1:19" ht="11.25" customHeight="1">
      <c r="A66" s="2268"/>
      <c r="B66" s="2269"/>
      <c r="C66" s="2067"/>
      <c r="D66" s="2067"/>
      <c r="E66" s="2067"/>
      <c r="F66" s="2067"/>
      <c r="G66" s="2067"/>
      <c r="H66" s="2067"/>
      <c r="I66" s="2067"/>
      <c r="J66" s="2067"/>
      <c r="K66" s="2067"/>
      <c r="L66" s="2067"/>
      <c r="M66" s="2067"/>
      <c r="N66" s="2067"/>
      <c r="O66" s="2067"/>
      <c r="P66" s="2067"/>
      <c r="Q66" s="2067"/>
      <c r="R66" s="2067"/>
      <c r="S66" s="360"/>
    </row>
    <row r="67" spans="1:19" ht="11.25" customHeight="1">
      <c r="A67" s="2268"/>
      <c r="B67" s="2269"/>
      <c r="C67" s="2067"/>
      <c r="D67" s="2067"/>
      <c r="E67" s="2067"/>
      <c r="F67" s="2067"/>
      <c r="G67" s="2067"/>
      <c r="H67" s="2067"/>
      <c r="I67" s="2067"/>
      <c r="J67" s="2067"/>
      <c r="K67" s="2067"/>
      <c r="L67" s="2067"/>
      <c r="M67" s="2067"/>
      <c r="N67" s="2067"/>
      <c r="O67" s="2067"/>
      <c r="P67" s="2067"/>
      <c r="Q67" s="2067"/>
      <c r="R67" s="2067"/>
      <c r="S67" s="360"/>
    </row>
    <row r="68" spans="1:19" ht="11.25" customHeight="1">
      <c r="A68" s="2268"/>
      <c r="B68" s="2269"/>
      <c r="C68" s="2067"/>
      <c r="D68" s="2067"/>
      <c r="E68" s="2067"/>
      <c r="F68" s="2067"/>
      <c r="G68" s="2067"/>
      <c r="H68" s="2067"/>
      <c r="I68" s="2067"/>
      <c r="J68" s="2067"/>
      <c r="K68" s="2067"/>
      <c r="L68" s="2067"/>
      <c r="M68" s="2067"/>
      <c r="N68" s="2067"/>
      <c r="O68" s="2067"/>
      <c r="P68" s="2067"/>
      <c r="Q68" s="2067"/>
      <c r="R68" s="2067"/>
      <c r="S68" s="360"/>
    </row>
    <row r="69" spans="1:19" ht="11.25" customHeight="1">
      <c r="A69" s="2268"/>
      <c r="B69" s="2269"/>
      <c r="C69" s="2067"/>
      <c r="D69" s="2067"/>
      <c r="E69" s="2067"/>
      <c r="F69" s="2067"/>
      <c r="G69" s="2067"/>
      <c r="H69" s="2067"/>
      <c r="I69" s="2067"/>
      <c r="J69" s="2067"/>
      <c r="K69" s="2067"/>
      <c r="L69" s="2067"/>
      <c r="M69" s="2067"/>
      <c r="N69" s="2067"/>
      <c r="O69" s="2067"/>
      <c r="P69" s="2067"/>
      <c r="Q69" s="2067"/>
      <c r="R69" s="2067"/>
      <c r="S69" s="360"/>
    </row>
    <row r="70" spans="1:19" ht="11.25" customHeight="1">
      <c r="A70" s="2268"/>
      <c r="B70" s="2269"/>
      <c r="C70" s="2067"/>
      <c r="D70" s="2067"/>
      <c r="E70" s="2067"/>
      <c r="F70" s="2067"/>
      <c r="G70" s="2067"/>
      <c r="H70" s="2067"/>
      <c r="I70" s="2067"/>
      <c r="J70" s="2067"/>
      <c r="K70" s="2067"/>
      <c r="L70" s="2067"/>
      <c r="M70" s="2067"/>
      <c r="N70" s="2067"/>
      <c r="O70" s="2067"/>
      <c r="P70" s="2067"/>
      <c r="Q70" s="2067"/>
      <c r="R70" s="2067"/>
      <c r="S70" s="360"/>
    </row>
    <row r="71" spans="1:19" ht="11.25" customHeight="1">
      <c r="A71" s="2268"/>
      <c r="B71" s="2269"/>
      <c r="C71" s="2067"/>
      <c r="D71" s="2067"/>
      <c r="E71" s="2067"/>
      <c r="F71" s="2067"/>
      <c r="G71" s="2067"/>
      <c r="H71" s="2067"/>
      <c r="I71" s="2067"/>
      <c r="J71" s="2067"/>
      <c r="K71" s="2067"/>
      <c r="L71" s="2067"/>
      <c r="M71" s="2067"/>
      <c r="N71" s="2067"/>
      <c r="O71" s="2067"/>
      <c r="P71" s="2067"/>
      <c r="Q71" s="2067"/>
      <c r="R71" s="2067"/>
      <c r="S71" s="360"/>
    </row>
    <row r="72" spans="1:19" ht="11.25" customHeight="1">
      <c r="A72" s="2268"/>
      <c r="B72" s="2269"/>
      <c r="C72" s="2276"/>
      <c r="D72" s="2276"/>
      <c r="E72" s="2276"/>
      <c r="F72" s="2276"/>
      <c r="G72" s="2276"/>
      <c r="H72" s="2276"/>
      <c r="I72" s="2277"/>
      <c r="J72" s="2276"/>
      <c r="K72" s="2276"/>
      <c r="L72" s="2276"/>
      <c r="M72" s="2276"/>
      <c r="N72" s="2276"/>
      <c r="O72" s="2276"/>
      <c r="P72" s="2276"/>
      <c r="Q72" s="2276"/>
      <c r="R72" s="2276"/>
      <c r="S72" s="360"/>
    </row>
    <row r="73" spans="1:19" ht="11.25" customHeight="1">
      <c r="A73" s="2268"/>
      <c r="B73" s="2269"/>
      <c r="C73" s="2278"/>
      <c r="D73" s="2278"/>
      <c r="E73" s="2278"/>
      <c r="F73" s="2278"/>
      <c r="G73" s="2278"/>
      <c r="H73" s="2278"/>
      <c r="I73" s="2278"/>
      <c r="J73" s="2278"/>
      <c r="K73" s="2278"/>
      <c r="L73" s="2278"/>
      <c r="M73" s="2278"/>
      <c r="N73" s="2278"/>
      <c r="O73" s="2278"/>
      <c r="P73" s="2278"/>
      <c r="Q73" s="2278"/>
      <c r="R73" s="2278"/>
      <c r="S73" s="360"/>
    </row>
    <row r="74" spans="1:19" ht="11.25" customHeight="1">
      <c r="A74" s="2268"/>
      <c r="B74" s="2269"/>
      <c r="C74" s="2279"/>
      <c r="D74" s="2279"/>
      <c r="E74" s="2279"/>
      <c r="F74" s="2279"/>
      <c r="G74" s="2279"/>
      <c r="H74" s="2279"/>
      <c r="I74" s="2279"/>
      <c r="J74" s="2279"/>
      <c r="K74" s="2279"/>
      <c r="L74" s="2279"/>
      <c r="M74" s="2279"/>
      <c r="N74" s="2279"/>
      <c r="O74" s="2279"/>
      <c r="P74" s="2279"/>
      <c r="Q74" s="2279"/>
      <c r="R74" s="2279"/>
      <c r="S74" s="360"/>
    </row>
    <row r="75" spans="1:19" ht="11.25" customHeight="1">
      <c r="A75" s="2268"/>
      <c r="B75" s="2269"/>
      <c r="C75" s="2278"/>
      <c r="D75" s="2278"/>
      <c r="E75" s="2278"/>
      <c r="F75" s="2278"/>
      <c r="G75" s="2278"/>
      <c r="H75" s="2278"/>
      <c r="I75" s="2278"/>
      <c r="J75" s="2278"/>
      <c r="K75" s="2278"/>
      <c r="L75" s="2278"/>
      <c r="M75" s="2278"/>
      <c r="N75" s="2278"/>
      <c r="O75" s="2278"/>
      <c r="P75" s="2278"/>
      <c r="Q75" s="2278"/>
      <c r="R75" s="2278"/>
      <c r="S75" s="360"/>
    </row>
    <row r="76" spans="1:19" ht="11.25" customHeight="1">
      <c r="A76" s="2268"/>
      <c r="B76" s="2269"/>
      <c r="C76" s="2278"/>
      <c r="D76" s="2278"/>
      <c r="E76" s="2278"/>
      <c r="F76" s="2278"/>
      <c r="G76" s="2278"/>
      <c r="H76" s="2278"/>
      <c r="I76" s="2278"/>
      <c r="J76" s="2278"/>
      <c r="K76" s="2278"/>
      <c r="L76" s="2278"/>
      <c r="M76" s="2278"/>
      <c r="N76" s="2278"/>
      <c r="O76" s="2278"/>
      <c r="P76" s="2278"/>
      <c r="Q76" s="2278"/>
      <c r="R76" s="2278"/>
      <c r="S76" s="360"/>
    </row>
    <row r="77" spans="1:19" ht="11.25" customHeight="1">
      <c r="A77" s="2268"/>
      <c r="B77" s="2269"/>
      <c r="C77" s="2278"/>
      <c r="D77" s="2278"/>
      <c r="E77" s="2278"/>
      <c r="F77" s="2278"/>
      <c r="G77" s="2278"/>
      <c r="H77" s="2278"/>
      <c r="I77" s="2278"/>
      <c r="J77" s="2278"/>
      <c r="K77" s="2278"/>
      <c r="L77" s="2278"/>
      <c r="M77" s="2278"/>
      <c r="N77" s="2278"/>
      <c r="O77" s="2278"/>
      <c r="P77" s="2278"/>
      <c r="Q77" s="2278"/>
      <c r="R77" s="2278"/>
      <c r="S77" s="360"/>
    </row>
    <row r="78" spans="1:19" ht="11.25" customHeight="1">
      <c r="A78" s="2268"/>
      <c r="B78" s="2272"/>
      <c r="C78" s="2278"/>
      <c r="D78" s="2278"/>
      <c r="E78" s="2278"/>
      <c r="F78" s="2278"/>
      <c r="G78" s="2278"/>
      <c r="H78" s="2278"/>
      <c r="I78" s="2278"/>
      <c r="J78" s="2278"/>
      <c r="K78" s="2278"/>
      <c r="L78" s="2278"/>
      <c r="M78" s="2278"/>
      <c r="N78" s="2278"/>
      <c r="O78" s="2278"/>
      <c r="P78" s="2278"/>
      <c r="Q78" s="2278"/>
      <c r="R78" s="2278"/>
      <c r="S78" s="360"/>
    </row>
    <row r="79" spans="1:19" ht="11.25" customHeight="1">
      <c r="A79" s="2268"/>
      <c r="B79" s="2272"/>
      <c r="C79" s="2278"/>
      <c r="D79" s="2278"/>
      <c r="E79" s="2278"/>
      <c r="F79" s="2278"/>
      <c r="G79" s="2278"/>
      <c r="H79" s="2278"/>
      <c r="I79" s="2278"/>
      <c r="J79" s="2278"/>
      <c r="K79" s="2278"/>
      <c r="L79" s="2278"/>
      <c r="M79" s="2278"/>
      <c r="N79" s="2278"/>
      <c r="O79" s="2278"/>
      <c r="P79" s="2278"/>
      <c r="Q79" s="2278"/>
      <c r="R79" s="2278"/>
      <c r="S79" s="360"/>
    </row>
    <row r="80" spans="1:19" ht="11.25" customHeight="1">
      <c r="A80" s="2268"/>
      <c r="B80" s="2272"/>
      <c r="C80" s="2278"/>
      <c r="D80" s="2278"/>
      <c r="E80" s="2278"/>
      <c r="F80" s="2278"/>
      <c r="G80" s="2278"/>
      <c r="H80" s="2278"/>
      <c r="I80" s="2278"/>
      <c r="J80" s="2278"/>
      <c r="K80" s="2278"/>
      <c r="L80" s="2278"/>
      <c r="M80" s="2278"/>
      <c r="N80" s="2278"/>
      <c r="O80" s="2278"/>
      <c r="P80" s="2278"/>
      <c r="Q80" s="2278"/>
      <c r="R80" s="2278"/>
      <c r="S80" s="360"/>
    </row>
    <row r="81" spans="1:19" ht="11.25" customHeight="1">
      <c r="A81" s="2275"/>
      <c r="B81" s="2269"/>
      <c r="C81" s="603"/>
      <c r="D81" s="603"/>
      <c r="E81" s="603"/>
      <c r="F81" s="603"/>
      <c r="G81" s="603"/>
      <c r="H81" s="603"/>
      <c r="I81" s="603"/>
      <c r="J81" s="603"/>
      <c r="K81" s="603"/>
      <c r="L81" s="603"/>
      <c r="M81" s="603"/>
      <c r="N81" s="603"/>
      <c r="O81" s="603"/>
      <c r="P81" s="603"/>
      <c r="Q81" s="603"/>
      <c r="R81" s="603"/>
      <c r="S81" s="360"/>
    </row>
    <row r="82" spans="1:19" ht="11.25" customHeight="1">
      <c r="A82" s="2268"/>
      <c r="B82" s="2269"/>
      <c r="C82" s="2280"/>
      <c r="D82" s="2280"/>
      <c r="E82" s="2280"/>
      <c r="F82" s="2280"/>
      <c r="G82" s="2280"/>
      <c r="H82" s="2280"/>
      <c r="I82" s="2280"/>
      <c r="J82" s="2280"/>
      <c r="K82" s="2280"/>
      <c r="L82" s="2280"/>
      <c r="M82" s="2280"/>
      <c r="N82" s="2280"/>
      <c r="O82" s="2280"/>
      <c r="P82" s="2280"/>
      <c r="Q82" s="2280"/>
      <c r="R82" s="2280"/>
      <c r="S82" s="360"/>
    </row>
    <row r="83" spans="1:19" ht="11.25" customHeight="1">
      <c r="A83" s="2268"/>
      <c r="B83" s="2269"/>
      <c r="C83" s="2280"/>
      <c r="D83" s="2280"/>
      <c r="E83" s="2280"/>
      <c r="F83" s="2280"/>
      <c r="G83" s="2280"/>
      <c r="H83" s="2280"/>
      <c r="I83" s="2280"/>
      <c r="J83" s="2280"/>
      <c r="K83" s="2280"/>
      <c r="L83" s="2280"/>
      <c r="M83" s="2280"/>
      <c r="N83" s="2280"/>
      <c r="O83" s="2280"/>
      <c r="P83" s="2280"/>
      <c r="Q83" s="2280"/>
      <c r="R83" s="2280"/>
      <c r="S83" s="360"/>
    </row>
    <row r="84" spans="1:19" ht="11.25" customHeight="1">
      <c r="A84" s="2268"/>
      <c r="B84" s="2269"/>
      <c r="C84" s="2280"/>
      <c r="D84" s="2280"/>
      <c r="E84" s="2280"/>
      <c r="F84" s="2280"/>
      <c r="G84" s="2280"/>
      <c r="H84" s="2280"/>
      <c r="I84" s="2280"/>
      <c r="J84" s="2280"/>
      <c r="K84" s="2280"/>
      <c r="L84" s="2280"/>
      <c r="M84" s="2280"/>
      <c r="N84" s="2280"/>
      <c r="O84" s="2280"/>
      <c r="P84" s="2280"/>
      <c r="Q84" s="2280"/>
      <c r="R84" s="2280"/>
      <c r="S84" s="360"/>
    </row>
    <row r="85" spans="1:19" ht="11.25" customHeight="1">
      <c r="A85" s="2268"/>
      <c r="B85" s="2269"/>
      <c r="C85" s="2280"/>
      <c r="D85" s="2280"/>
      <c r="E85" s="2280"/>
      <c r="F85" s="2280"/>
      <c r="G85" s="2280"/>
      <c r="H85" s="2280"/>
      <c r="I85" s="2280"/>
      <c r="J85" s="2280"/>
      <c r="K85" s="2280"/>
      <c r="L85" s="2280"/>
      <c r="M85" s="2280"/>
      <c r="N85" s="2280"/>
      <c r="O85" s="2280"/>
      <c r="P85" s="2280"/>
      <c r="Q85" s="2280"/>
      <c r="R85" s="2280"/>
      <c r="S85" s="360"/>
    </row>
    <row r="86" spans="1:19" ht="11.25" customHeight="1">
      <c r="A86" s="2268"/>
      <c r="B86" s="2269"/>
      <c r="C86" s="2280"/>
      <c r="D86" s="2280"/>
      <c r="E86" s="2280"/>
      <c r="F86" s="2280"/>
      <c r="G86" s="2280"/>
      <c r="H86" s="2280"/>
      <c r="I86" s="2280"/>
      <c r="J86" s="2280"/>
      <c r="K86" s="2280"/>
      <c r="L86" s="2280"/>
      <c r="M86" s="2280"/>
      <c r="N86" s="2280"/>
      <c r="O86" s="2280"/>
      <c r="P86" s="2280"/>
      <c r="Q86" s="2280"/>
      <c r="R86" s="2280"/>
      <c r="S86" s="360"/>
    </row>
    <row r="87" spans="1:19" ht="11.25" customHeight="1">
      <c r="A87" s="2268"/>
      <c r="B87" s="2272"/>
      <c r="C87" s="2280"/>
      <c r="D87" s="2280"/>
      <c r="E87" s="2280"/>
      <c r="F87" s="2280"/>
      <c r="G87" s="2280"/>
      <c r="H87" s="2280"/>
      <c r="I87" s="2280"/>
      <c r="J87" s="2280"/>
      <c r="K87" s="2280"/>
      <c r="L87" s="2280"/>
      <c r="M87" s="2280"/>
      <c r="N87" s="2280"/>
      <c r="O87" s="2280"/>
      <c r="P87" s="2280"/>
      <c r="Q87" s="2280"/>
      <c r="R87" s="2280"/>
      <c r="S87" s="360"/>
    </row>
    <row r="88" spans="1:19" ht="11.25" customHeight="1">
      <c r="A88" s="2273"/>
      <c r="B88" s="2269"/>
      <c r="C88" s="2270"/>
      <c r="D88" s="2270"/>
      <c r="E88" s="2270"/>
      <c r="F88" s="2270"/>
      <c r="G88" s="2270"/>
      <c r="H88" s="2270"/>
      <c r="I88" s="2270"/>
      <c r="J88" s="2270"/>
      <c r="K88" s="2270"/>
      <c r="L88" s="2270"/>
      <c r="M88" s="2270"/>
      <c r="N88" s="2270"/>
      <c r="O88" s="2270"/>
      <c r="P88" s="2270"/>
      <c r="Q88" s="2270"/>
      <c r="R88" s="2270"/>
      <c r="S88" s="360"/>
    </row>
    <row r="89" spans="1:19" ht="11.25" customHeight="1">
      <c r="A89" s="2268"/>
      <c r="B89" s="2269"/>
      <c r="C89" s="2281"/>
      <c r="D89" s="2281"/>
      <c r="E89" s="2281"/>
      <c r="F89" s="2281"/>
      <c r="G89" s="2281"/>
      <c r="H89" s="2281"/>
      <c r="I89" s="2281"/>
      <c r="J89" s="2281"/>
      <c r="K89" s="2281"/>
      <c r="L89" s="2281"/>
      <c r="M89" s="2281"/>
      <c r="N89" s="2281"/>
      <c r="O89" s="2281"/>
      <c r="P89" s="2281"/>
      <c r="Q89" s="2281"/>
      <c r="R89" s="2281"/>
      <c r="S89" s="360"/>
    </row>
    <row r="90" spans="1:19" ht="11.25" customHeight="1">
      <c r="A90" s="2268"/>
      <c r="B90" s="2269"/>
      <c r="C90" s="2281"/>
      <c r="D90" s="2281"/>
      <c r="E90" s="2281"/>
      <c r="F90" s="2281"/>
      <c r="G90" s="2281"/>
      <c r="H90" s="2281"/>
      <c r="I90" s="2281"/>
      <c r="J90" s="2281"/>
      <c r="K90" s="2281"/>
      <c r="L90" s="2281"/>
      <c r="M90" s="2281"/>
      <c r="N90" s="2281"/>
      <c r="O90" s="2281"/>
      <c r="P90" s="2281"/>
      <c r="Q90" s="2281"/>
      <c r="R90" s="2281"/>
      <c r="S90" s="360"/>
    </row>
    <row r="91" spans="1:19" ht="11.25" customHeight="1">
      <c r="A91" s="2268"/>
      <c r="B91" s="2269"/>
      <c r="C91" s="2281"/>
      <c r="D91" s="2281"/>
      <c r="E91" s="2281"/>
      <c r="F91" s="2281"/>
      <c r="G91" s="2281"/>
      <c r="H91" s="2281"/>
      <c r="I91" s="2281"/>
      <c r="J91" s="2281"/>
      <c r="K91" s="2281"/>
      <c r="L91" s="2281"/>
      <c r="M91" s="2281"/>
      <c r="N91" s="2281"/>
      <c r="O91" s="2281"/>
      <c r="P91" s="2281"/>
      <c r="Q91" s="2281"/>
      <c r="R91" s="2281"/>
      <c r="S91" s="360"/>
    </row>
    <row r="92" spans="1:19" ht="11.25" customHeight="1">
      <c r="A92" s="2268"/>
      <c r="B92" s="2282"/>
      <c r="C92" s="2283"/>
      <c r="D92" s="2283"/>
      <c r="E92" s="2283"/>
      <c r="F92" s="2283"/>
      <c r="G92" s="2283"/>
      <c r="H92" s="2283"/>
      <c r="I92" s="2283"/>
      <c r="J92" s="2283"/>
      <c r="K92" s="2283"/>
      <c r="L92" s="2283"/>
      <c r="M92" s="2283"/>
      <c r="N92" s="2283"/>
      <c r="O92" s="2283"/>
      <c r="P92" s="2283"/>
      <c r="Q92" s="2283"/>
      <c r="R92" s="2283"/>
      <c r="S92" s="360"/>
    </row>
    <row r="93" spans="1:19" ht="11.25" customHeight="1">
      <c r="A93" s="2275"/>
      <c r="B93" s="2282"/>
      <c r="C93" s="2271"/>
      <c r="D93" s="2271"/>
      <c r="E93" s="2271"/>
      <c r="F93" s="2271"/>
      <c r="G93" s="2271"/>
      <c r="H93" s="2271"/>
      <c r="I93" s="2271"/>
      <c r="J93" s="2271"/>
      <c r="K93" s="2271"/>
      <c r="L93" s="2271"/>
      <c r="M93" s="2271"/>
      <c r="N93" s="2271"/>
      <c r="O93" s="2271"/>
      <c r="P93" s="2271"/>
      <c r="Q93" s="2271"/>
      <c r="R93" s="2271"/>
      <c r="S93" s="360"/>
    </row>
    <row r="94" spans="1:19" ht="11.25" customHeight="1">
      <c r="A94" s="2268"/>
      <c r="B94" s="2272"/>
      <c r="C94" s="2284"/>
      <c r="D94" s="2284"/>
      <c r="E94" s="2284"/>
      <c r="F94" s="2284"/>
      <c r="G94" s="2284"/>
      <c r="H94" s="2284"/>
      <c r="I94" s="2284"/>
      <c r="J94" s="2284"/>
      <c r="K94" s="2284"/>
      <c r="L94" s="2284"/>
      <c r="M94" s="2284"/>
      <c r="N94" s="2284"/>
      <c r="O94" s="2284"/>
      <c r="P94" s="2284"/>
      <c r="Q94" s="2284"/>
      <c r="R94" s="2284"/>
      <c r="S94" s="360"/>
    </row>
    <row r="95" spans="1:19" ht="11.25" customHeight="1">
      <c r="A95" s="2268"/>
      <c r="B95" s="2272"/>
      <c r="C95" s="1333"/>
      <c r="D95" s="1333"/>
      <c r="E95" s="1333"/>
      <c r="F95" s="1333"/>
      <c r="G95" s="1333"/>
      <c r="H95" s="1333"/>
      <c r="I95" s="1333"/>
      <c r="J95" s="1333"/>
      <c r="K95" s="1333"/>
      <c r="L95" s="1333"/>
      <c r="M95" s="1333"/>
      <c r="N95" s="1333"/>
      <c r="O95" s="1333"/>
      <c r="P95" s="1333"/>
      <c r="Q95" s="1333"/>
      <c r="R95" s="1333"/>
      <c r="S95" s="360"/>
    </row>
    <row r="96" spans="1:19" ht="11.25" customHeight="1">
      <c r="A96" s="2268"/>
      <c r="B96" s="2272"/>
      <c r="C96" s="1333"/>
      <c r="D96" s="1333"/>
      <c r="E96" s="1333"/>
      <c r="F96" s="1333"/>
      <c r="G96" s="1333"/>
      <c r="H96" s="1333"/>
      <c r="I96" s="1333"/>
      <c r="J96" s="1333"/>
      <c r="K96" s="1333"/>
      <c r="L96" s="1333"/>
      <c r="M96" s="1333"/>
      <c r="N96" s="1333"/>
      <c r="O96" s="1333"/>
      <c r="P96" s="1333"/>
      <c r="Q96" s="1333"/>
      <c r="R96" s="1333"/>
      <c r="S96" s="360"/>
    </row>
    <row r="97" spans="1:19" ht="11.25" customHeight="1">
      <c r="A97" s="2268"/>
      <c r="B97" s="2272"/>
      <c r="C97" s="2285"/>
      <c r="D97" s="2285"/>
      <c r="E97" s="2285"/>
      <c r="F97" s="2285"/>
      <c r="G97" s="2285"/>
      <c r="H97" s="2285"/>
      <c r="I97" s="2285"/>
      <c r="J97" s="2285"/>
      <c r="K97" s="2285"/>
      <c r="L97" s="2285"/>
      <c r="M97" s="2285"/>
      <c r="N97" s="2285"/>
      <c r="O97" s="2285"/>
      <c r="P97" s="2285"/>
      <c r="Q97" s="2285"/>
      <c r="R97" s="2285"/>
      <c r="S97" s="360"/>
    </row>
    <row r="98" spans="1:19" ht="11.25" customHeight="1">
      <c r="A98" s="2268"/>
      <c r="B98" s="2272"/>
      <c r="C98" s="2286"/>
      <c r="D98" s="2286"/>
      <c r="E98" s="2286"/>
      <c r="F98" s="2286"/>
      <c r="G98" s="2286"/>
      <c r="H98" s="2286"/>
      <c r="I98" s="2286"/>
      <c r="J98" s="2286"/>
      <c r="K98" s="2286"/>
      <c r="L98" s="2286"/>
      <c r="M98" s="2286"/>
      <c r="N98" s="2286"/>
      <c r="O98" s="2286"/>
      <c r="P98" s="2286"/>
      <c r="Q98" s="2286"/>
      <c r="R98" s="2286"/>
      <c r="S98" s="360"/>
    </row>
    <row r="99" spans="1:19" ht="11.25" customHeight="1">
      <c r="A99" s="2268"/>
      <c r="B99" s="2272"/>
      <c r="C99" s="2286"/>
      <c r="D99" s="2286"/>
      <c r="E99" s="2286"/>
      <c r="F99" s="2286"/>
      <c r="G99" s="2286"/>
      <c r="H99" s="2286"/>
      <c r="I99" s="2286"/>
      <c r="J99" s="2286"/>
      <c r="K99" s="2286"/>
      <c r="L99" s="2286"/>
      <c r="M99" s="2286"/>
      <c r="N99" s="2286"/>
      <c r="O99" s="2286"/>
      <c r="P99" s="2286"/>
      <c r="Q99" s="2286"/>
      <c r="R99" s="2286"/>
      <c r="S99" s="360"/>
    </row>
    <row r="100" spans="1:19" ht="11.25" customHeight="1">
      <c r="A100" s="2268"/>
      <c r="B100" s="2272"/>
      <c r="C100" s="2286"/>
      <c r="D100" s="2286"/>
      <c r="E100" s="2286"/>
      <c r="F100" s="2286"/>
      <c r="G100" s="2286"/>
      <c r="H100" s="2286"/>
      <c r="I100" s="2286"/>
      <c r="J100" s="2286"/>
      <c r="K100" s="2286"/>
      <c r="L100" s="2286"/>
      <c r="M100" s="2286"/>
      <c r="N100" s="2286"/>
      <c r="O100" s="2286"/>
      <c r="P100" s="2286"/>
      <c r="Q100" s="2286"/>
      <c r="R100" s="2286"/>
      <c r="S100" s="360"/>
    </row>
    <row r="101" spans="1:19" ht="11.25" customHeight="1">
      <c r="A101" s="2268"/>
      <c r="B101" s="2272"/>
      <c r="C101" s="2286"/>
      <c r="D101" s="2286"/>
      <c r="E101" s="2286"/>
      <c r="F101" s="2286"/>
      <c r="G101" s="2286"/>
      <c r="H101" s="2286"/>
      <c r="I101" s="2286"/>
      <c r="J101" s="2286"/>
      <c r="K101" s="2286"/>
      <c r="L101" s="2286"/>
      <c r="M101" s="2286"/>
      <c r="N101" s="2286"/>
      <c r="O101" s="2286"/>
      <c r="P101" s="2286"/>
      <c r="Q101" s="2286"/>
      <c r="R101" s="2286"/>
      <c r="S101" s="360"/>
    </row>
    <row r="102" spans="1:19" ht="11.25" customHeight="1">
      <c r="A102" s="2268"/>
      <c r="B102" s="2272"/>
      <c r="C102" s="2286"/>
      <c r="D102" s="2286"/>
      <c r="E102" s="2286"/>
      <c r="F102" s="2286"/>
      <c r="G102" s="2286"/>
      <c r="H102" s="2286"/>
      <c r="I102" s="2286"/>
      <c r="J102" s="2286"/>
      <c r="K102" s="2286"/>
      <c r="L102" s="2286"/>
      <c r="M102" s="2286"/>
      <c r="N102" s="2286"/>
      <c r="O102" s="2286"/>
      <c r="P102" s="2286"/>
      <c r="Q102" s="2286"/>
      <c r="R102" s="2286"/>
      <c r="S102" s="360"/>
    </row>
    <row r="103" spans="1:19" ht="11.25" customHeight="1">
      <c r="A103" s="2268"/>
      <c r="B103" s="2272"/>
      <c r="C103" s="2286"/>
      <c r="D103" s="2286"/>
      <c r="E103" s="2286"/>
      <c r="F103" s="2286"/>
      <c r="G103" s="2286"/>
      <c r="H103" s="2286"/>
      <c r="I103" s="2286"/>
      <c r="J103" s="2286"/>
      <c r="K103" s="2286"/>
      <c r="L103" s="2286"/>
      <c r="M103" s="2286"/>
      <c r="N103" s="2286"/>
      <c r="O103" s="2286"/>
      <c r="P103" s="2286"/>
      <c r="Q103" s="2286"/>
      <c r="R103" s="2286"/>
      <c r="S103" s="360"/>
    </row>
    <row r="104" spans="1:19" ht="11.25" customHeight="1">
      <c r="A104" s="2273"/>
      <c r="B104" s="2272"/>
      <c r="C104" s="261"/>
      <c r="D104" s="261"/>
      <c r="E104" s="261"/>
      <c r="F104" s="261"/>
      <c r="G104" s="261"/>
      <c r="H104" s="261"/>
      <c r="I104" s="261"/>
      <c r="J104" s="261"/>
      <c r="K104" s="261"/>
      <c r="L104" s="261"/>
      <c r="M104" s="261"/>
      <c r="N104" s="261"/>
      <c r="O104" s="261"/>
      <c r="P104" s="261"/>
      <c r="Q104" s="261"/>
      <c r="R104" s="261"/>
      <c r="S104" s="360"/>
    </row>
    <row r="105" spans="1:19" ht="5" customHeight="1">
      <c r="A105" s="2274"/>
      <c r="B105" s="2269"/>
      <c r="C105" s="363"/>
      <c r="D105" s="363"/>
      <c r="E105" s="363"/>
      <c r="F105" s="363"/>
      <c r="G105" s="363"/>
      <c r="H105" s="363"/>
      <c r="I105" s="363"/>
      <c r="J105" s="363"/>
      <c r="K105" s="363"/>
      <c r="L105" s="363"/>
      <c r="M105" s="363"/>
      <c r="N105" s="363"/>
      <c r="O105" s="363"/>
      <c r="P105" s="363"/>
      <c r="Q105" s="363"/>
      <c r="R105" s="363"/>
      <c r="S105" s="360"/>
    </row>
    <row r="106" spans="1:19" s="709" customFormat="1">
      <c r="A106" s="2287"/>
      <c r="B106" s="2278"/>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c r="A107" s="2288"/>
      <c r="B107" s="2278"/>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c r="A108" s="2288"/>
      <c r="B108" s="2278"/>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c r="A109" s="1516"/>
      <c r="B109" s="2278"/>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c r="A110" s="2288"/>
      <c r="B110" s="2278"/>
      <c r="C110" s="1040"/>
      <c r="D110" s="1040"/>
      <c r="E110" s="1040"/>
      <c r="F110" s="1040"/>
      <c r="G110" s="1040"/>
      <c r="H110" s="1040"/>
      <c r="I110" s="1040"/>
      <c r="J110" s="1040"/>
      <c r="K110" s="1040"/>
      <c r="L110" s="1040"/>
      <c r="M110" s="1040"/>
      <c r="N110" s="1040"/>
      <c r="O110" s="1040"/>
      <c r="P110" s="1040"/>
      <c r="Q110" s="1040"/>
      <c r="R110" s="1040"/>
      <c r="S110" s="1063"/>
    </row>
    <row r="111" spans="1:19">
      <c r="A111" s="1159"/>
      <c r="B111" s="2269"/>
      <c r="C111" s="237"/>
      <c r="D111" s="237"/>
      <c r="E111" s="237"/>
      <c r="F111" s="237"/>
      <c r="G111" s="238"/>
      <c r="H111" s="238"/>
      <c r="I111" s="238"/>
      <c r="J111" s="238"/>
      <c r="K111" s="238"/>
      <c r="L111" s="238"/>
      <c r="M111" s="238"/>
      <c r="N111" s="238"/>
      <c r="O111" s="238"/>
      <c r="P111" s="238"/>
      <c r="Q111" s="238"/>
      <c r="R111" s="238"/>
      <c r="S111" s="360"/>
    </row>
    <row r="112" spans="1:19">
      <c r="A112" s="1159"/>
      <c r="B112" s="2269"/>
      <c r="C112" s="237"/>
      <c r="D112" s="237"/>
      <c r="E112" s="237"/>
      <c r="F112" s="237"/>
      <c r="G112" s="238"/>
      <c r="H112" s="238"/>
      <c r="I112" s="238"/>
      <c r="J112" s="238"/>
      <c r="K112" s="238"/>
      <c r="L112" s="238"/>
      <c r="M112" s="238"/>
      <c r="N112" s="238"/>
      <c r="O112" s="238"/>
      <c r="P112" s="238"/>
      <c r="Q112" s="238"/>
      <c r="R112" s="238"/>
      <c r="S112" s="360"/>
    </row>
    <row r="113" spans="1:9" ht="11.25" customHeight="1">
      <c r="A113" s="246"/>
      <c r="B113" s="652"/>
      <c r="C113" s="246"/>
      <c r="D113" s="246"/>
      <c r="E113" s="246"/>
      <c r="F113" s="246"/>
      <c r="G113" s="246"/>
      <c r="H113" s="246"/>
      <c r="I113" s="246"/>
    </row>
    <row r="114" spans="1:9" ht="11.25" customHeight="1">
      <c r="A114" s="246"/>
      <c r="B114" s="653"/>
      <c r="C114" s="246"/>
      <c r="D114" s="246"/>
      <c r="E114" s="246"/>
      <c r="F114" s="246"/>
      <c r="G114" s="246"/>
      <c r="H114" s="246"/>
      <c r="I114" s="246"/>
    </row>
    <row r="115" spans="1:9" ht="11.25" customHeight="1">
      <c r="A115" s="246"/>
      <c r="B115" s="653"/>
      <c r="C115" s="246"/>
      <c r="D115" s="246"/>
      <c r="E115" s="246"/>
      <c r="F115" s="246"/>
      <c r="G115" s="246"/>
      <c r="H115" s="246"/>
      <c r="I115" s="246"/>
    </row>
    <row r="116" spans="1:9" ht="11.25" customHeight="1">
      <c r="A116" s="246"/>
      <c r="B116" s="653"/>
      <c r="C116" s="246"/>
      <c r="D116" s="246"/>
      <c r="E116" s="246"/>
      <c r="F116" s="246"/>
      <c r="G116" s="246"/>
      <c r="H116" s="246"/>
      <c r="I116" s="246"/>
    </row>
    <row r="117" spans="1:9" ht="11.25" customHeight="1">
      <c r="A117" s="246"/>
      <c r="B117" s="652"/>
      <c r="C117" s="246"/>
      <c r="D117" s="246"/>
      <c r="E117" s="246"/>
      <c r="F117" s="246"/>
      <c r="G117" s="246"/>
      <c r="H117" s="246"/>
      <c r="I117" s="246"/>
    </row>
    <row r="118" spans="1:9" ht="11.25" customHeight="1"/>
    <row r="119" spans="1:9" ht="11.25" customHeight="1"/>
    <row r="120" spans="1:9" ht="11.25" customHeight="1"/>
    <row r="121" spans="1:9" ht="11.25" customHeight="1"/>
    <row r="122" spans="1:9" ht="11.25" customHeight="1"/>
    <row r="123" spans="1:9" ht="11.25" customHeight="1"/>
    <row r="124" spans="1:9" ht="11.25" customHeight="1"/>
    <row r="125" spans="1:9" ht="11.25" customHeight="1"/>
    <row r="126" spans="1:9" ht="11.25" customHeight="1"/>
    <row r="127" spans="1:9" ht="11.25" customHeight="1"/>
    <row r="128" spans="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phoneticPr fontId="5"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35" bottom="0.24" header="0.28999999999999998" footer="0.23622047244094491"/>
  <headerFooter alignWithMargins="0"/>
  <rowBreaks count="1" manualBreakCount="1">
    <brk id="56" max="16383" man="1"/>
  </rowBreaks>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enableFormatConditionsCalculation="0">
    <tabColor indexed="42"/>
  </sheetPr>
  <dimension ref="A1:S146"/>
  <sheetViews>
    <sheetView showGridLines="0" workbookViewId="0">
      <pane xSplit="2" ySplit="2" topLeftCell="C33" activePane="bottomRight" state="frozen"/>
      <selection pane="topRight"/>
      <selection pane="bottomLeft"/>
      <selection pane="bottomRight" activeCell="C5" sqref="C5:R24"/>
    </sheetView>
  </sheetViews>
  <sheetFormatPr baseColWidth="10" defaultColWidth="8.83203125" defaultRowHeight="10" x14ac:dyDescent="0"/>
  <cols>
    <col min="1" max="1" width="30.6640625" style="149" customWidth="1"/>
    <col min="2" max="2" width="3" style="654" customWidth="1"/>
    <col min="3" max="18" width="8.1640625" style="149" customWidth="1"/>
    <col min="19" max="19" width="9.83203125" style="149" customWidth="1"/>
    <col min="20" max="20" width="9.5" style="149" customWidth="1"/>
    <col min="21" max="21" width="9.83203125" style="149" customWidth="1"/>
    <col min="22" max="24" width="9.5" style="149" customWidth="1"/>
    <col min="25" max="25" width="9.83203125" style="149" customWidth="1"/>
    <col min="26" max="28" width="9.5" style="149" customWidth="1"/>
    <col min="29" max="30" width="9.83203125" style="149" customWidth="1"/>
    <col min="31" max="16384" width="8.83203125" style="149"/>
  </cols>
  <sheetData>
    <row r="1" spans="1:18" ht="12">
      <c r="A1" s="147" t="str">
        <f>muni&amp;" - "&amp;TableA12b</f>
        <v>NW373 Rustenburg - Supporting Table SA12b Property rates by category (budget year)</v>
      </c>
      <c r="B1" s="633"/>
      <c r="C1" s="147"/>
      <c r="D1" s="147"/>
      <c r="E1" s="147"/>
      <c r="F1" s="147"/>
      <c r="G1" s="147"/>
      <c r="H1" s="147"/>
      <c r="I1" s="147"/>
      <c r="J1" s="147"/>
      <c r="K1" s="147"/>
      <c r="L1" s="147"/>
      <c r="M1" s="147"/>
      <c r="N1" s="147"/>
      <c r="O1" s="147"/>
      <c r="P1" s="147"/>
      <c r="Q1" s="147"/>
      <c r="R1" s="147"/>
    </row>
    <row r="2" spans="1:18" ht="30">
      <c r="A2" s="634" t="str">
        <f>desc</f>
        <v>Description</v>
      </c>
      <c r="B2" s="635" t="str">
        <f>head27</f>
        <v>Ref</v>
      </c>
      <c r="C2" s="519" t="s">
        <v>1076</v>
      </c>
      <c r="D2" s="519" t="s">
        <v>1077</v>
      </c>
      <c r="E2" s="519" t="s">
        <v>1078</v>
      </c>
      <c r="F2" s="519" t="s">
        <v>1079</v>
      </c>
      <c r="G2" s="519" t="s">
        <v>1463</v>
      </c>
      <c r="H2" s="519" t="s">
        <v>1546</v>
      </c>
      <c r="I2" s="519" t="s">
        <v>1464</v>
      </c>
      <c r="J2" s="519" t="s">
        <v>1080</v>
      </c>
      <c r="K2" s="519" t="s">
        <v>415</v>
      </c>
      <c r="L2" s="519" t="s">
        <v>1081</v>
      </c>
      <c r="M2" s="519" t="s">
        <v>416</v>
      </c>
      <c r="N2" s="519" t="s">
        <v>1547</v>
      </c>
      <c r="O2" s="519" t="s">
        <v>1082</v>
      </c>
      <c r="P2" s="519" t="s">
        <v>417</v>
      </c>
      <c r="Q2" s="519" t="s">
        <v>1548</v>
      </c>
      <c r="R2" s="636" t="s">
        <v>1549</v>
      </c>
    </row>
    <row r="3" spans="1:18" ht="11.25" customHeight="1">
      <c r="A3" s="249" t="str">
        <f>Head9</f>
        <v>Budget Year 2013/14</v>
      </c>
      <c r="B3" s="182"/>
      <c r="C3" s="637"/>
      <c r="D3" s="637"/>
      <c r="E3" s="637"/>
      <c r="F3" s="637"/>
      <c r="G3" s="637"/>
      <c r="H3" s="637"/>
      <c r="I3" s="637"/>
      <c r="J3" s="637"/>
      <c r="K3" s="637"/>
      <c r="L3" s="637"/>
      <c r="M3" s="637"/>
      <c r="N3" s="637"/>
      <c r="O3" s="637"/>
      <c r="P3" s="637"/>
      <c r="Q3" s="637"/>
      <c r="R3" s="638"/>
    </row>
    <row r="4" spans="1:18" ht="11.25" customHeight="1">
      <c r="A4" s="249" t="s">
        <v>759</v>
      </c>
      <c r="B4" s="182"/>
      <c r="C4" s="637"/>
      <c r="D4" s="637"/>
      <c r="E4" s="637"/>
      <c r="F4" s="637"/>
      <c r="G4" s="637"/>
      <c r="H4" s="637"/>
      <c r="I4" s="637"/>
      <c r="J4" s="637"/>
      <c r="K4" s="637"/>
      <c r="L4" s="637"/>
      <c r="M4" s="637"/>
      <c r="N4" s="637"/>
      <c r="O4" s="637"/>
      <c r="P4" s="637"/>
      <c r="Q4" s="637"/>
      <c r="R4" s="638"/>
    </row>
    <row r="5" spans="1:18" ht="11.25" customHeight="1">
      <c r="A5" s="250" t="s">
        <v>412</v>
      </c>
      <c r="B5" s="182"/>
      <c r="C5" s="2675">
        <v>67399</v>
      </c>
      <c r="D5" s="2675">
        <v>515</v>
      </c>
      <c r="E5" s="2675">
        <v>1571</v>
      </c>
      <c r="F5" s="2675">
        <v>30694</v>
      </c>
      <c r="G5" s="2675">
        <v>470</v>
      </c>
      <c r="H5" s="2675">
        <v>918</v>
      </c>
      <c r="I5" s="2675">
        <v>171</v>
      </c>
      <c r="J5" s="2675">
        <v>0</v>
      </c>
      <c r="K5" s="2675">
        <v>0</v>
      </c>
      <c r="L5" s="2675">
        <v>0</v>
      </c>
      <c r="M5" s="2675">
        <v>0</v>
      </c>
      <c r="N5" s="2675">
        <v>0</v>
      </c>
      <c r="O5" s="2675">
        <v>0</v>
      </c>
      <c r="P5" s="2675">
        <v>0</v>
      </c>
      <c r="Q5" s="2675">
        <v>5</v>
      </c>
      <c r="R5" s="2676">
        <v>65</v>
      </c>
    </row>
    <row r="6" spans="1:18" ht="11.25" customHeight="1">
      <c r="A6" s="250" t="s">
        <v>1401</v>
      </c>
      <c r="B6" s="182"/>
      <c r="C6" s="2675">
        <v>8562</v>
      </c>
      <c r="D6" s="2675">
        <v>0</v>
      </c>
      <c r="E6" s="2675">
        <v>0</v>
      </c>
      <c r="F6" s="2675">
        <v>0</v>
      </c>
      <c r="G6" s="2675">
        <v>0</v>
      </c>
      <c r="H6" s="2675">
        <v>0</v>
      </c>
      <c r="I6" s="2675">
        <v>0</v>
      </c>
      <c r="J6" s="2675">
        <v>0</v>
      </c>
      <c r="K6" s="2675">
        <v>0</v>
      </c>
      <c r="L6" s="2675">
        <v>0</v>
      </c>
      <c r="M6" s="2675">
        <v>0</v>
      </c>
      <c r="N6" s="2675">
        <v>0</v>
      </c>
      <c r="O6" s="2675">
        <v>0</v>
      </c>
      <c r="P6" s="2675">
        <v>0</v>
      </c>
      <c r="Q6" s="2675">
        <v>0</v>
      </c>
      <c r="R6" s="2675">
        <v>0</v>
      </c>
    </row>
    <row r="7" spans="1:18" ht="11.25" customHeight="1">
      <c r="A7" s="250" t="s">
        <v>414</v>
      </c>
      <c r="B7" s="182"/>
      <c r="C7" s="2675">
        <v>0</v>
      </c>
      <c r="D7" s="2675">
        <v>0</v>
      </c>
      <c r="E7" s="2675">
        <v>0</v>
      </c>
      <c r="F7" s="2675">
        <v>0</v>
      </c>
      <c r="G7" s="2675">
        <v>0</v>
      </c>
      <c r="H7" s="2675">
        <v>0</v>
      </c>
      <c r="I7" s="2675">
        <v>0</v>
      </c>
      <c r="J7" s="2675">
        <v>0</v>
      </c>
      <c r="K7" s="2675">
        <v>0</v>
      </c>
      <c r="L7" s="2675">
        <v>0</v>
      </c>
      <c r="M7" s="2675">
        <v>0</v>
      </c>
      <c r="N7" s="2675">
        <v>0</v>
      </c>
      <c r="O7" s="2675">
        <v>0</v>
      </c>
      <c r="P7" s="2675">
        <v>0</v>
      </c>
      <c r="Q7" s="2675">
        <v>0</v>
      </c>
      <c r="R7" s="2675">
        <v>0</v>
      </c>
    </row>
    <row r="8" spans="1:18" ht="11.25" customHeight="1">
      <c r="A8" s="250" t="s">
        <v>750</v>
      </c>
      <c r="B8" s="182"/>
      <c r="C8" s="2675">
        <v>1000</v>
      </c>
      <c r="D8" s="2675">
        <v>5</v>
      </c>
      <c r="E8" s="2675">
        <v>10</v>
      </c>
      <c r="F8" s="2675">
        <v>5</v>
      </c>
      <c r="G8" s="2675">
        <v>0</v>
      </c>
      <c r="H8" s="2675">
        <v>0</v>
      </c>
      <c r="I8" s="2675">
        <v>0</v>
      </c>
      <c r="J8" s="2675">
        <v>0</v>
      </c>
      <c r="K8" s="2675">
        <v>0</v>
      </c>
      <c r="L8" s="2675">
        <v>0</v>
      </c>
      <c r="M8" s="2675">
        <v>0</v>
      </c>
      <c r="N8" s="2675">
        <v>0</v>
      </c>
      <c r="O8" s="2675">
        <v>0</v>
      </c>
      <c r="P8" s="2675">
        <v>0</v>
      </c>
      <c r="Q8" s="2675">
        <v>0</v>
      </c>
      <c r="R8" s="2675">
        <v>0</v>
      </c>
    </row>
    <row r="9" spans="1:18" ht="11.25" customHeight="1">
      <c r="A9" s="250" t="s">
        <v>1402</v>
      </c>
      <c r="B9" s="182"/>
      <c r="C9" s="2675"/>
      <c r="D9" s="2675"/>
      <c r="E9" s="2675"/>
      <c r="F9" s="2675"/>
      <c r="G9" s="2675"/>
      <c r="H9" s="2675"/>
      <c r="I9" s="2675"/>
      <c r="J9" s="2675"/>
      <c r="K9" s="2675"/>
      <c r="L9" s="2675"/>
      <c r="M9" s="2675"/>
      <c r="N9" s="2675"/>
      <c r="O9" s="2675"/>
      <c r="P9" s="2675"/>
      <c r="Q9" s="2675"/>
      <c r="R9" s="2676"/>
    </row>
    <row r="10" spans="1:18" ht="11.25" customHeight="1">
      <c r="A10" s="250" t="s">
        <v>751</v>
      </c>
      <c r="B10" s="182"/>
      <c r="C10" s="2675">
        <v>0</v>
      </c>
      <c r="D10" s="2675">
        <v>0</v>
      </c>
      <c r="E10" s="2675">
        <v>0</v>
      </c>
      <c r="F10" s="2675">
        <v>0</v>
      </c>
      <c r="G10" s="2675">
        <v>0</v>
      </c>
      <c r="H10" s="2675">
        <v>0</v>
      </c>
      <c r="I10" s="2675">
        <v>0</v>
      </c>
      <c r="J10" s="2675">
        <v>0</v>
      </c>
      <c r="K10" s="2675">
        <v>0</v>
      </c>
      <c r="L10" s="2675">
        <v>0</v>
      </c>
      <c r="M10" s="2675">
        <v>0</v>
      </c>
      <c r="N10" s="2675">
        <v>0</v>
      </c>
      <c r="O10" s="2675">
        <v>0</v>
      </c>
      <c r="P10" s="2675">
        <v>0</v>
      </c>
      <c r="Q10" s="2675">
        <v>0</v>
      </c>
      <c r="R10" s="2675">
        <v>0</v>
      </c>
    </row>
    <row r="11" spans="1:18" ht="11.25" customHeight="1">
      <c r="A11" s="250" t="s">
        <v>367</v>
      </c>
      <c r="B11" s="182"/>
      <c r="C11" s="2675">
        <v>0</v>
      </c>
      <c r="D11" s="2675">
        <v>0</v>
      </c>
      <c r="E11" s="2675">
        <v>0</v>
      </c>
      <c r="F11" s="2675">
        <v>0</v>
      </c>
      <c r="G11" s="2675">
        <v>0</v>
      </c>
      <c r="H11" s="2675">
        <v>0</v>
      </c>
      <c r="I11" s="2675">
        <v>0</v>
      </c>
      <c r="J11" s="2675">
        <v>0</v>
      </c>
      <c r="K11" s="2675">
        <v>0</v>
      </c>
      <c r="L11" s="2675">
        <v>0</v>
      </c>
      <c r="M11" s="2675">
        <v>0</v>
      </c>
      <c r="N11" s="2675">
        <v>0</v>
      </c>
      <c r="O11" s="2675">
        <v>0</v>
      </c>
      <c r="P11" s="2675">
        <v>0</v>
      </c>
      <c r="Q11" s="2675">
        <v>0</v>
      </c>
      <c r="R11" s="2675">
        <v>0</v>
      </c>
    </row>
    <row r="12" spans="1:18" ht="11.25" customHeight="1">
      <c r="A12" s="250" t="s">
        <v>368</v>
      </c>
      <c r="B12" s="182"/>
      <c r="C12" s="2675">
        <v>0</v>
      </c>
      <c r="D12" s="2675">
        <v>0</v>
      </c>
      <c r="E12" s="2675">
        <v>0</v>
      </c>
      <c r="F12" s="2675">
        <v>0</v>
      </c>
      <c r="G12" s="2675">
        <v>0</v>
      </c>
      <c r="H12" s="2675">
        <v>0</v>
      </c>
      <c r="I12" s="2675">
        <v>0</v>
      </c>
      <c r="J12" s="2675">
        <v>0</v>
      </c>
      <c r="K12" s="2675">
        <v>0</v>
      </c>
      <c r="L12" s="2675">
        <v>0</v>
      </c>
      <c r="M12" s="2675">
        <v>0</v>
      </c>
      <c r="N12" s="2675">
        <v>0</v>
      </c>
      <c r="O12" s="2675">
        <v>0</v>
      </c>
      <c r="P12" s="2675">
        <v>0</v>
      </c>
      <c r="Q12" s="2675">
        <v>0</v>
      </c>
      <c r="R12" s="2675">
        <v>0</v>
      </c>
    </row>
    <row r="13" spans="1:18" ht="11.25" customHeight="1">
      <c r="A13" s="250" t="s">
        <v>369</v>
      </c>
      <c r="B13" s="182"/>
      <c r="C13" s="2675">
        <v>0</v>
      </c>
      <c r="D13" s="2675">
        <v>0</v>
      </c>
      <c r="E13" s="2675">
        <v>0</v>
      </c>
      <c r="F13" s="2675">
        <v>0</v>
      </c>
      <c r="G13" s="2675">
        <v>0</v>
      </c>
      <c r="H13" s="2675">
        <v>0</v>
      </c>
      <c r="I13" s="2675">
        <v>0</v>
      </c>
      <c r="J13" s="2675">
        <v>0</v>
      </c>
      <c r="K13" s="2675">
        <v>0</v>
      </c>
      <c r="L13" s="2675">
        <v>0</v>
      </c>
      <c r="M13" s="2675">
        <v>0</v>
      </c>
      <c r="N13" s="2675">
        <v>0</v>
      </c>
      <c r="O13" s="2675">
        <v>0</v>
      </c>
      <c r="P13" s="2675">
        <v>0</v>
      </c>
      <c r="Q13" s="2675">
        <v>0</v>
      </c>
      <c r="R13" s="2675">
        <v>0</v>
      </c>
    </row>
    <row r="14" spans="1:18" ht="11.25" customHeight="1">
      <c r="A14" s="250" t="s">
        <v>761</v>
      </c>
      <c r="B14" s="182">
        <v>5</v>
      </c>
      <c r="C14" s="2675">
        <v>0</v>
      </c>
      <c r="D14" s="2675">
        <v>0</v>
      </c>
      <c r="E14" s="2675">
        <v>0</v>
      </c>
      <c r="F14" s="2675">
        <v>0</v>
      </c>
      <c r="G14" s="2675">
        <v>0</v>
      </c>
      <c r="H14" s="2675">
        <v>0</v>
      </c>
      <c r="I14" s="2675">
        <v>0</v>
      </c>
      <c r="J14" s="2675">
        <v>0</v>
      </c>
      <c r="K14" s="2675">
        <v>0</v>
      </c>
      <c r="L14" s="2675">
        <v>0</v>
      </c>
      <c r="M14" s="2675">
        <v>0</v>
      </c>
      <c r="N14" s="2675">
        <v>0</v>
      </c>
      <c r="O14" s="2675">
        <v>0</v>
      </c>
      <c r="P14" s="2675">
        <v>0</v>
      </c>
      <c r="Q14" s="2675">
        <v>0</v>
      </c>
      <c r="R14" s="2675">
        <v>0</v>
      </c>
    </row>
    <row r="15" spans="1:18" ht="11.25" customHeight="1">
      <c r="A15" s="250" t="s">
        <v>749</v>
      </c>
      <c r="B15" s="182">
        <v>5</v>
      </c>
      <c r="C15" s="2675">
        <v>0</v>
      </c>
      <c r="D15" s="2675">
        <v>0</v>
      </c>
      <c r="E15" s="2675">
        <v>0</v>
      </c>
      <c r="F15" s="2675">
        <v>0</v>
      </c>
      <c r="G15" s="2675">
        <v>0</v>
      </c>
      <c r="H15" s="2675">
        <v>0</v>
      </c>
      <c r="I15" s="2675">
        <v>0</v>
      </c>
      <c r="J15" s="2675">
        <v>0</v>
      </c>
      <c r="K15" s="2675">
        <v>0</v>
      </c>
      <c r="L15" s="2675">
        <v>0</v>
      </c>
      <c r="M15" s="2675">
        <v>0</v>
      </c>
      <c r="N15" s="2675">
        <v>0</v>
      </c>
      <c r="O15" s="2675">
        <v>0</v>
      </c>
      <c r="P15" s="2675">
        <v>0</v>
      </c>
      <c r="Q15" s="2675">
        <v>0</v>
      </c>
      <c r="R15" s="2675">
        <v>0</v>
      </c>
    </row>
    <row r="16" spans="1:18" ht="11.25" customHeight="1">
      <c r="A16" s="254" t="s">
        <v>1403</v>
      </c>
      <c r="B16" s="350"/>
      <c r="C16" s="2677">
        <v>2000</v>
      </c>
      <c r="D16" s="2677">
        <v>20</v>
      </c>
      <c r="E16" s="2677">
        <v>30</v>
      </c>
      <c r="F16" s="2677">
        <v>50</v>
      </c>
      <c r="G16" s="2677">
        <v>50</v>
      </c>
      <c r="H16" s="2677">
        <v>0</v>
      </c>
      <c r="I16" s="2678">
        <v>0</v>
      </c>
      <c r="J16" s="2675">
        <v>0</v>
      </c>
      <c r="K16" s="2675">
        <v>0</v>
      </c>
      <c r="L16" s="2675">
        <v>0</v>
      </c>
      <c r="M16" s="2675">
        <v>0</v>
      </c>
      <c r="N16" s="2675">
        <v>0</v>
      </c>
      <c r="O16" s="2675">
        <v>0</v>
      </c>
      <c r="P16" s="2675">
        <v>0</v>
      </c>
      <c r="Q16" s="2677">
        <v>0</v>
      </c>
      <c r="R16" s="2679">
        <v>0</v>
      </c>
    </row>
    <row r="17" spans="1:18" ht="11.25" customHeight="1">
      <c r="A17" s="250" t="s">
        <v>1684</v>
      </c>
      <c r="B17" s="182"/>
      <c r="C17" s="2680">
        <v>3</v>
      </c>
      <c r="D17" s="2680">
        <v>3</v>
      </c>
      <c r="E17" s="2680">
        <v>3</v>
      </c>
      <c r="F17" s="2680">
        <v>3</v>
      </c>
      <c r="G17" s="2680">
        <v>3</v>
      </c>
      <c r="H17" s="2680">
        <v>3</v>
      </c>
      <c r="I17" s="2680">
        <v>3</v>
      </c>
      <c r="J17" s="2675">
        <v>0</v>
      </c>
      <c r="K17" s="2675">
        <v>0</v>
      </c>
      <c r="L17" s="2675">
        <v>0</v>
      </c>
      <c r="M17" s="2675">
        <v>0</v>
      </c>
      <c r="N17" s="2675">
        <v>0</v>
      </c>
      <c r="O17" s="2675">
        <v>0</v>
      </c>
      <c r="P17" s="2675">
        <v>0</v>
      </c>
      <c r="Q17" s="2680">
        <v>3</v>
      </c>
      <c r="R17" s="2680">
        <v>3</v>
      </c>
    </row>
    <row r="18" spans="1:18" ht="11.25" customHeight="1">
      <c r="A18" s="250" t="s">
        <v>1685</v>
      </c>
      <c r="B18" s="182"/>
      <c r="C18" s="2681">
        <v>5</v>
      </c>
      <c r="D18" s="2681">
        <v>5</v>
      </c>
      <c r="E18" s="2681">
        <v>5</v>
      </c>
      <c r="F18" s="2681">
        <v>5</v>
      </c>
      <c r="G18" s="2681">
        <v>5</v>
      </c>
      <c r="H18" s="2681">
        <v>5</v>
      </c>
      <c r="I18" s="2681">
        <v>5</v>
      </c>
      <c r="J18" s="2675">
        <v>0</v>
      </c>
      <c r="K18" s="2675">
        <v>0</v>
      </c>
      <c r="L18" s="2675">
        <v>0</v>
      </c>
      <c r="M18" s="2675">
        <v>0</v>
      </c>
      <c r="N18" s="2675">
        <v>0</v>
      </c>
      <c r="O18" s="2675">
        <v>0</v>
      </c>
      <c r="P18" s="2675">
        <v>0</v>
      </c>
      <c r="Q18" s="2681">
        <v>5</v>
      </c>
      <c r="R18" s="2681">
        <v>5</v>
      </c>
    </row>
    <row r="19" spans="1:18" ht="11.25" customHeight="1">
      <c r="A19" s="250" t="s">
        <v>1686</v>
      </c>
      <c r="B19" s="182"/>
      <c r="C19" s="2680" t="s">
        <v>161</v>
      </c>
      <c r="D19" s="2680" t="s">
        <v>161</v>
      </c>
      <c r="E19" s="2680" t="s">
        <v>161</v>
      </c>
      <c r="F19" s="2680" t="s">
        <v>161</v>
      </c>
      <c r="G19" s="2680" t="s">
        <v>161</v>
      </c>
      <c r="H19" s="2680" t="s">
        <v>161</v>
      </c>
      <c r="I19" s="2680" t="s">
        <v>161</v>
      </c>
      <c r="J19" s="2675">
        <v>0</v>
      </c>
      <c r="K19" s="2675">
        <v>0</v>
      </c>
      <c r="L19" s="2675">
        <v>0</v>
      </c>
      <c r="M19" s="2675">
        <v>0</v>
      </c>
      <c r="N19" s="2675">
        <v>0</v>
      </c>
      <c r="O19" s="2675">
        <v>0</v>
      </c>
      <c r="P19" s="2675">
        <v>0</v>
      </c>
      <c r="Q19" s="2680" t="s">
        <v>161</v>
      </c>
      <c r="R19" s="2680" t="s">
        <v>161</v>
      </c>
    </row>
    <row r="20" spans="1:18" ht="11.25" customHeight="1">
      <c r="A20" s="250" t="s">
        <v>1687</v>
      </c>
      <c r="B20" s="182"/>
      <c r="C20" s="2680" t="s">
        <v>165</v>
      </c>
      <c r="D20" s="2680" t="s">
        <v>165</v>
      </c>
      <c r="E20" s="2680" t="s">
        <v>165</v>
      </c>
      <c r="F20" s="2680" t="s">
        <v>165</v>
      </c>
      <c r="G20" s="2680" t="s">
        <v>165</v>
      </c>
      <c r="H20" s="2680" t="s">
        <v>165</v>
      </c>
      <c r="I20" s="2680" t="s">
        <v>165</v>
      </c>
      <c r="J20" s="2675">
        <v>0</v>
      </c>
      <c r="K20" s="2675">
        <v>0</v>
      </c>
      <c r="L20" s="2675">
        <v>0</v>
      </c>
      <c r="M20" s="2675">
        <v>0</v>
      </c>
      <c r="N20" s="2675">
        <v>0</v>
      </c>
      <c r="O20" s="2675">
        <v>0</v>
      </c>
      <c r="P20" s="2675">
        <v>0</v>
      </c>
      <c r="Q20" s="2680" t="s">
        <v>165</v>
      </c>
      <c r="R20" s="2680" t="s">
        <v>165</v>
      </c>
    </row>
    <row r="21" spans="1:18" ht="11.25" customHeight="1">
      <c r="A21" s="250" t="s">
        <v>164</v>
      </c>
      <c r="B21" s="182"/>
      <c r="C21" s="2680">
        <v>0</v>
      </c>
      <c r="D21" s="2680">
        <v>0</v>
      </c>
      <c r="E21" s="2680">
        <v>0</v>
      </c>
      <c r="F21" s="2680">
        <v>0</v>
      </c>
      <c r="G21" s="2680">
        <v>0</v>
      </c>
      <c r="H21" s="2680">
        <v>0</v>
      </c>
      <c r="I21" s="2680">
        <v>0</v>
      </c>
      <c r="J21" s="2675">
        <v>0</v>
      </c>
      <c r="K21" s="2675">
        <v>0</v>
      </c>
      <c r="L21" s="2675">
        <v>0</v>
      </c>
      <c r="M21" s="2675">
        <v>0</v>
      </c>
      <c r="N21" s="2675">
        <v>0</v>
      </c>
      <c r="O21" s="2675">
        <v>0</v>
      </c>
      <c r="P21" s="2675">
        <v>0</v>
      </c>
      <c r="Q21" s="2680">
        <v>0</v>
      </c>
      <c r="R21" s="2680">
        <v>0</v>
      </c>
    </row>
    <row r="22" spans="1:18" ht="11.25" customHeight="1">
      <c r="A22" s="250" t="s">
        <v>678</v>
      </c>
      <c r="B22" s="639"/>
      <c r="C22" s="2680" t="s">
        <v>427</v>
      </c>
      <c r="D22" s="2680" t="s">
        <v>427</v>
      </c>
      <c r="E22" s="2680" t="s">
        <v>427</v>
      </c>
      <c r="F22" s="2680" t="s">
        <v>427</v>
      </c>
      <c r="G22" s="2680" t="s">
        <v>427</v>
      </c>
      <c r="H22" s="2680" t="s">
        <v>427</v>
      </c>
      <c r="I22" s="2680" t="s">
        <v>427</v>
      </c>
      <c r="J22" s="2675">
        <v>0</v>
      </c>
      <c r="K22" s="2675">
        <v>0</v>
      </c>
      <c r="L22" s="2675">
        <v>0</v>
      </c>
      <c r="M22" s="2675">
        <v>0</v>
      </c>
      <c r="N22" s="2675">
        <v>0</v>
      </c>
      <c r="O22" s="2675">
        <v>0</v>
      </c>
      <c r="P22" s="2675">
        <v>0</v>
      </c>
      <c r="Q22" s="2680" t="s">
        <v>427</v>
      </c>
      <c r="R22" s="2680" t="s">
        <v>427</v>
      </c>
    </row>
    <row r="23" spans="1:18" ht="11.25" customHeight="1">
      <c r="A23" s="250" t="s">
        <v>679</v>
      </c>
      <c r="B23" s="639"/>
      <c r="C23" s="2680" t="s">
        <v>427</v>
      </c>
      <c r="D23" s="2680" t="s">
        <v>427</v>
      </c>
      <c r="E23" s="2680" t="s">
        <v>427</v>
      </c>
      <c r="F23" s="2680" t="s">
        <v>427</v>
      </c>
      <c r="G23" s="2680" t="s">
        <v>427</v>
      </c>
      <c r="H23" s="2680" t="s">
        <v>427</v>
      </c>
      <c r="I23" s="2680" t="s">
        <v>427</v>
      </c>
      <c r="J23" s="2675">
        <v>0</v>
      </c>
      <c r="K23" s="2675">
        <v>0</v>
      </c>
      <c r="L23" s="2675">
        <v>0</v>
      </c>
      <c r="M23" s="2675">
        <v>0</v>
      </c>
      <c r="N23" s="2675">
        <v>0</v>
      </c>
      <c r="O23" s="2675">
        <v>0</v>
      </c>
      <c r="P23" s="2675">
        <v>0</v>
      </c>
      <c r="Q23" s="2680" t="s">
        <v>427</v>
      </c>
      <c r="R23" s="2680" t="s">
        <v>427</v>
      </c>
    </row>
    <row r="24" spans="1:18" ht="11.25" customHeight="1">
      <c r="A24" s="250" t="s">
        <v>312</v>
      </c>
      <c r="B24" s="639"/>
      <c r="C24" s="2680" t="s">
        <v>1688</v>
      </c>
      <c r="D24" s="2680" t="s">
        <v>1688</v>
      </c>
      <c r="E24" s="2680" t="s">
        <v>1688</v>
      </c>
      <c r="F24" s="2680" t="s">
        <v>1688</v>
      </c>
      <c r="G24" s="2680" t="s">
        <v>1688</v>
      </c>
      <c r="H24" s="2680" t="s">
        <v>1688</v>
      </c>
      <c r="I24" s="2680" t="s">
        <v>1688</v>
      </c>
      <c r="J24" s="2675">
        <v>0</v>
      </c>
      <c r="K24" s="2675">
        <v>0</v>
      </c>
      <c r="L24" s="2675">
        <v>0</v>
      </c>
      <c r="M24" s="2675">
        <v>0</v>
      </c>
      <c r="N24" s="2675">
        <v>0</v>
      </c>
      <c r="O24" s="2675">
        <v>0</v>
      </c>
      <c r="P24" s="2675">
        <v>0</v>
      </c>
      <c r="Q24" s="2680" t="s">
        <v>1688</v>
      </c>
      <c r="R24" s="2680" t="s">
        <v>1688</v>
      </c>
    </row>
    <row r="25" spans="1:18" ht="11.25" customHeight="1">
      <c r="A25" s="249" t="s">
        <v>1543</v>
      </c>
      <c r="B25" s="182"/>
      <c r="C25" s="599"/>
      <c r="D25" s="599"/>
      <c r="E25" s="599"/>
      <c r="F25" s="599"/>
      <c r="G25" s="599"/>
      <c r="H25" s="599"/>
      <c r="I25" s="599"/>
      <c r="J25" s="599"/>
      <c r="K25" s="599"/>
      <c r="L25" s="599"/>
      <c r="M25" s="599"/>
      <c r="N25" s="599"/>
      <c r="O25" s="599"/>
      <c r="P25" s="599"/>
      <c r="Q25" s="599"/>
      <c r="R25" s="602"/>
    </row>
    <row r="26" spans="1:18" ht="11.25" customHeight="1">
      <c r="A26" s="250" t="s">
        <v>524</v>
      </c>
      <c r="B26" s="182"/>
      <c r="C26" s="1854"/>
      <c r="D26" s="1854"/>
      <c r="E26" s="1854"/>
      <c r="F26" s="1854"/>
      <c r="G26" s="1854"/>
      <c r="H26" s="1854"/>
      <c r="I26" s="1854"/>
      <c r="J26" s="1854"/>
      <c r="K26" s="1854"/>
      <c r="L26" s="1854"/>
      <c r="M26" s="1854"/>
      <c r="N26" s="1854"/>
      <c r="O26" s="1854"/>
      <c r="P26" s="1854"/>
      <c r="Q26" s="1854"/>
      <c r="R26" s="1857"/>
    </row>
    <row r="27" spans="1:18" ht="11.25" customHeight="1">
      <c r="A27" s="250" t="s">
        <v>525</v>
      </c>
      <c r="B27" s="182"/>
      <c r="C27" s="1854"/>
      <c r="D27" s="1854"/>
      <c r="E27" s="1854"/>
      <c r="F27" s="1854"/>
      <c r="G27" s="1854"/>
      <c r="H27" s="1854"/>
      <c r="I27" s="1854"/>
      <c r="J27" s="1854"/>
      <c r="K27" s="1854"/>
      <c r="L27" s="1854"/>
      <c r="M27" s="1854"/>
      <c r="N27" s="1854"/>
      <c r="O27" s="1854"/>
      <c r="P27" s="1854"/>
      <c r="Q27" s="1854"/>
      <c r="R27" s="1857"/>
    </row>
    <row r="28" spans="1:18" ht="11.25" customHeight="1">
      <c r="A28" s="250" t="s">
        <v>526</v>
      </c>
      <c r="B28" s="182"/>
      <c r="C28" s="1854"/>
      <c r="D28" s="1854"/>
      <c r="E28" s="1854"/>
      <c r="F28" s="1854"/>
      <c r="G28" s="1854"/>
      <c r="H28" s="1854"/>
      <c r="I28" s="1854"/>
      <c r="J28" s="1854"/>
      <c r="K28" s="1854"/>
      <c r="L28" s="1854"/>
      <c r="M28" s="1854"/>
      <c r="N28" s="1854"/>
      <c r="O28" s="1854"/>
      <c r="P28" s="1854"/>
      <c r="Q28" s="1854"/>
      <c r="R28" s="1857"/>
    </row>
    <row r="29" spans="1:18" ht="11.25" customHeight="1">
      <c r="A29" s="250" t="s">
        <v>527</v>
      </c>
      <c r="B29" s="182"/>
      <c r="C29" s="1854"/>
      <c r="D29" s="1854"/>
      <c r="E29" s="1854"/>
      <c r="F29" s="1854"/>
      <c r="G29" s="1854"/>
      <c r="H29" s="1854"/>
      <c r="I29" s="1854"/>
      <c r="J29" s="1854"/>
      <c r="K29" s="1854"/>
      <c r="L29" s="1854"/>
      <c r="M29" s="1854"/>
      <c r="N29" s="1854"/>
      <c r="O29" s="1854"/>
      <c r="P29" s="1854"/>
      <c r="Q29" s="1854"/>
      <c r="R29" s="1857"/>
    </row>
    <row r="30" spans="1:18" ht="11.25" customHeight="1">
      <c r="A30" s="250" t="s">
        <v>528</v>
      </c>
      <c r="B30" s="182"/>
      <c r="C30" s="1854"/>
      <c r="D30" s="1854"/>
      <c r="E30" s="1854"/>
      <c r="F30" s="1854"/>
      <c r="G30" s="1854"/>
      <c r="H30" s="1854"/>
      <c r="I30" s="1854"/>
      <c r="J30" s="1854"/>
      <c r="K30" s="1854"/>
      <c r="L30" s="1854"/>
      <c r="M30" s="1854"/>
      <c r="N30" s="1854"/>
      <c r="O30" s="1854"/>
      <c r="P30" s="1854"/>
      <c r="Q30" s="1854"/>
      <c r="R30" s="1857"/>
    </row>
    <row r="31" spans="1:18" ht="11.25" customHeight="1">
      <c r="A31" s="250" t="s">
        <v>529</v>
      </c>
      <c r="B31" s="639">
        <v>2</v>
      </c>
      <c r="C31" s="1854"/>
      <c r="D31" s="1854"/>
      <c r="E31" s="1854"/>
      <c r="F31" s="1854"/>
      <c r="G31" s="1854"/>
      <c r="H31" s="1854"/>
      <c r="I31" s="1854"/>
      <c r="J31" s="1854"/>
      <c r="K31" s="1854"/>
      <c r="L31" s="1854"/>
      <c r="M31" s="1854"/>
      <c r="N31" s="1854"/>
      <c r="O31" s="1854"/>
      <c r="P31" s="1854"/>
      <c r="Q31" s="1854"/>
      <c r="R31" s="1857"/>
    </row>
    <row r="32" spans="1:18" ht="11.25" customHeight="1">
      <c r="A32" s="265" t="s">
        <v>1544</v>
      </c>
      <c r="B32" s="182"/>
      <c r="C32" s="640"/>
      <c r="D32" s="640"/>
      <c r="E32" s="640"/>
      <c r="F32" s="640"/>
      <c r="G32" s="640"/>
      <c r="H32" s="640"/>
      <c r="I32" s="640"/>
      <c r="J32" s="640"/>
      <c r="K32" s="640"/>
      <c r="L32" s="640"/>
      <c r="M32" s="640"/>
      <c r="N32" s="640"/>
      <c r="O32" s="640"/>
      <c r="P32" s="640"/>
      <c r="Q32" s="640"/>
      <c r="R32" s="641"/>
    </row>
    <row r="33" spans="1:19" ht="15.75" customHeight="1">
      <c r="A33" s="250" t="s">
        <v>1457</v>
      </c>
      <c r="B33" s="182">
        <v>6</v>
      </c>
      <c r="C33" s="1859"/>
      <c r="D33" s="1859"/>
      <c r="E33" s="1859"/>
      <c r="F33" s="1859"/>
      <c r="G33" s="1859"/>
      <c r="H33" s="1859"/>
      <c r="I33" s="1859"/>
      <c r="J33" s="1859"/>
      <c r="K33" s="1859"/>
      <c r="L33" s="1859"/>
      <c r="M33" s="1859"/>
      <c r="N33" s="1859"/>
      <c r="O33" s="1859"/>
      <c r="P33" s="1859"/>
      <c r="Q33" s="1859"/>
      <c r="R33" s="1862"/>
    </row>
    <row r="34" spans="1:19" ht="11.25" customHeight="1">
      <c r="A34" s="250" t="s">
        <v>1458</v>
      </c>
      <c r="B34" s="182">
        <v>6</v>
      </c>
      <c r="C34" s="1859"/>
      <c r="D34" s="1859"/>
      <c r="E34" s="1859"/>
      <c r="F34" s="1859"/>
      <c r="G34" s="1859"/>
      <c r="H34" s="1859"/>
      <c r="I34" s="1859"/>
      <c r="J34" s="1859"/>
      <c r="K34" s="1859"/>
      <c r="L34" s="1859"/>
      <c r="M34" s="1859"/>
      <c r="N34" s="1859"/>
      <c r="O34" s="1859"/>
      <c r="P34" s="1859"/>
      <c r="Q34" s="1859"/>
      <c r="R34" s="1862"/>
    </row>
    <row r="35" spans="1:19" ht="11.25" customHeight="1">
      <c r="A35" s="250" t="s">
        <v>1459</v>
      </c>
      <c r="B35" s="182">
        <v>6</v>
      </c>
      <c r="C35" s="1859"/>
      <c r="D35" s="1859"/>
      <c r="E35" s="1859"/>
      <c r="F35" s="1859"/>
      <c r="G35" s="1859"/>
      <c r="H35" s="1859"/>
      <c r="I35" s="1859"/>
      <c r="J35" s="1859"/>
      <c r="K35" s="1859"/>
      <c r="L35" s="1859"/>
      <c r="M35" s="1859"/>
      <c r="N35" s="1859"/>
      <c r="O35" s="1859"/>
      <c r="P35" s="1859"/>
      <c r="Q35" s="1859"/>
      <c r="R35" s="1862"/>
    </row>
    <row r="36" spans="1:19" ht="11.25" customHeight="1">
      <c r="A36" s="250" t="s">
        <v>1460</v>
      </c>
      <c r="B36" s="1536">
        <v>6</v>
      </c>
      <c r="C36" s="1864"/>
      <c r="D36" s="1864"/>
      <c r="E36" s="1864"/>
      <c r="F36" s="1864"/>
      <c r="G36" s="1864"/>
      <c r="H36" s="1864"/>
      <c r="I36" s="1864"/>
      <c r="J36" s="1864"/>
      <c r="K36" s="1864"/>
      <c r="L36" s="1864"/>
      <c r="M36" s="1864"/>
      <c r="N36" s="1864"/>
      <c r="O36" s="1864"/>
      <c r="P36" s="1864"/>
      <c r="Q36" s="1864"/>
      <c r="R36" s="1889"/>
    </row>
    <row r="37" spans="1:19" ht="15.75" customHeight="1">
      <c r="A37" s="642" t="s">
        <v>1545</v>
      </c>
      <c r="B37" s="643"/>
      <c r="C37" s="644"/>
      <c r="D37" s="644"/>
      <c r="E37" s="644"/>
      <c r="F37" s="644"/>
      <c r="G37" s="644"/>
      <c r="H37" s="644"/>
      <c r="I37" s="644"/>
      <c r="J37" s="644"/>
      <c r="K37" s="644"/>
      <c r="L37" s="644"/>
      <c r="M37" s="644"/>
      <c r="N37" s="644"/>
      <c r="O37" s="644"/>
      <c r="P37" s="644"/>
      <c r="Q37" s="644"/>
      <c r="R37" s="645"/>
    </row>
    <row r="38" spans="1:19" ht="11.25" customHeight="1">
      <c r="A38" s="254" t="s">
        <v>311</v>
      </c>
      <c r="B38" s="646">
        <v>3</v>
      </c>
      <c r="C38" s="1890"/>
      <c r="D38" s="1890"/>
      <c r="E38" s="1890"/>
      <c r="F38" s="1890"/>
      <c r="G38" s="1890"/>
      <c r="H38" s="1890"/>
      <c r="I38" s="1890"/>
      <c r="J38" s="1890"/>
      <c r="K38" s="1890"/>
      <c r="L38" s="1890"/>
      <c r="M38" s="1890"/>
      <c r="N38" s="1890"/>
      <c r="O38" s="1890"/>
      <c r="P38" s="1890"/>
      <c r="Q38" s="1890"/>
      <c r="R38" s="1891"/>
      <c r="S38" s="370"/>
    </row>
    <row r="39" spans="1:19" ht="11.25" customHeight="1">
      <c r="A39" s="254" t="s">
        <v>1461</v>
      </c>
      <c r="B39" s="646"/>
      <c r="C39" s="1615"/>
      <c r="D39" s="1615"/>
      <c r="E39" s="1615"/>
      <c r="F39" s="1615"/>
      <c r="G39" s="1615"/>
      <c r="H39" s="1615"/>
      <c r="I39" s="1615"/>
      <c r="J39" s="1615"/>
      <c r="K39" s="1615"/>
      <c r="L39" s="1615"/>
      <c r="M39" s="1615"/>
      <c r="N39" s="1615"/>
      <c r="O39" s="1615"/>
      <c r="P39" s="1615"/>
      <c r="Q39" s="1615"/>
      <c r="R39" s="1618"/>
      <c r="S39" s="647">
        <f>SUM(C39:R39)</f>
        <v>0</v>
      </c>
    </row>
    <row r="40" spans="1:19" ht="11.25" customHeight="1">
      <c r="A40" s="254" t="s">
        <v>1462</v>
      </c>
      <c r="B40" s="646"/>
      <c r="C40" s="1615"/>
      <c r="D40" s="1615"/>
      <c r="E40" s="1615"/>
      <c r="F40" s="1615"/>
      <c r="G40" s="1615"/>
      <c r="H40" s="1615"/>
      <c r="I40" s="1615"/>
      <c r="J40" s="1615"/>
      <c r="K40" s="1615"/>
      <c r="L40" s="1615"/>
      <c r="M40" s="1615"/>
      <c r="N40" s="1615"/>
      <c r="O40" s="1615"/>
      <c r="P40" s="1615"/>
      <c r="Q40" s="1615"/>
      <c r="R40" s="1618"/>
      <c r="S40" s="647">
        <f>SUM(C40:R40)</f>
        <v>0</v>
      </c>
    </row>
    <row r="41" spans="1:19" ht="11.25" customHeight="1">
      <c r="A41" s="254" t="s">
        <v>1584</v>
      </c>
      <c r="B41" s="646">
        <v>4</v>
      </c>
      <c r="C41" s="1874"/>
      <c r="D41" s="1874"/>
      <c r="E41" s="1874"/>
      <c r="F41" s="1874"/>
      <c r="G41" s="1874"/>
      <c r="H41" s="1874"/>
      <c r="I41" s="1874"/>
      <c r="J41" s="1874"/>
      <c r="K41" s="1874"/>
      <c r="L41" s="1874"/>
      <c r="M41" s="1874"/>
      <c r="N41" s="1874"/>
      <c r="O41" s="1874"/>
      <c r="P41" s="1874"/>
      <c r="Q41" s="1874"/>
      <c r="R41" s="1876"/>
    </row>
    <row r="42" spans="1:19" ht="11.25" customHeight="1">
      <c r="A42" s="254" t="s">
        <v>1502</v>
      </c>
      <c r="B42" s="646"/>
      <c r="C42" s="1638"/>
      <c r="D42" s="1638"/>
      <c r="E42" s="1638"/>
      <c r="F42" s="1638"/>
      <c r="G42" s="1638"/>
      <c r="H42" s="1638"/>
      <c r="I42" s="1638"/>
      <c r="J42" s="1638"/>
      <c r="K42" s="1638"/>
      <c r="L42" s="1638"/>
      <c r="M42" s="1638"/>
      <c r="N42" s="1638"/>
      <c r="O42" s="1638"/>
      <c r="P42" s="1638"/>
      <c r="Q42" s="1638"/>
      <c r="R42" s="1647"/>
      <c r="S42" s="370"/>
    </row>
    <row r="43" spans="1:19" ht="15.75" customHeight="1">
      <c r="A43" s="254" t="s">
        <v>419</v>
      </c>
      <c r="B43" s="646"/>
      <c r="C43" s="1892"/>
      <c r="D43" s="1892"/>
      <c r="E43" s="1892"/>
      <c r="F43" s="1892"/>
      <c r="G43" s="1892"/>
      <c r="H43" s="1892"/>
      <c r="I43" s="1892"/>
      <c r="J43" s="1892"/>
      <c r="K43" s="1892"/>
      <c r="L43" s="1892"/>
      <c r="M43" s="1892"/>
      <c r="N43" s="1892"/>
      <c r="O43" s="1892"/>
      <c r="P43" s="1892"/>
      <c r="Q43" s="1892"/>
      <c r="R43" s="1893"/>
      <c r="S43" s="370"/>
    </row>
    <row r="44" spans="1:19" ht="11.25" customHeight="1">
      <c r="A44" s="254" t="s">
        <v>520</v>
      </c>
      <c r="B44" s="646"/>
      <c r="C44" s="1638"/>
      <c r="D44" s="1638"/>
      <c r="E44" s="1638"/>
      <c r="F44" s="1638"/>
      <c r="G44" s="1638"/>
      <c r="H44" s="1638"/>
      <c r="I44" s="1638"/>
      <c r="J44" s="1638"/>
      <c r="K44" s="1638"/>
      <c r="L44" s="1638"/>
      <c r="M44" s="1638"/>
      <c r="N44" s="1638"/>
      <c r="O44" s="1638"/>
      <c r="P44" s="1638"/>
      <c r="Q44" s="1638"/>
      <c r="R44" s="1647"/>
      <c r="S44" s="370"/>
    </row>
    <row r="45" spans="1:19" ht="11.25" customHeight="1">
      <c r="A45" s="254" t="s">
        <v>521</v>
      </c>
      <c r="B45" s="646"/>
      <c r="C45" s="1638"/>
      <c r="D45" s="1638"/>
      <c r="E45" s="1638"/>
      <c r="F45" s="1638"/>
      <c r="G45" s="1638"/>
      <c r="H45" s="1638"/>
      <c r="I45" s="1638"/>
      <c r="J45" s="1638"/>
      <c r="K45" s="1638"/>
      <c r="L45" s="1638"/>
      <c r="M45" s="1638"/>
      <c r="N45" s="1638"/>
      <c r="O45" s="1638"/>
      <c r="P45" s="1638"/>
      <c r="Q45" s="1638"/>
      <c r="R45" s="1647"/>
      <c r="S45" s="370"/>
    </row>
    <row r="46" spans="1:19" ht="11.25" customHeight="1">
      <c r="A46" s="254" t="s">
        <v>522</v>
      </c>
      <c r="B46" s="646"/>
      <c r="C46" s="1638"/>
      <c r="D46" s="1638"/>
      <c r="E46" s="1638"/>
      <c r="F46" s="1638"/>
      <c r="G46" s="1638"/>
      <c r="H46" s="1638"/>
      <c r="I46" s="1638"/>
      <c r="J46" s="1638"/>
      <c r="K46" s="1638"/>
      <c r="L46" s="1638"/>
      <c r="M46" s="1638"/>
      <c r="N46" s="1638"/>
      <c r="O46" s="1638"/>
      <c r="P46" s="1638"/>
      <c r="Q46" s="1638"/>
      <c r="R46" s="1647"/>
      <c r="S46" s="370"/>
    </row>
    <row r="47" spans="1:19" ht="11.25" customHeight="1">
      <c r="A47" s="254" t="s">
        <v>1501</v>
      </c>
      <c r="B47" s="646"/>
      <c r="C47" s="1638"/>
      <c r="D47" s="1638"/>
      <c r="E47" s="1638"/>
      <c r="F47" s="1638"/>
      <c r="G47" s="1638"/>
      <c r="H47" s="1638"/>
      <c r="I47" s="1638"/>
      <c r="J47" s="1638"/>
      <c r="K47" s="1638"/>
      <c r="L47" s="1638"/>
      <c r="M47" s="1638"/>
      <c r="N47" s="1638"/>
      <c r="O47" s="1638"/>
      <c r="P47" s="1638"/>
      <c r="Q47" s="1638"/>
      <c r="R47" s="1647"/>
      <c r="S47" s="370"/>
    </row>
    <row r="48" spans="1:19" ht="11.25" customHeight="1">
      <c r="A48" s="650" t="s">
        <v>663</v>
      </c>
      <c r="B48" s="639"/>
      <c r="C48" s="648"/>
      <c r="D48" s="648"/>
      <c r="E48" s="648"/>
      <c r="F48" s="648"/>
      <c r="G48" s="648"/>
      <c r="H48" s="648"/>
      <c r="I48" s="648"/>
      <c r="J48" s="648"/>
      <c r="K48" s="648"/>
      <c r="L48" s="648"/>
      <c r="M48" s="648"/>
      <c r="N48" s="648"/>
      <c r="O48" s="648"/>
      <c r="P48" s="648"/>
      <c r="Q48" s="648"/>
      <c r="R48" s="649"/>
      <c r="S48" s="370"/>
    </row>
    <row r="49" spans="1:19" ht="5" customHeight="1">
      <c r="A49" s="651"/>
      <c r="B49" s="398"/>
      <c r="C49" s="629"/>
      <c r="D49" s="629"/>
      <c r="E49" s="629"/>
      <c r="F49" s="629"/>
      <c r="G49" s="629"/>
      <c r="H49" s="629"/>
      <c r="I49" s="629"/>
      <c r="J49" s="629"/>
      <c r="K49" s="629"/>
      <c r="L49" s="629"/>
      <c r="M49" s="629"/>
      <c r="N49" s="629"/>
      <c r="O49" s="629"/>
      <c r="P49" s="629"/>
      <c r="Q49" s="629"/>
      <c r="R49" s="630"/>
    </row>
    <row r="50" spans="1:19" s="709" customFormat="1">
      <c r="A50" s="1262" t="str">
        <f>head27a</f>
        <v>References</v>
      </c>
      <c r="B50" s="1076"/>
      <c r="C50" s="1042"/>
      <c r="D50" s="1042"/>
      <c r="E50" s="1042"/>
      <c r="F50" s="1042"/>
      <c r="G50" s="1042"/>
      <c r="H50" s="1042"/>
      <c r="I50" s="1042"/>
      <c r="J50" s="1042"/>
      <c r="K50" s="1042"/>
      <c r="L50" s="1042"/>
      <c r="M50" s="1042"/>
      <c r="N50" s="1042"/>
      <c r="O50" s="1042"/>
      <c r="P50" s="1042"/>
      <c r="Q50" s="1042"/>
      <c r="R50" s="1042"/>
    </row>
    <row r="51" spans="1:19" s="709" customFormat="1">
      <c r="A51" s="1417" t="s">
        <v>532</v>
      </c>
      <c r="B51" s="1076"/>
      <c r="C51" s="1042"/>
      <c r="D51" s="1042"/>
      <c r="E51" s="1042"/>
      <c r="F51" s="1042"/>
      <c r="G51" s="1042"/>
      <c r="H51" s="1042"/>
      <c r="I51" s="1042"/>
      <c r="J51" s="1042"/>
      <c r="K51" s="1042"/>
      <c r="L51" s="1042"/>
      <c r="M51" s="1042"/>
      <c r="N51" s="1042"/>
      <c r="O51" s="1042"/>
      <c r="P51" s="1042"/>
      <c r="Q51" s="1042"/>
      <c r="R51" s="1042"/>
    </row>
    <row r="52" spans="1:19" s="709" customFormat="1">
      <c r="A52" s="1417" t="s">
        <v>533</v>
      </c>
      <c r="B52" s="1076"/>
      <c r="C52" s="1042"/>
      <c r="D52" s="1042"/>
      <c r="E52" s="1042"/>
      <c r="F52" s="1042"/>
      <c r="G52" s="1042"/>
      <c r="H52" s="1042"/>
      <c r="I52" s="1042"/>
      <c r="J52" s="1042"/>
      <c r="K52" s="1042"/>
      <c r="L52" s="1042"/>
      <c r="M52" s="1042"/>
      <c r="N52" s="1042"/>
      <c r="O52" s="1042"/>
      <c r="P52" s="1042"/>
      <c r="Q52" s="1042"/>
      <c r="R52" s="1042"/>
    </row>
    <row r="53" spans="1:19" s="709" customFormat="1">
      <c r="A53" s="1263" t="s">
        <v>534</v>
      </c>
      <c r="B53" s="1076"/>
      <c r="C53" s="1042"/>
      <c r="D53" s="1042"/>
      <c r="E53" s="1042"/>
      <c r="F53" s="1042"/>
      <c r="G53" s="1042"/>
      <c r="H53" s="1042"/>
      <c r="I53" s="1042"/>
      <c r="J53" s="1042"/>
      <c r="K53" s="1042"/>
      <c r="L53" s="1042"/>
      <c r="M53" s="1042"/>
      <c r="N53" s="1042"/>
      <c r="O53" s="1042"/>
      <c r="P53" s="1042"/>
      <c r="Q53" s="1042"/>
      <c r="R53" s="1042"/>
    </row>
    <row r="54" spans="1:19" s="709" customFormat="1">
      <c r="A54" s="1417" t="s">
        <v>535</v>
      </c>
      <c r="B54" s="1076"/>
      <c r="C54" s="1042"/>
      <c r="D54" s="1042"/>
      <c r="E54" s="1042"/>
      <c r="F54" s="1042"/>
      <c r="G54" s="1042"/>
      <c r="H54" s="1042"/>
      <c r="I54" s="1042"/>
      <c r="J54" s="1042"/>
      <c r="K54" s="1042"/>
      <c r="L54" s="1042"/>
      <c r="M54" s="1042"/>
      <c r="N54" s="1042"/>
      <c r="O54" s="1042"/>
      <c r="P54" s="1042"/>
      <c r="Q54" s="1042"/>
      <c r="R54" s="1042"/>
    </row>
    <row r="55" spans="1:19" s="709" customFormat="1">
      <c r="A55" s="1195" t="s">
        <v>1608</v>
      </c>
      <c r="B55" s="1076"/>
      <c r="C55" s="1042"/>
      <c r="D55" s="1042"/>
      <c r="E55" s="1042"/>
      <c r="F55" s="1042"/>
      <c r="G55" s="1042"/>
      <c r="H55" s="1042"/>
      <c r="I55" s="1042"/>
      <c r="J55" s="1042"/>
      <c r="K55" s="1042"/>
      <c r="L55" s="1042"/>
      <c r="M55" s="1042"/>
      <c r="N55" s="1042"/>
      <c r="O55" s="1042"/>
      <c r="P55" s="1042"/>
      <c r="Q55" s="1042"/>
      <c r="R55" s="1042"/>
    </row>
    <row r="56" spans="1:19" s="709" customFormat="1">
      <c r="A56" s="1195" t="s">
        <v>1610</v>
      </c>
      <c r="B56" s="1076"/>
      <c r="C56" s="1042"/>
      <c r="D56" s="1042"/>
      <c r="E56" s="1042"/>
      <c r="F56" s="1042"/>
      <c r="G56" s="1042"/>
      <c r="H56" s="1042"/>
      <c r="I56" s="1042"/>
      <c r="J56" s="1042"/>
      <c r="K56" s="1042"/>
      <c r="L56" s="1042"/>
      <c r="M56" s="1042"/>
      <c r="N56" s="1042"/>
      <c r="O56" s="1042"/>
      <c r="P56" s="1042"/>
      <c r="Q56" s="1042"/>
      <c r="R56" s="1042"/>
    </row>
    <row r="57" spans="1:19" ht="15.75" customHeight="1">
      <c r="A57" s="2264"/>
      <c r="B57" s="2264"/>
      <c r="C57" s="935"/>
      <c r="D57" s="935"/>
      <c r="E57" s="935"/>
      <c r="F57" s="935"/>
      <c r="G57" s="935"/>
      <c r="H57" s="935"/>
      <c r="I57" s="935"/>
      <c r="J57" s="935"/>
      <c r="K57" s="935"/>
      <c r="L57" s="935"/>
      <c r="M57" s="935"/>
      <c r="N57" s="935"/>
      <c r="O57" s="935"/>
      <c r="P57" s="935"/>
      <c r="Q57" s="935"/>
      <c r="R57" s="935"/>
      <c r="S57" s="360"/>
    </row>
    <row r="58" spans="1:19" ht="38.25" customHeight="1">
      <c r="A58" s="2265"/>
      <c r="B58" s="2266"/>
      <c r="C58" s="2267"/>
      <c r="D58" s="2267"/>
      <c r="E58" s="2267"/>
      <c r="F58" s="2267"/>
      <c r="G58" s="2267"/>
      <c r="H58" s="2267"/>
      <c r="I58" s="2267"/>
      <c r="J58" s="2267"/>
      <c r="K58" s="2267"/>
      <c r="L58" s="2267"/>
      <c r="M58" s="2267"/>
      <c r="N58" s="2267"/>
      <c r="O58" s="2267"/>
      <c r="P58" s="2267"/>
      <c r="Q58" s="2267"/>
      <c r="R58" s="2267"/>
      <c r="S58" s="360"/>
    </row>
    <row r="59" spans="1:19" ht="11.25" customHeight="1">
      <c r="A59" s="2275"/>
      <c r="B59" s="2269"/>
      <c r="C59" s="238"/>
      <c r="D59" s="238"/>
      <c r="E59" s="238"/>
      <c r="F59" s="238"/>
      <c r="G59" s="238"/>
      <c r="H59" s="238"/>
      <c r="I59" s="238"/>
      <c r="J59" s="238"/>
      <c r="K59" s="238"/>
      <c r="L59" s="238"/>
      <c r="M59" s="238"/>
      <c r="N59" s="238"/>
      <c r="O59" s="238"/>
      <c r="P59" s="238"/>
      <c r="Q59" s="238"/>
      <c r="R59" s="238"/>
      <c r="S59" s="360"/>
    </row>
    <row r="60" spans="1:19" ht="11.25" customHeight="1">
      <c r="A60" s="2275"/>
      <c r="B60" s="2269"/>
      <c r="C60" s="238"/>
      <c r="D60" s="238"/>
      <c r="E60" s="238"/>
      <c r="F60" s="238"/>
      <c r="G60" s="238"/>
      <c r="H60" s="238"/>
      <c r="I60" s="238"/>
      <c r="J60" s="238"/>
      <c r="K60" s="238"/>
      <c r="L60" s="238"/>
      <c r="M60" s="238"/>
      <c r="N60" s="238"/>
      <c r="O60" s="238"/>
      <c r="P60" s="238"/>
      <c r="Q60" s="238"/>
      <c r="R60" s="238"/>
      <c r="S60" s="360"/>
    </row>
    <row r="61" spans="1:19" ht="11.25" customHeight="1">
      <c r="A61" s="2268"/>
      <c r="B61" s="2269"/>
      <c r="C61" s="2067"/>
      <c r="D61" s="2067"/>
      <c r="E61" s="2067"/>
      <c r="F61" s="2067"/>
      <c r="G61" s="2067"/>
      <c r="H61" s="2067"/>
      <c r="I61" s="2067"/>
      <c r="J61" s="2067"/>
      <c r="K61" s="2067"/>
      <c r="L61" s="2067"/>
      <c r="M61" s="2067"/>
      <c r="N61" s="2067"/>
      <c r="O61" s="2067"/>
      <c r="P61" s="2067"/>
      <c r="Q61" s="2067"/>
      <c r="R61" s="2067"/>
      <c r="S61" s="360"/>
    </row>
    <row r="62" spans="1:19" ht="11.25" customHeight="1">
      <c r="A62" s="2268"/>
      <c r="B62" s="2269"/>
      <c r="C62" s="2067"/>
      <c r="D62" s="2067"/>
      <c r="E62" s="2067"/>
      <c r="F62" s="2067"/>
      <c r="G62" s="2067"/>
      <c r="H62" s="2067"/>
      <c r="I62" s="2067"/>
      <c r="J62" s="2067"/>
      <c r="K62" s="2067"/>
      <c r="L62" s="2067"/>
      <c r="M62" s="2067"/>
      <c r="N62" s="2067"/>
      <c r="O62" s="2067"/>
      <c r="P62" s="2067"/>
      <c r="Q62" s="2067"/>
      <c r="R62" s="2067"/>
      <c r="S62" s="360"/>
    </row>
    <row r="63" spans="1:19" ht="11.25" customHeight="1">
      <c r="A63" s="2268"/>
      <c r="B63" s="2269"/>
      <c r="C63" s="2067"/>
      <c r="D63" s="2067"/>
      <c r="E63" s="2067"/>
      <c r="F63" s="2067"/>
      <c r="G63" s="2067"/>
      <c r="H63" s="2067"/>
      <c r="I63" s="2067"/>
      <c r="J63" s="2067"/>
      <c r="K63" s="2067"/>
      <c r="L63" s="2067"/>
      <c r="M63" s="2067"/>
      <c r="N63" s="2067"/>
      <c r="O63" s="2067"/>
      <c r="P63" s="2067"/>
      <c r="Q63" s="2067"/>
      <c r="R63" s="2067"/>
      <c r="S63" s="360"/>
    </row>
    <row r="64" spans="1:19" ht="11.25" customHeight="1">
      <c r="A64" s="2268"/>
      <c r="B64" s="2269"/>
      <c r="C64" s="2067"/>
      <c r="D64" s="2067"/>
      <c r="E64" s="2067"/>
      <c r="F64" s="2067"/>
      <c r="G64" s="2067"/>
      <c r="H64" s="2067"/>
      <c r="I64" s="2067"/>
      <c r="J64" s="2067"/>
      <c r="K64" s="2067"/>
      <c r="L64" s="2067"/>
      <c r="M64" s="2067"/>
      <c r="N64" s="2067"/>
      <c r="O64" s="2067"/>
      <c r="P64" s="2067"/>
      <c r="Q64" s="2067"/>
      <c r="R64" s="2067"/>
      <c r="S64" s="360"/>
    </row>
    <row r="65" spans="1:19" ht="11.25" customHeight="1">
      <c r="A65" s="2268"/>
      <c r="B65" s="2269"/>
      <c r="C65" s="2067"/>
      <c r="D65" s="2067"/>
      <c r="E65" s="2067"/>
      <c r="F65" s="2067"/>
      <c r="G65" s="2067"/>
      <c r="H65" s="2067"/>
      <c r="I65" s="2067"/>
      <c r="J65" s="2067"/>
      <c r="K65" s="2067"/>
      <c r="L65" s="2067"/>
      <c r="M65" s="2067"/>
      <c r="N65" s="2067"/>
      <c r="O65" s="2067"/>
      <c r="P65" s="2067"/>
      <c r="Q65" s="2067"/>
      <c r="R65" s="2067"/>
      <c r="S65" s="360"/>
    </row>
    <row r="66" spans="1:19" ht="11.25" customHeight="1">
      <c r="A66" s="2268"/>
      <c r="B66" s="2269"/>
      <c r="C66" s="2067"/>
      <c r="D66" s="2067"/>
      <c r="E66" s="2067"/>
      <c r="F66" s="2067"/>
      <c r="G66" s="2067"/>
      <c r="H66" s="2067"/>
      <c r="I66" s="2067"/>
      <c r="J66" s="2067"/>
      <c r="K66" s="2067"/>
      <c r="L66" s="2067"/>
      <c r="M66" s="2067"/>
      <c r="N66" s="2067"/>
      <c r="O66" s="2067"/>
      <c r="P66" s="2067"/>
      <c r="Q66" s="2067"/>
      <c r="R66" s="2067"/>
      <c r="S66" s="360"/>
    </row>
    <row r="67" spans="1:19" ht="11.25" customHeight="1">
      <c r="A67" s="2268"/>
      <c r="B67" s="2269"/>
      <c r="C67" s="2067"/>
      <c r="D67" s="2067"/>
      <c r="E67" s="2067"/>
      <c r="F67" s="2067"/>
      <c r="G67" s="2067"/>
      <c r="H67" s="2067"/>
      <c r="I67" s="2067"/>
      <c r="J67" s="2067"/>
      <c r="K67" s="2067"/>
      <c r="L67" s="2067"/>
      <c r="M67" s="2067"/>
      <c r="N67" s="2067"/>
      <c r="O67" s="2067"/>
      <c r="P67" s="2067"/>
      <c r="Q67" s="2067"/>
      <c r="R67" s="2067"/>
      <c r="S67" s="360"/>
    </row>
    <row r="68" spans="1:19" ht="11.25" customHeight="1">
      <c r="A68" s="2268"/>
      <c r="B68" s="2269"/>
      <c r="C68" s="2067"/>
      <c r="D68" s="2067"/>
      <c r="E68" s="2067"/>
      <c r="F68" s="2067"/>
      <c r="G68" s="2067"/>
      <c r="H68" s="2067"/>
      <c r="I68" s="2067"/>
      <c r="J68" s="2067"/>
      <c r="K68" s="2067"/>
      <c r="L68" s="2067"/>
      <c r="M68" s="2067"/>
      <c r="N68" s="2067"/>
      <c r="O68" s="2067"/>
      <c r="P68" s="2067"/>
      <c r="Q68" s="2067"/>
      <c r="R68" s="2067"/>
      <c r="S68" s="360"/>
    </row>
    <row r="69" spans="1:19" ht="11.25" customHeight="1">
      <c r="A69" s="2268"/>
      <c r="B69" s="2269"/>
      <c r="C69" s="2067"/>
      <c r="D69" s="2067"/>
      <c r="E69" s="2067"/>
      <c r="F69" s="2067"/>
      <c r="G69" s="2067"/>
      <c r="H69" s="2067"/>
      <c r="I69" s="2067"/>
      <c r="J69" s="2067"/>
      <c r="K69" s="2067"/>
      <c r="L69" s="2067"/>
      <c r="M69" s="2067"/>
      <c r="N69" s="2067"/>
      <c r="O69" s="2067"/>
      <c r="P69" s="2067"/>
      <c r="Q69" s="2067"/>
      <c r="R69" s="2067"/>
      <c r="S69" s="360"/>
    </row>
    <row r="70" spans="1:19" ht="11.25" customHeight="1">
      <c r="A70" s="2268"/>
      <c r="B70" s="2269"/>
      <c r="C70" s="2067"/>
      <c r="D70" s="2067"/>
      <c r="E70" s="2067"/>
      <c r="F70" s="2067"/>
      <c r="G70" s="2067"/>
      <c r="H70" s="2067"/>
      <c r="I70" s="2067"/>
      <c r="J70" s="2067"/>
      <c r="K70" s="2067"/>
      <c r="L70" s="2067"/>
      <c r="M70" s="2067"/>
      <c r="N70" s="2067"/>
      <c r="O70" s="2067"/>
      <c r="P70" s="2067"/>
      <c r="Q70" s="2067"/>
      <c r="R70" s="2067"/>
      <c r="S70" s="360"/>
    </row>
    <row r="71" spans="1:19" ht="11.25" customHeight="1">
      <c r="A71" s="2268"/>
      <c r="B71" s="2269"/>
      <c r="C71" s="2067"/>
      <c r="D71" s="2067"/>
      <c r="E71" s="2067"/>
      <c r="F71" s="2067"/>
      <c r="G71" s="2067"/>
      <c r="H71" s="2067"/>
      <c r="I71" s="2067"/>
      <c r="J71" s="2067"/>
      <c r="K71" s="2067"/>
      <c r="L71" s="2067"/>
      <c r="M71" s="2067"/>
      <c r="N71" s="2067"/>
      <c r="O71" s="2067"/>
      <c r="P71" s="2067"/>
      <c r="Q71" s="2067"/>
      <c r="R71" s="2067"/>
      <c r="S71" s="360"/>
    </row>
    <row r="72" spans="1:19" ht="11.25" customHeight="1">
      <c r="A72" s="2268"/>
      <c r="B72" s="2269"/>
      <c r="C72" s="2276"/>
      <c r="D72" s="2276"/>
      <c r="E72" s="2276"/>
      <c r="F72" s="2276"/>
      <c r="G72" s="2276"/>
      <c r="H72" s="2276"/>
      <c r="I72" s="2277"/>
      <c r="J72" s="2276"/>
      <c r="K72" s="2276"/>
      <c r="L72" s="2276"/>
      <c r="M72" s="2276"/>
      <c r="N72" s="2276"/>
      <c r="O72" s="2276"/>
      <c r="P72" s="2276"/>
      <c r="Q72" s="2276"/>
      <c r="R72" s="2276"/>
      <c r="S72" s="360"/>
    </row>
    <row r="73" spans="1:19" ht="11.25" customHeight="1">
      <c r="A73" s="2268"/>
      <c r="B73" s="2269"/>
      <c r="C73" s="2278"/>
      <c r="D73" s="2278"/>
      <c r="E73" s="2278"/>
      <c r="F73" s="2278"/>
      <c r="G73" s="2278"/>
      <c r="H73" s="2278"/>
      <c r="I73" s="2278"/>
      <c r="J73" s="2278"/>
      <c r="K73" s="2278"/>
      <c r="L73" s="2278"/>
      <c r="M73" s="2278"/>
      <c r="N73" s="2278"/>
      <c r="O73" s="2278"/>
      <c r="P73" s="2278"/>
      <c r="Q73" s="2278"/>
      <c r="R73" s="2278"/>
      <c r="S73" s="360"/>
    </row>
    <row r="74" spans="1:19" ht="11.25" customHeight="1">
      <c r="A74" s="2268"/>
      <c r="B74" s="2269"/>
      <c r="C74" s="2279"/>
      <c r="D74" s="2279"/>
      <c r="E74" s="2279"/>
      <c r="F74" s="2279"/>
      <c r="G74" s="2279"/>
      <c r="H74" s="2279"/>
      <c r="I74" s="2279"/>
      <c r="J74" s="2279"/>
      <c r="K74" s="2279"/>
      <c r="L74" s="2279"/>
      <c r="M74" s="2279"/>
      <c r="N74" s="2279"/>
      <c r="O74" s="2279"/>
      <c r="P74" s="2279"/>
      <c r="Q74" s="2279"/>
      <c r="R74" s="2279"/>
      <c r="S74" s="360"/>
    </row>
    <row r="75" spans="1:19" ht="11.25" customHeight="1">
      <c r="A75" s="2268"/>
      <c r="B75" s="2269"/>
      <c r="C75" s="2278"/>
      <c r="D75" s="2278"/>
      <c r="E75" s="2278"/>
      <c r="F75" s="2278"/>
      <c r="G75" s="2278"/>
      <c r="H75" s="2278"/>
      <c r="I75" s="2278"/>
      <c r="J75" s="2278"/>
      <c r="K75" s="2278"/>
      <c r="L75" s="2278"/>
      <c r="M75" s="2278"/>
      <c r="N75" s="2278"/>
      <c r="O75" s="2278"/>
      <c r="P75" s="2278"/>
      <c r="Q75" s="2278"/>
      <c r="R75" s="2278"/>
      <c r="S75" s="360"/>
    </row>
    <row r="76" spans="1:19" ht="11.25" customHeight="1">
      <c r="A76" s="2268"/>
      <c r="B76" s="2269"/>
      <c r="C76" s="2278"/>
      <c r="D76" s="2278"/>
      <c r="E76" s="2278"/>
      <c r="F76" s="2278"/>
      <c r="G76" s="2278"/>
      <c r="H76" s="2278"/>
      <c r="I76" s="2278"/>
      <c r="J76" s="2278"/>
      <c r="K76" s="2278"/>
      <c r="L76" s="2278"/>
      <c r="M76" s="2278"/>
      <c r="N76" s="2278"/>
      <c r="O76" s="2278"/>
      <c r="P76" s="2278"/>
      <c r="Q76" s="2278"/>
      <c r="R76" s="2278"/>
      <c r="S76" s="360"/>
    </row>
    <row r="77" spans="1:19" ht="11.25" customHeight="1">
      <c r="A77" s="2268"/>
      <c r="B77" s="2269"/>
      <c r="C77" s="2278"/>
      <c r="D77" s="2278"/>
      <c r="E77" s="2278"/>
      <c r="F77" s="2278"/>
      <c r="G77" s="2278"/>
      <c r="H77" s="2278"/>
      <c r="I77" s="2278"/>
      <c r="J77" s="2278"/>
      <c r="K77" s="2278"/>
      <c r="L77" s="2278"/>
      <c r="M77" s="2278"/>
      <c r="N77" s="2278"/>
      <c r="O77" s="2278"/>
      <c r="P77" s="2278"/>
      <c r="Q77" s="2278"/>
      <c r="R77" s="2278"/>
      <c r="S77" s="360"/>
    </row>
    <row r="78" spans="1:19" ht="11.25" customHeight="1">
      <c r="A78" s="2268"/>
      <c r="B78" s="2272"/>
      <c r="C78" s="2278"/>
      <c r="D78" s="2278"/>
      <c r="E78" s="2278"/>
      <c r="F78" s="2278"/>
      <c r="G78" s="2278"/>
      <c r="H78" s="2278"/>
      <c r="I78" s="2278"/>
      <c r="J78" s="2278"/>
      <c r="K78" s="2278"/>
      <c r="L78" s="2278"/>
      <c r="M78" s="2278"/>
      <c r="N78" s="2278"/>
      <c r="O78" s="2278"/>
      <c r="P78" s="2278"/>
      <c r="Q78" s="2278"/>
      <c r="R78" s="2278"/>
      <c r="S78" s="360"/>
    </row>
    <row r="79" spans="1:19" ht="11.25" customHeight="1">
      <c r="A79" s="2268"/>
      <c r="B79" s="2272"/>
      <c r="C79" s="2278"/>
      <c r="D79" s="2278"/>
      <c r="E79" s="2278"/>
      <c r="F79" s="2278"/>
      <c r="G79" s="2278"/>
      <c r="H79" s="2278"/>
      <c r="I79" s="2278"/>
      <c r="J79" s="2278"/>
      <c r="K79" s="2278"/>
      <c r="L79" s="2278"/>
      <c r="M79" s="2278"/>
      <c r="N79" s="2278"/>
      <c r="O79" s="2278"/>
      <c r="P79" s="2278"/>
      <c r="Q79" s="2278"/>
      <c r="R79" s="2278"/>
      <c r="S79" s="360"/>
    </row>
    <row r="80" spans="1:19" ht="11.25" customHeight="1">
      <c r="A80" s="2268"/>
      <c r="B80" s="2272"/>
      <c r="C80" s="2278"/>
      <c r="D80" s="2278"/>
      <c r="E80" s="2278"/>
      <c r="F80" s="2278"/>
      <c r="G80" s="2278"/>
      <c r="H80" s="2278"/>
      <c r="I80" s="2278"/>
      <c r="J80" s="2278"/>
      <c r="K80" s="2278"/>
      <c r="L80" s="2278"/>
      <c r="M80" s="2278"/>
      <c r="N80" s="2278"/>
      <c r="O80" s="2278"/>
      <c r="P80" s="2278"/>
      <c r="Q80" s="2278"/>
      <c r="R80" s="2278"/>
      <c r="S80" s="360"/>
    </row>
    <row r="81" spans="1:19" ht="11.25" customHeight="1">
      <c r="A81" s="2275"/>
      <c r="B81" s="2269"/>
      <c r="C81" s="603"/>
      <c r="D81" s="603"/>
      <c r="E81" s="603"/>
      <c r="F81" s="603"/>
      <c r="G81" s="603"/>
      <c r="H81" s="603"/>
      <c r="I81" s="603"/>
      <c r="J81" s="603"/>
      <c r="K81" s="603"/>
      <c r="L81" s="603"/>
      <c r="M81" s="603"/>
      <c r="N81" s="603"/>
      <c r="O81" s="603"/>
      <c r="P81" s="603"/>
      <c r="Q81" s="603"/>
      <c r="R81" s="603"/>
      <c r="S81" s="360"/>
    </row>
    <row r="82" spans="1:19" ht="11.25" customHeight="1">
      <c r="A82" s="2268"/>
      <c r="B82" s="2269"/>
      <c r="C82" s="2280"/>
      <c r="D82" s="2280"/>
      <c r="E82" s="2280"/>
      <c r="F82" s="2280"/>
      <c r="G82" s="2280"/>
      <c r="H82" s="2280"/>
      <c r="I82" s="2280"/>
      <c r="J82" s="2280"/>
      <c r="K82" s="2280"/>
      <c r="L82" s="2280"/>
      <c r="M82" s="2280"/>
      <c r="N82" s="2280"/>
      <c r="O82" s="2280"/>
      <c r="P82" s="2280"/>
      <c r="Q82" s="2280"/>
      <c r="R82" s="2280"/>
      <c r="S82" s="360"/>
    </row>
    <row r="83" spans="1:19" ht="11.25" customHeight="1">
      <c r="A83" s="2268"/>
      <c r="B83" s="2269"/>
      <c r="C83" s="2280"/>
      <c r="D83" s="2280"/>
      <c r="E83" s="2280"/>
      <c r="F83" s="2280"/>
      <c r="G83" s="2280"/>
      <c r="H83" s="2280"/>
      <c r="I83" s="2280"/>
      <c r="J83" s="2280"/>
      <c r="K83" s="2280"/>
      <c r="L83" s="2280"/>
      <c r="M83" s="2280"/>
      <c r="N83" s="2280"/>
      <c r="O83" s="2280"/>
      <c r="P83" s="2280"/>
      <c r="Q83" s="2280"/>
      <c r="R83" s="2280"/>
      <c r="S83" s="360"/>
    </row>
    <row r="84" spans="1:19" ht="11.25" customHeight="1">
      <c r="A84" s="2268"/>
      <c r="B84" s="2269"/>
      <c r="C84" s="2280"/>
      <c r="D84" s="2280"/>
      <c r="E84" s="2280"/>
      <c r="F84" s="2280"/>
      <c r="G84" s="2280"/>
      <c r="H84" s="2280"/>
      <c r="I84" s="2280"/>
      <c r="J84" s="2280"/>
      <c r="K84" s="2280"/>
      <c r="L84" s="2280"/>
      <c r="M84" s="2280"/>
      <c r="N84" s="2280"/>
      <c r="O84" s="2280"/>
      <c r="P84" s="2280"/>
      <c r="Q84" s="2280"/>
      <c r="R84" s="2280"/>
      <c r="S84" s="360"/>
    </row>
    <row r="85" spans="1:19" ht="11.25" customHeight="1">
      <c r="A85" s="2268"/>
      <c r="B85" s="2269"/>
      <c r="C85" s="2280"/>
      <c r="D85" s="2280"/>
      <c r="E85" s="2280"/>
      <c r="F85" s="2280"/>
      <c r="G85" s="2280"/>
      <c r="H85" s="2280"/>
      <c r="I85" s="2280"/>
      <c r="J85" s="2280"/>
      <c r="K85" s="2280"/>
      <c r="L85" s="2280"/>
      <c r="M85" s="2280"/>
      <c r="N85" s="2280"/>
      <c r="O85" s="2280"/>
      <c r="P85" s="2280"/>
      <c r="Q85" s="2280"/>
      <c r="R85" s="2280"/>
      <c r="S85" s="360"/>
    </row>
    <row r="86" spans="1:19" ht="11.25" customHeight="1">
      <c r="A86" s="2268"/>
      <c r="B86" s="2269"/>
      <c r="C86" s="2280"/>
      <c r="D86" s="2280"/>
      <c r="E86" s="2280"/>
      <c r="F86" s="2280"/>
      <c r="G86" s="2280"/>
      <c r="H86" s="2280"/>
      <c r="I86" s="2280"/>
      <c r="J86" s="2280"/>
      <c r="K86" s="2280"/>
      <c r="L86" s="2280"/>
      <c r="M86" s="2280"/>
      <c r="N86" s="2280"/>
      <c r="O86" s="2280"/>
      <c r="P86" s="2280"/>
      <c r="Q86" s="2280"/>
      <c r="R86" s="2280"/>
      <c r="S86" s="360"/>
    </row>
    <row r="87" spans="1:19" ht="11.25" customHeight="1">
      <c r="A87" s="2268"/>
      <c r="B87" s="2272"/>
      <c r="C87" s="2280"/>
      <c r="D87" s="2280"/>
      <c r="E87" s="2280"/>
      <c r="F87" s="2280"/>
      <c r="G87" s="2280"/>
      <c r="H87" s="2280"/>
      <c r="I87" s="2280"/>
      <c r="J87" s="2280"/>
      <c r="K87" s="2280"/>
      <c r="L87" s="2280"/>
      <c r="M87" s="2280"/>
      <c r="N87" s="2280"/>
      <c r="O87" s="2280"/>
      <c r="P87" s="2280"/>
      <c r="Q87" s="2280"/>
      <c r="R87" s="2280"/>
      <c r="S87" s="360"/>
    </row>
    <row r="88" spans="1:19" ht="11.25" customHeight="1">
      <c r="A88" s="2273"/>
      <c r="B88" s="2269"/>
      <c r="C88" s="2270"/>
      <c r="D88" s="2270"/>
      <c r="E88" s="2270"/>
      <c r="F88" s="2270"/>
      <c r="G88" s="2270"/>
      <c r="H88" s="2270"/>
      <c r="I88" s="2270"/>
      <c r="J88" s="2270"/>
      <c r="K88" s="2270"/>
      <c r="L88" s="2270"/>
      <c r="M88" s="2270"/>
      <c r="N88" s="2270"/>
      <c r="O88" s="2270"/>
      <c r="P88" s="2270"/>
      <c r="Q88" s="2270"/>
      <c r="R88" s="2270"/>
      <c r="S88" s="360"/>
    </row>
    <row r="89" spans="1:19" ht="11.25" customHeight="1">
      <c r="A89" s="2268"/>
      <c r="B89" s="2269"/>
      <c r="C89" s="2281"/>
      <c r="D89" s="2281"/>
      <c r="E89" s="2281"/>
      <c r="F89" s="2281"/>
      <c r="G89" s="2281"/>
      <c r="H89" s="2281"/>
      <c r="I89" s="2281"/>
      <c r="J89" s="2281"/>
      <c r="K89" s="2281"/>
      <c r="L89" s="2281"/>
      <c r="M89" s="2281"/>
      <c r="N89" s="2281"/>
      <c r="O89" s="2281"/>
      <c r="P89" s="2281"/>
      <c r="Q89" s="2281"/>
      <c r="R89" s="2281"/>
      <c r="S89" s="360"/>
    </row>
    <row r="90" spans="1:19" ht="11.25" customHeight="1">
      <c r="A90" s="2268"/>
      <c r="B90" s="2269"/>
      <c r="C90" s="2281"/>
      <c r="D90" s="2281"/>
      <c r="E90" s="2281"/>
      <c r="F90" s="2281"/>
      <c r="G90" s="2281"/>
      <c r="H90" s="2281"/>
      <c r="I90" s="2281"/>
      <c r="J90" s="2281"/>
      <c r="K90" s="2281"/>
      <c r="L90" s="2281"/>
      <c r="M90" s="2281"/>
      <c r="N90" s="2281"/>
      <c r="O90" s="2281"/>
      <c r="P90" s="2281"/>
      <c r="Q90" s="2281"/>
      <c r="R90" s="2281"/>
      <c r="S90" s="360"/>
    </row>
    <row r="91" spans="1:19" ht="11.25" customHeight="1">
      <c r="A91" s="2268"/>
      <c r="B91" s="2269"/>
      <c r="C91" s="2281"/>
      <c r="D91" s="2281"/>
      <c r="E91" s="2281"/>
      <c r="F91" s="2281"/>
      <c r="G91" s="2281"/>
      <c r="H91" s="2281"/>
      <c r="I91" s="2281"/>
      <c r="J91" s="2281"/>
      <c r="K91" s="2281"/>
      <c r="L91" s="2281"/>
      <c r="M91" s="2281"/>
      <c r="N91" s="2281"/>
      <c r="O91" s="2281"/>
      <c r="P91" s="2281"/>
      <c r="Q91" s="2281"/>
      <c r="R91" s="2281"/>
      <c r="S91" s="360"/>
    </row>
    <row r="92" spans="1:19" ht="11.25" customHeight="1">
      <c r="A92" s="2268"/>
      <c r="B92" s="2282"/>
      <c r="C92" s="2283"/>
      <c r="D92" s="2283"/>
      <c r="E92" s="2283"/>
      <c r="F92" s="2283"/>
      <c r="G92" s="2283"/>
      <c r="H92" s="2283"/>
      <c r="I92" s="2283"/>
      <c r="J92" s="2283"/>
      <c r="K92" s="2283"/>
      <c r="L92" s="2283"/>
      <c r="M92" s="2283"/>
      <c r="N92" s="2283"/>
      <c r="O92" s="2283"/>
      <c r="P92" s="2283"/>
      <c r="Q92" s="2283"/>
      <c r="R92" s="2283"/>
      <c r="S92" s="360"/>
    </row>
    <row r="93" spans="1:19" ht="11.25" customHeight="1">
      <c r="A93" s="2275"/>
      <c r="B93" s="2282"/>
      <c r="C93" s="2271"/>
      <c r="D93" s="2271"/>
      <c r="E93" s="2271"/>
      <c r="F93" s="2271"/>
      <c r="G93" s="2271"/>
      <c r="H93" s="2271"/>
      <c r="I93" s="2271"/>
      <c r="J93" s="2271"/>
      <c r="K93" s="2271"/>
      <c r="L93" s="2271"/>
      <c r="M93" s="2271"/>
      <c r="N93" s="2271"/>
      <c r="O93" s="2271"/>
      <c r="P93" s="2271"/>
      <c r="Q93" s="2271"/>
      <c r="R93" s="2271"/>
      <c r="S93" s="360"/>
    </row>
    <row r="94" spans="1:19" ht="11.25" customHeight="1">
      <c r="A94" s="2268"/>
      <c r="B94" s="2272"/>
      <c r="C94" s="2284"/>
      <c r="D94" s="2284"/>
      <c r="E94" s="2284"/>
      <c r="F94" s="2284"/>
      <c r="G94" s="2284"/>
      <c r="H94" s="2284"/>
      <c r="I94" s="2284"/>
      <c r="J94" s="2284"/>
      <c r="K94" s="2284"/>
      <c r="L94" s="2284"/>
      <c r="M94" s="2284"/>
      <c r="N94" s="2284"/>
      <c r="O94" s="2284"/>
      <c r="P94" s="2284"/>
      <c r="Q94" s="2284"/>
      <c r="R94" s="2284"/>
      <c r="S94" s="360"/>
    </row>
    <row r="95" spans="1:19" ht="11.25" customHeight="1">
      <c r="A95" s="2268"/>
      <c r="B95" s="2272"/>
      <c r="C95" s="1333"/>
      <c r="D95" s="1333"/>
      <c r="E95" s="1333"/>
      <c r="F95" s="1333"/>
      <c r="G95" s="1333"/>
      <c r="H95" s="1333"/>
      <c r="I95" s="1333"/>
      <c r="J95" s="1333"/>
      <c r="K95" s="1333"/>
      <c r="L95" s="1333"/>
      <c r="M95" s="1333"/>
      <c r="N95" s="1333"/>
      <c r="O95" s="1333"/>
      <c r="P95" s="1333"/>
      <c r="Q95" s="1333"/>
      <c r="R95" s="1333"/>
      <c r="S95" s="360"/>
    </row>
    <row r="96" spans="1:19" ht="11.25" customHeight="1">
      <c r="A96" s="2268"/>
      <c r="B96" s="2272"/>
      <c r="C96" s="1333"/>
      <c r="D96" s="1333"/>
      <c r="E96" s="1333"/>
      <c r="F96" s="1333"/>
      <c r="G96" s="1333"/>
      <c r="H96" s="1333"/>
      <c r="I96" s="1333"/>
      <c r="J96" s="1333"/>
      <c r="K96" s="1333"/>
      <c r="L96" s="1333"/>
      <c r="M96" s="1333"/>
      <c r="N96" s="1333"/>
      <c r="O96" s="1333"/>
      <c r="P96" s="1333"/>
      <c r="Q96" s="1333"/>
      <c r="R96" s="1333"/>
      <c r="S96" s="360"/>
    </row>
    <row r="97" spans="1:19" ht="11.25" customHeight="1">
      <c r="A97" s="2268"/>
      <c r="B97" s="2272"/>
      <c r="C97" s="2285"/>
      <c r="D97" s="2285"/>
      <c r="E97" s="2285"/>
      <c r="F97" s="2285"/>
      <c r="G97" s="2285"/>
      <c r="H97" s="2285"/>
      <c r="I97" s="2285"/>
      <c r="J97" s="2285"/>
      <c r="K97" s="2285"/>
      <c r="L97" s="2285"/>
      <c r="M97" s="2285"/>
      <c r="N97" s="2285"/>
      <c r="O97" s="2285"/>
      <c r="P97" s="2285"/>
      <c r="Q97" s="2285"/>
      <c r="R97" s="2285"/>
      <c r="S97" s="360"/>
    </row>
    <row r="98" spans="1:19" ht="11.25" customHeight="1">
      <c r="A98" s="2268"/>
      <c r="B98" s="2272"/>
      <c r="C98" s="2286"/>
      <c r="D98" s="2286"/>
      <c r="E98" s="2286"/>
      <c r="F98" s="2286"/>
      <c r="G98" s="2286"/>
      <c r="H98" s="2286"/>
      <c r="I98" s="2286"/>
      <c r="J98" s="2286"/>
      <c r="K98" s="2286"/>
      <c r="L98" s="2286"/>
      <c r="M98" s="2286"/>
      <c r="N98" s="2286"/>
      <c r="O98" s="2286"/>
      <c r="P98" s="2286"/>
      <c r="Q98" s="2286"/>
      <c r="R98" s="2286"/>
      <c r="S98" s="360"/>
    </row>
    <row r="99" spans="1:19" ht="11.25" customHeight="1">
      <c r="A99" s="2268"/>
      <c r="B99" s="2272"/>
      <c r="C99" s="2286"/>
      <c r="D99" s="2286"/>
      <c r="E99" s="2286"/>
      <c r="F99" s="2286"/>
      <c r="G99" s="2286"/>
      <c r="H99" s="2286"/>
      <c r="I99" s="2286"/>
      <c r="J99" s="2286"/>
      <c r="K99" s="2286"/>
      <c r="L99" s="2286"/>
      <c r="M99" s="2286"/>
      <c r="N99" s="2286"/>
      <c r="O99" s="2286"/>
      <c r="P99" s="2286"/>
      <c r="Q99" s="2286"/>
      <c r="R99" s="2286"/>
      <c r="S99" s="360"/>
    </row>
    <row r="100" spans="1:19" ht="11.25" customHeight="1">
      <c r="A100" s="2268"/>
      <c r="B100" s="2272"/>
      <c r="C100" s="2286"/>
      <c r="D100" s="2286"/>
      <c r="E100" s="2286"/>
      <c r="F100" s="2286"/>
      <c r="G100" s="2286"/>
      <c r="H100" s="2286"/>
      <c r="I100" s="2286"/>
      <c r="J100" s="2286"/>
      <c r="K100" s="2286"/>
      <c r="L100" s="2286"/>
      <c r="M100" s="2286"/>
      <c r="N100" s="2286"/>
      <c r="O100" s="2286"/>
      <c r="P100" s="2286"/>
      <c r="Q100" s="2286"/>
      <c r="R100" s="2286"/>
      <c r="S100" s="360"/>
    </row>
    <row r="101" spans="1:19" ht="11.25" customHeight="1">
      <c r="A101" s="2268"/>
      <c r="B101" s="2272"/>
      <c r="C101" s="2286"/>
      <c r="D101" s="2286"/>
      <c r="E101" s="2286"/>
      <c r="F101" s="2286"/>
      <c r="G101" s="2286"/>
      <c r="H101" s="2286"/>
      <c r="I101" s="2286"/>
      <c r="J101" s="2286"/>
      <c r="K101" s="2286"/>
      <c r="L101" s="2286"/>
      <c r="M101" s="2286"/>
      <c r="N101" s="2286"/>
      <c r="O101" s="2286"/>
      <c r="P101" s="2286"/>
      <c r="Q101" s="2286"/>
      <c r="R101" s="2286"/>
      <c r="S101" s="360"/>
    </row>
    <row r="102" spans="1:19" ht="11.25" customHeight="1">
      <c r="A102" s="2268"/>
      <c r="B102" s="2272"/>
      <c r="C102" s="2286"/>
      <c r="D102" s="2286"/>
      <c r="E102" s="2286"/>
      <c r="F102" s="2286"/>
      <c r="G102" s="2286"/>
      <c r="H102" s="2286"/>
      <c r="I102" s="2286"/>
      <c r="J102" s="2286"/>
      <c r="K102" s="2286"/>
      <c r="L102" s="2286"/>
      <c r="M102" s="2286"/>
      <c r="N102" s="2286"/>
      <c r="O102" s="2286"/>
      <c r="P102" s="2286"/>
      <c r="Q102" s="2286"/>
      <c r="R102" s="2286"/>
      <c r="S102" s="360"/>
    </row>
    <row r="103" spans="1:19" ht="11.25" customHeight="1">
      <c r="A103" s="2268"/>
      <c r="B103" s="2272"/>
      <c r="C103" s="2286"/>
      <c r="D103" s="2286"/>
      <c r="E103" s="2286"/>
      <c r="F103" s="2286"/>
      <c r="G103" s="2286"/>
      <c r="H103" s="2286"/>
      <c r="I103" s="2286"/>
      <c r="J103" s="2286"/>
      <c r="K103" s="2286"/>
      <c r="L103" s="2286"/>
      <c r="M103" s="2286"/>
      <c r="N103" s="2286"/>
      <c r="O103" s="2286"/>
      <c r="P103" s="2286"/>
      <c r="Q103" s="2286"/>
      <c r="R103" s="2286"/>
      <c r="S103" s="360"/>
    </row>
    <row r="104" spans="1:19" ht="11.25" customHeight="1">
      <c r="A104" s="2273"/>
      <c r="B104" s="2272"/>
      <c r="C104" s="261"/>
      <c r="D104" s="261"/>
      <c r="E104" s="261"/>
      <c r="F104" s="261"/>
      <c r="G104" s="261"/>
      <c r="H104" s="261"/>
      <c r="I104" s="261"/>
      <c r="J104" s="261"/>
      <c r="K104" s="261"/>
      <c r="L104" s="261"/>
      <c r="M104" s="261"/>
      <c r="N104" s="261"/>
      <c r="O104" s="261"/>
      <c r="P104" s="261"/>
      <c r="Q104" s="261"/>
      <c r="R104" s="261"/>
      <c r="S104" s="360"/>
    </row>
    <row r="105" spans="1:19" ht="5" customHeight="1">
      <c r="A105" s="2274"/>
      <c r="B105" s="2269"/>
      <c r="C105" s="363"/>
      <c r="D105" s="363"/>
      <c r="E105" s="363"/>
      <c r="F105" s="363"/>
      <c r="G105" s="363"/>
      <c r="H105" s="363"/>
      <c r="I105" s="363"/>
      <c r="J105" s="363"/>
      <c r="K105" s="363"/>
      <c r="L105" s="363"/>
      <c r="M105" s="363"/>
      <c r="N105" s="363"/>
      <c r="O105" s="363"/>
      <c r="P105" s="363"/>
      <c r="Q105" s="363"/>
      <c r="R105" s="363"/>
      <c r="S105" s="360"/>
    </row>
    <row r="106" spans="1:19" s="709" customFormat="1">
      <c r="A106" s="2287"/>
      <c r="B106" s="2278"/>
      <c r="C106" s="1040"/>
      <c r="D106" s="1040"/>
      <c r="E106" s="1040"/>
      <c r="F106" s="1040"/>
      <c r="G106" s="1040"/>
      <c r="H106" s="1040"/>
      <c r="I106" s="1040"/>
      <c r="J106" s="1040"/>
      <c r="K106" s="1040"/>
      <c r="L106" s="1040"/>
      <c r="M106" s="1040"/>
      <c r="N106" s="1040"/>
      <c r="O106" s="1040"/>
      <c r="P106" s="1040"/>
      <c r="Q106" s="1040"/>
      <c r="R106" s="1040"/>
      <c r="S106" s="1063"/>
    </row>
    <row r="107" spans="1:19" s="709" customFormat="1">
      <c r="A107" s="2288"/>
      <c r="B107" s="2278"/>
      <c r="C107" s="1040"/>
      <c r="D107" s="1040"/>
      <c r="E107" s="1040"/>
      <c r="F107" s="1040"/>
      <c r="G107" s="1040"/>
      <c r="H107" s="1040"/>
      <c r="I107" s="1040"/>
      <c r="J107" s="1040"/>
      <c r="K107" s="1040"/>
      <c r="L107" s="1040"/>
      <c r="M107" s="1040"/>
      <c r="N107" s="1040"/>
      <c r="O107" s="1040"/>
      <c r="P107" s="1040"/>
      <c r="Q107" s="1040"/>
      <c r="R107" s="1040"/>
      <c r="S107" s="1063"/>
    </row>
    <row r="108" spans="1:19" s="709" customFormat="1">
      <c r="A108" s="2288"/>
      <c r="B108" s="2278"/>
      <c r="C108" s="1040"/>
      <c r="D108" s="1040"/>
      <c r="E108" s="1040"/>
      <c r="F108" s="1040"/>
      <c r="G108" s="1040"/>
      <c r="H108" s="1040"/>
      <c r="I108" s="1040"/>
      <c r="J108" s="1040"/>
      <c r="K108" s="1040"/>
      <c r="L108" s="1040"/>
      <c r="M108" s="1040"/>
      <c r="N108" s="1040"/>
      <c r="O108" s="1040"/>
      <c r="P108" s="1040"/>
      <c r="Q108" s="1040"/>
      <c r="R108" s="1040"/>
      <c r="S108" s="1063"/>
    </row>
    <row r="109" spans="1:19" s="709" customFormat="1">
      <c r="A109" s="1516"/>
      <c r="B109" s="2278"/>
      <c r="C109" s="1040"/>
      <c r="D109" s="1040"/>
      <c r="E109" s="1040"/>
      <c r="F109" s="1040"/>
      <c r="G109" s="1040"/>
      <c r="H109" s="1040"/>
      <c r="I109" s="1040"/>
      <c r="J109" s="1040"/>
      <c r="K109" s="1040"/>
      <c r="L109" s="1040"/>
      <c r="M109" s="1040"/>
      <c r="N109" s="1040"/>
      <c r="O109" s="1040"/>
      <c r="P109" s="1040"/>
      <c r="Q109" s="1040"/>
      <c r="R109" s="1040"/>
      <c r="S109" s="1063"/>
    </row>
    <row r="110" spans="1:19" s="709" customFormat="1">
      <c r="A110" s="2288"/>
      <c r="B110" s="2278"/>
      <c r="C110" s="1040"/>
      <c r="D110" s="1040"/>
      <c r="E110" s="1040"/>
      <c r="F110" s="1040"/>
      <c r="G110" s="1040"/>
      <c r="H110" s="1040"/>
      <c r="I110" s="1040"/>
      <c r="J110" s="1040"/>
      <c r="K110" s="1040"/>
      <c r="L110" s="1040"/>
      <c r="M110" s="1040"/>
      <c r="N110" s="1040"/>
      <c r="O110" s="1040"/>
      <c r="P110" s="1040"/>
      <c r="Q110" s="1040"/>
      <c r="R110" s="1040"/>
      <c r="S110" s="1063"/>
    </row>
    <row r="111" spans="1:19">
      <c r="A111" s="1159"/>
      <c r="B111" s="2269"/>
      <c r="C111" s="237"/>
      <c r="D111" s="237"/>
      <c r="E111" s="237"/>
      <c r="F111" s="237"/>
      <c r="G111" s="238"/>
      <c r="H111" s="238"/>
      <c r="I111" s="238"/>
      <c r="J111" s="238"/>
      <c r="K111" s="238"/>
      <c r="L111" s="238"/>
      <c r="M111" s="238"/>
      <c r="N111" s="238"/>
      <c r="O111" s="238"/>
      <c r="P111" s="238"/>
      <c r="Q111" s="238"/>
      <c r="R111" s="238"/>
      <c r="S111" s="360"/>
    </row>
    <row r="112" spans="1:19">
      <c r="A112" s="1159"/>
      <c r="B112" s="2269"/>
      <c r="C112" s="237"/>
      <c r="D112" s="237"/>
      <c r="E112" s="237"/>
      <c r="F112" s="237"/>
      <c r="G112" s="238"/>
      <c r="H112" s="238"/>
      <c r="I112" s="238"/>
      <c r="J112" s="238"/>
      <c r="K112" s="238"/>
      <c r="L112" s="238"/>
      <c r="M112" s="238"/>
      <c r="N112" s="238"/>
      <c r="O112" s="238"/>
      <c r="P112" s="238"/>
      <c r="Q112" s="238"/>
      <c r="R112" s="238"/>
      <c r="S112" s="360"/>
    </row>
    <row r="113" spans="1:19" ht="11.25" customHeight="1">
      <c r="A113" s="360"/>
      <c r="B113" s="2269"/>
      <c r="C113" s="360"/>
      <c r="D113" s="360"/>
      <c r="E113" s="360"/>
      <c r="F113" s="360"/>
      <c r="G113" s="360"/>
      <c r="H113" s="360"/>
      <c r="I113" s="360"/>
      <c r="J113" s="360"/>
      <c r="K113" s="360"/>
      <c r="L113" s="360"/>
      <c r="M113" s="360"/>
      <c r="N113" s="360"/>
      <c r="O113" s="360"/>
      <c r="P113" s="360"/>
      <c r="Q113" s="360"/>
      <c r="R113" s="360"/>
      <c r="S113" s="360"/>
    </row>
    <row r="114" spans="1:19" ht="11.25" customHeight="1">
      <c r="A114" s="360"/>
      <c r="B114" s="2274"/>
      <c r="C114" s="360"/>
      <c r="D114" s="360"/>
      <c r="E114" s="360"/>
      <c r="F114" s="360"/>
      <c r="G114" s="360"/>
      <c r="H114" s="360"/>
      <c r="I114" s="360"/>
      <c r="J114" s="360"/>
      <c r="K114" s="360"/>
      <c r="L114" s="360"/>
      <c r="M114" s="360"/>
      <c r="N114" s="360"/>
      <c r="O114" s="360"/>
      <c r="P114" s="360"/>
      <c r="Q114" s="360"/>
      <c r="R114" s="360"/>
      <c r="S114" s="360"/>
    </row>
    <row r="115" spans="1:19" ht="11.25" customHeight="1">
      <c r="A115" s="246"/>
      <c r="B115" s="653"/>
      <c r="C115" s="246"/>
      <c r="D115" s="246"/>
      <c r="E115" s="246"/>
      <c r="F115" s="246"/>
      <c r="G115" s="246"/>
      <c r="H115" s="246"/>
      <c r="I115" s="246"/>
    </row>
    <row r="116" spans="1:19" ht="11.25" customHeight="1">
      <c r="A116" s="246"/>
      <c r="B116" s="653"/>
      <c r="C116" s="246"/>
      <c r="D116" s="246"/>
      <c r="E116" s="246"/>
      <c r="F116" s="246"/>
      <c r="G116" s="246"/>
      <c r="H116" s="246"/>
      <c r="I116" s="246"/>
    </row>
    <row r="117" spans="1:19" ht="11.25" customHeight="1">
      <c r="A117" s="246"/>
      <c r="B117" s="652"/>
      <c r="C117" s="246"/>
      <c r="D117" s="246"/>
      <c r="E117" s="246"/>
      <c r="F117" s="246"/>
      <c r="G117" s="246"/>
      <c r="H117" s="246"/>
      <c r="I117" s="246"/>
    </row>
    <row r="118" spans="1:19" ht="11.25" customHeight="1"/>
    <row r="119" spans="1:19" ht="11.25" customHeight="1"/>
    <row r="120" spans="1:19" ht="11.25" customHeight="1"/>
    <row r="121" spans="1:19" ht="11.25" customHeight="1"/>
    <row r="122" spans="1:19" ht="11.25" customHeight="1"/>
    <row r="123" spans="1:19" ht="11.25" customHeight="1"/>
    <row r="124" spans="1:19" ht="11.25" customHeight="1"/>
    <row r="125" spans="1:19" ht="11.25" customHeight="1"/>
    <row r="126" spans="1:19" ht="11.25" customHeight="1"/>
    <row r="127" spans="1:19" ht="11.25" customHeight="1"/>
    <row r="128" spans="1:19"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headerFooter alignWithMargins="0"/>
  <rowBreaks count="1" manualBreakCount="1">
    <brk id="56" max="16383" man="1"/>
  </rowBreaks>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enableFormatConditionsCalculation="0">
    <tabColor indexed="42"/>
  </sheetPr>
  <dimension ref="A1:S155"/>
  <sheetViews>
    <sheetView showGridLines="0" topLeftCell="A28" workbookViewId="0">
      <selection activeCell="H94" sqref="H94"/>
    </sheetView>
  </sheetViews>
  <sheetFormatPr baseColWidth="10" defaultColWidth="8.83203125" defaultRowHeight="10" x14ac:dyDescent="0"/>
  <cols>
    <col min="1" max="1" width="31.5" style="360" customWidth="1"/>
    <col min="2" max="2" width="3.6640625" style="2269" customWidth="1"/>
    <col min="3" max="3" width="17.6640625" style="360" customWidth="1"/>
    <col min="4" max="10" width="9.33203125" style="360" customWidth="1"/>
    <col min="11" max="18" width="8.1640625" style="360" customWidth="1"/>
    <col min="19" max="19" width="9.83203125" style="360" customWidth="1"/>
    <col min="20" max="20" width="9.5" style="360" customWidth="1"/>
    <col min="21" max="21" width="9.83203125" style="360" customWidth="1"/>
    <col min="22" max="24" width="9.5" style="360" customWidth="1"/>
    <col min="25" max="25" width="9.83203125" style="360" customWidth="1"/>
    <col min="26" max="28" width="9.5" style="360" customWidth="1"/>
    <col min="29" max="30" width="9.83203125" style="360" customWidth="1"/>
    <col min="31" max="16384" width="8.83203125" style="360"/>
  </cols>
  <sheetData>
    <row r="1" spans="1:18" ht="12">
      <c r="A1" s="2408" t="str">
        <f>muni&amp;" - "&amp;TableA13</f>
        <v>NW373 Rustenburg - Supporting Table SA13 Service Tariffs by category</v>
      </c>
      <c r="B1" s="147"/>
      <c r="C1" s="147"/>
      <c r="D1" s="147"/>
      <c r="E1" s="147"/>
      <c r="F1" s="147"/>
      <c r="G1" s="147"/>
      <c r="H1" s="147"/>
      <c r="I1" s="147"/>
      <c r="J1" s="147"/>
      <c r="K1" s="935"/>
      <c r="L1" s="935"/>
      <c r="M1" s="935"/>
      <c r="N1" s="935"/>
      <c r="O1" s="935"/>
      <c r="P1" s="935"/>
      <c r="Q1" s="935"/>
      <c r="R1" s="935"/>
    </row>
    <row r="2" spans="1:18" ht="25" customHeight="1">
      <c r="A2" s="2789" t="str">
        <f>desc</f>
        <v>Description</v>
      </c>
      <c r="B2" s="2791" t="str">
        <f>head27</f>
        <v>Ref</v>
      </c>
      <c r="C2" s="2812" t="s">
        <v>2099</v>
      </c>
      <c r="D2" s="2812" t="str">
        <f>head1b</f>
        <v>2009/10</v>
      </c>
      <c r="E2" s="2812" t="str">
        <f>head1A</f>
        <v>2010/11</v>
      </c>
      <c r="F2" s="2798" t="str">
        <f>Head1</f>
        <v>2011/12</v>
      </c>
      <c r="G2" s="2805" t="str">
        <f>Head2</f>
        <v>Current Year 2012/13</v>
      </c>
      <c r="H2" s="2392" t="str">
        <f>Head3</f>
        <v>2013/14 Medium Term Revenue &amp; Expenditure Framework</v>
      </c>
      <c r="I2" s="657"/>
      <c r="J2" s="658"/>
      <c r="K2" s="2267"/>
      <c r="L2" s="2267"/>
      <c r="M2" s="2267"/>
      <c r="N2" s="2267"/>
      <c r="O2" s="2267"/>
      <c r="P2" s="2267"/>
      <c r="Q2" s="2267"/>
      <c r="R2" s="2267"/>
    </row>
    <row r="3" spans="1:18" ht="25" customHeight="1">
      <c r="A3" s="2790"/>
      <c r="B3" s="2792"/>
      <c r="C3" s="2813"/>
      <c r="D3" s="2813"/>
      <c r="E3" s="2813"/>
      <c r="F3" s="2799"/>
      <c r="G3" s="2806"/>
      <c r="H3" s="151" t="str">
        <f>Head9</f>
        <v>Budget Year 2013/14</v>
      </c>
      <c r="I3" s="660" t="str">
        <f>Head10</f>
        <v>Budget Year +1 2014/15</v>
      </c>
      <c r="J3" s="153" t="str">
        <f>Head11</f>
        <v>Budget Year +2 2015/16</v>
      </c>
      <c r="K3" s="238"/>
      <c r="L3" s="238"/>
      <c r="M3" s="238"/>
      <c r="N3" s="238"/>
      <c r="O3" s="238"/>
      <c r="P3" s="238"/>
      <c r="Q3" s="238"/>
      <c r="R3" s="238"/>
    </row>
    <row r="4" spans="1:18" ht="12.75" customHeight="1">
      <c r="A4" s="527" t="s">
        <v>2100</v>
      </c>
      <c r="B4" s="661">
        <v>1</v>
      </c>
      <c r="C4" s="661"/>
      <c r="D4" s="2393"/>
      <c r="E4" s="2393"/>
      <c r="F4" s="2394"/>
      <c r="G4" s="2395"/>
      <c r="H4" s="2395"/>
      <c r="I4" s="2393"/>
      <c r="J4" s="2394"/>
      <c r="K4" s="238"/>
      <c r="L4" s="238"/>
      <c r="M4" s="238"/>
      <c r="N4" s="238"/>
      <c r="O4" s="238"/>
      <c r="P4" s="238"/>
      <c r="Q4" s="238"/>
      <c r="R4" s="238"/>
    </row>
    <row r="5" spans="1:18" ht="12.75" customHeight="1">
      <c r="A5" s="2396" t="s">
        <v>2101</v>
      </c>
      <c r="B5" s="667"/>
      <c r="C5" s="2397"/>
      <c r="D5" s="2682" t="s">
        <v>4382</v>
      </c>
      <c r="E5" s="2682" t="s">
        <v>4383</v>
      </c>
      <c r="F5" s="2682" t="s">
        <v>4379</v>
      </c>
      <c r="G5" s="2682" t="s">
        <v>4379</v>
      </c>
      <c r="H5" s="2683">
        <v>5.1999999999999998E-3</v>
      </c>
      <c r="I5" s="2683">
        <v>5.3E-3</v>
      </c>
      <c r="J5" s="2683">
        <v>5.5999999999999999E-3</v>
      </c>
      <c r="K5" s="2067"/>
      <c r="L5" s="2067"/>
      <c r="M5" s="2067"/>
      <c r="N5" s="2067"/>
      <c r="O5" s="2067"/>
      <c r="P5" s="2067"/>
      <c r="Q5" s="2067"/>
      <c r="R5" s="2067"/>
    </row>
    <row r="6" spans="1:18" ht="12.75" customHeight="1">
      <c r="A6" s="2396" t="s">
        <v>2102</v>
      </c>
      <c r="B6" s="667"/>
      <c r="C6" s="2397"/>
      <c r="D6" s="2682"/>
      <c r="E6" s="2682"/>
      <c r="F6" s="2684"/>
      <c r="G6" s="2685"/>
      <c r="H6" s="2399"/>
      <c r="I6" s="2397"/>
      <c r="J6" s="2398"/>
      <c r="K6" s="2067"/>
      <c r="L6" s="2067"/>
      <c r="M6" s="2067"/>
      <c r="N6" s="2067"/>
      <c r="O6" s="2067"/>
      <c r="P6" s="2067"/>
      <c r="Q6" s="2067"/>
      <c r="R6" s="2067"/>
    </row>
    <row r="7" spans="1:18" ht="12.75" customHeight="1">
      <c r="A7" s="2396" t="s">
        <v>2103</v>
      </c>
      <c r="B7" s="667"/>
      <c r="C7" s="2397"/>
      <c r="D7" s="2682"/>
      <c r="E7" s="2682"/>
      <c r="F7" s="2684"/>
      <c r="G7" s="2685"/>
      <c r="H7" s="2399"/>
      <c r="I7" s="2397"/>
      <c r="J7" s="2398"/>
      <c r="K7" s="2067"/>
      <c r="L7" s="2067"/>
      <c r="M7" s="2067"/>
      <c r="N7" s="2067"/>
      <c r="O7" s="2067"/>
      <c r="P7" s="2067"/>
      <c r="Q7" s="2067"/>
      <c r="R7" s="2067"/>
    </row>
    <row r="8" spans="1:18" ht="12.75" customHeight="1">
      <c r="A8" s="2396" t="s">
        <v>2104</v>
      </c>
      <c r="B8" s="667"/>
      <c r="C8" s="2397"/>
      <c r="D8" s="2682" t="s">
        <v>4384</v>
      </c>
      <c r="E8" s="2682" t="s">
        <v>4385</v>
      </c>
      <c r="F8" s="2682" t="s">
        <v>4386</v>
      </c>
      <c r="G8" s="2682" t="s">
        <v>4386</v>
      </c>
      <c r="H8" s="2683">
        <v>1.2999999999999999E-3</v>
      </c>
      <c r="I8" s="2683">
        <v>1.4E-3</v>
      </c>
      <c r="J8" s="2683">
        <v>1.4E-3</v>
      </c>
      <c r="K8" s="2067"/>
      <c r="L8" s="2067"/>
      <c r="M8" s="2067"/>
      <c r="N8" s="2067"/>
      <c r="O8" s="2067"/>
      <c r="P8" s="2067"/>
      <c r="Q8" s="2067"/>
      <c r="R8" s="2067"/>
    </row>
    <row r="9" spans="1:18" ht="12.75" customHeight="1">
      <c r="A9" s="2396" t="s">
        <v>2105</v>
      </c>
      <c r="B9" s="667"/>
      <c r="C9" s="2397"/>
      <c r="D9" s="2682" t="s">
        <v>4384</v>
      </c>
      <c r="E9" s="2682" t="s">
        <v>4385</v>
      </c>
      <c r="F9" s="2682" t="s">
        <v>4386</v>
      </c>
      <c r="G9" s="2682" t="s">
        <v>4386</v>
      </c>
      <c r="H9" s="2682" t="s">
        <v>4386</v>
      </c>
      <c r="I9" s="2682" t="s">
        <v>4387</v>
      </c>
      <c r="J9" s="2682" t="s">
        <v>4387</v>
      </c>
      <c r="K9" s="2067"/>
      <c r="L9" s="2067"/>
      <c r="M9" s="2067"/>
      <c r="N9" s="2067"/>
      <c r="O9" s="2067"/>
      <c r="P9" s="2067"/>
      <c r="Q9" s="2067"/>
      <c r="R9" s="2067"/>
    </row>
    <row r="10" spans="1:18" ht="12.75" customHeight="1">
      <c r="A10" s="2396" t="s">
        <v>2106</v>
      </c>
      <c r="B10" s="667"/>
      <c r="C10" s="2397"/>
      <c r="D10" s="2682"/>
      <c r="E10" s="2682"/>
      <c r="F10" s="2684"/>
      <c r="G10" s="2685"/>
      <c r="H10" s="2399"/>
      <c r="I10" s="2397"/>
      <c r="J10" s="2398"/>
      <c r="K10" s="2067"/>
      <c r="L10" s="2067"/>
      <c r="M10" s="2067"/>
      <c r="N10" s="2067"/>
      <c r="O10" s="2067"/>
      <c r="P10" s="2067"/>
      <c r="Q10" s="2067"/>
      <c r="R10" s="2067"/>
    </row>
    <row r="11" spans="1:18" ht="12.75" customHeight="1">
      <c r="A11" s="2396" t="s">
        <v>2107</v>
      </c>
      <c r="B11" s="667"/>
      <c r="C11" s="2397"/>
      <c r="D11" s="2682" t="s">
        <v>4388</v>
      </c>
      <c r="E11" s="2682" t="s">
        <v>4389</v>
      </c>
      <c r="F11" s="2684" t="s">
        <v>4390</v>
      </c>
      <c r="G11" s="2685" t="s">
        <v>4380</v>
      </c>
      <c r="H11" s="2685" t="s">
        <v>4391</v>
      </c>
      <c r="I11" s="2685" t="s">
        <v>4392</v>
      </c>
      <c r="J11" s="2685" t="s">
        <v>4393</v>
      </c>
      <c r="K11" s="2067"/>
      <c r="L11" s="2067"/>
      <c r="M11" s="2067"/>
      <c r="N11" s="2067"/>
      <c r="O11" s="2067"/>
      <c r="P11" s="2067"/>
      <c r="Q11" s="2067"/>
      <c r="R11" s="2067"/>
    </row>
    <row r="12" spans="1:18" ht="12.75" customHeight="1">
      <c r="A12" s="2396" t="s">
        <v>2108</v>
      </c>
      <c r="B12" s="667"/>
      <c r="C12" s="2397"/>
      <c r="D12" s="2682" t="s">
        <v>4388</v>
      </c>
      <c r="E12" s="2682" t="s">
        <v>4389</v>
      </c>
      <c r="F12" s="2684" t="s">
        <v>4390</v>
      </c>
      <c r="G12" s="2685" t="s">
        <v>4394</v>
      </c>
      <c r="H12" s="2685" t="s">
        <v>4395</v>
      </c>
      <c r="I12" s="2685" t="s">
        <v>4396</v>
      </c>
      <c r="J12" s="2685" t="s">
        <v>4397</v>
      </c>
      <c r="K12" s="2067"/>
      <c r="L12" s="2067"/>
      <c r="M12" s="2067"/>
      <c r="N12" s="2067"/>
      <c r="O12" s="2067"/>
      <c r="P12" s="2067"/>
      <c r="Q12" s="2067"/>
      <c r="R12" s="2067"/>
    </row>
    <row r="13" spans="1:18" ht="12.75" customHeight="1">
      <c r="A13" s="2396" t="s">
        <v>2109</v>
      </c>
      <c r="B13" s="667"/>
      <c r="C13" s="2397"/>
      <c r="D13" s="2682"/>
      <c r="E13" s="2682"/>
      <c r="F13" s="2684"/>
      <c r="G13" s="2685"/>
      <c r="H13" s="2399"/>
      <c r="I13" s="2397"/>
      <c r="J13" s="2398"/>
      <c r="K13" s="2067"/>
      <c r="L13" s="2067"/>
      <c r="M13" s="2067"/>
      <c r="N13" s="2067"/>
      <c r="O13" s="2067"/>
      <c r="P13" s="2067"/>
      <c r="Q13" s="2067"/>
      <c r="R13" s="2067"/>
    </row>
    <row r="14" spans="1:18" ht="12.75" customHeight="1">
      <c r="A14" s="2396" t="s">
        <v>2110</v>
      </c>
      <c r="B14" s="667"/>
      <c r="C14" s="2397"/>
      <c r="D14" s="2682"/>
      <c r="E14" s="2682"/>
      <c r="F14" s="2684"/>
      <c r="G14" s="2685"/>
      <c r="H14" s="2399"/>
      <c r="I14" s="2397"/>
      <c r="J14" s="2398"/>
      <c r="K14" s="2067"/>
      <c r="L14" s="2067"/>
      <c r="M14" s="2067"/>
      <c r="N14" s="2067"/>
      <c r="O14" s="2067"/>
      <c r="P14" s="2067"/>
      <c r="Q14" s="2067"/>
      <c r="R14" s="2067"/>
    </row>
    <row r="15" spans="1:18" ht="12.75" customHeight="1">
      <c r="A15" s="2396" t="s">
        <v>2111</v>
      </c>
      <c r="B15" s="667"/>
      <c r="C15" s="2397"/>
      <c r="D15" s="2682"/>
      <c r="E15" s="2682"/>
      <c r="F15" s="2684"/>
      <c r="G15" s="2685"/>
      <c r="H15" s="2399"/>
      <c r="I15" s="2397"/>
      <c r="J15" s="2398"/>
      <c r="K15" s="2067"/>
      <c r="L15" s="2067"/>
      <c r="M15" s="2067"/>
      <c r="N15" s="2067"/>
      <c r="O15" s="2067"/>
      <c r="P15" s="2067"/>
      <c r="Q15" s="2067"/>
      <c r="R15" s="2067"/>
    </row>
    <row r="16" spans="1:18" ht="12.75" customHeight="1">
      <c r="A16" s="2396" t="s">
        <v>2112</v>
      </c>
      <c r="B16" s="667"/>
      <c r="C16" s="2397"/>
      <c r="D16" s="2682"/>
      <c r="E16" s="2682"/>
      <c r="F16" s="2684"/>
      <c r="G16" s="2685"/>
      <c r="H16" s="2399"/>
      <c r="I16" s="2397"/>
      <c r="J16" s="2398"/>
      <c r="K16" s="2276"/>
      <c r="L16" s="2276"/>
      <c r="M16" s="2276"/>
      <c r="N16" s="2276"/>
      <c r="O16" s="2276"/>
      <c r="P16" s="2276"/>
      <c r="Q16" s="2276"/>
      <c r="R16" s="2276"/>
    </row>
    <row r="17" spans="1:18" ht="12.75" customHeight="1">
      <c r="A17" s="2396" t="s">
        <v>2113</v>
      </c>
      <c r="B17" s="667"/>
      <c r="C17" s="2397"/>
      <c r="D17" s="2682"/>
      <c r="E17" s="2682"/>
      <c r="F17" s="2684"/>
      <c r="G17" s="2685"/>
      <c r="H17" s="2399"/>
      <c r="I17" s="2397"/>
      <c r="J17" s="2398"/>
      <c r="K17" s="2278"/>
      <c r="L17" s="2278"/>
      <c r="M17" s="2278"/>
      <c r="N17" s="2278"/>
      <c r="O17" s="2278"/>
      <c r="P17" s="2278"/>
      <c r="Q17" s="2278"/>
      <c r="R17" s="2278"/>
    </row>
    <row r="18" spans="1:18" ht="12.75" customHeight="1">
      <c r="A18" s="2396" t="s">
        <v>2114</v>
      </c>
      <c r="B18" s="667"/>
      <c r="C18" s="2397"/>
      <c r="D18" s="2682" t="s">
        <v>4388</v>
      </c>
      <c r="E18" s="2682" t="s">
        <v>4389</v>
      </c>
      <c r="F18" s="2684" t="s">
        <v>4390</v>
      </c>
      <c r="G18" s="2684" t="s">
        <v>4398</v>
      </c>
      <c r="H18" s="2684" t="s">
        <v>4394</v>
      </c>
      <c r="I18" s="2684" t="s">
        <v>4399</v>
      </c>
      <c r="J18" s="2684" t="s">
        <v>4396</v>
      </c>
      <c r="K18" s="2279"/>
      <c r="L18" s="2279"/>
      <c r="M18" s="2279"/>
      <c r="N18" s="2279"/>
      <c r="O18" s="2279"/>
      <c r="P18" s="2279"/>
      <c r="Q18" s="2279"/>
      <c r="R18" s="2279"/>
    </row>
    <row r="19" spans="1:18" ht="12.75" customHeight="1">
      <c r="A19" s="2396" t="s">
        <v>2115</v>
      </c>
      <c r="B19" s="667"/>
      <c r="C19" s="2397"/>
      <c r="D19" s="2682"/>
      <c r="E19" s="2682"/>
      <c r="F19" s="2684"/>
      <c r="G19" s="2685"/>
      <c r="H19" s="2399"/>
      <c r="I19" s="2397"/>
      <c r="J19" s="2398"/>
      <c r="K19" s="2278"/>
      <c r="L19" s="2278"/>
      <c r="M19" s="2278"/>
      <c r="N19" s="2278"/>
      <c r="O19" s="2278"/>
      <c r="P19" s="2278"/>
      <c r="Q19" s="2278"/>
      <c r="R19" s="2278"/>
    </row>
    <row r="20" spans="1:18" ht="12.75" customHeight="1">
      <c r="A20" s="2396" t="s">
        <v>2116</v>
      </c>
      <c r="B20" s="667"/>
      <c r="C20" s="2397"/>
      <c r="D20" s="2682"/>
      <c r="E20" s="2682"/>
      <c r="F20" s="2684"/>
      <c r="G20" s="2685"/>
      <c r="H20" s="2399"/>
      <c r="I20" s="2397"/>
      <c r="J20" s="2398"/>
      <c r="K20" s="2278"/>
      <c r="L20" s="2278"/>
      <c r="M20" s="2278"/>
      <c r="N20" s="2278"/>
      <c r="O20" s="2278"/>
      <c r="P20" s="2278"/>
      <c r="Q20" s="2278"/>
      <c r="R20" s="2278"/>
    </row>
    <row r="21" spans="1:18" ht="12.75" customHeight="1">
      <c r="A21" s="2396" t="s">
        <v>2117</v>
      </c>
      <c r="B21" s="667"/>
      <c r="C21" s="2397"/>
      <c r="D21" s="2682"/>
      <c r="E21" s="2682"/>
      <c r="F21" s="2684"/>
      <c r="G21" s="2685"/>
      <c r="H21" s="2399"/>
      <c r="I21" s="2397"/>
      <c r="J21" s="2398"/>
      <c r="K21" s="2278"/>
      <c r="L21" s="2278"/>
      <c r="M21" s="2278"/>
      <c r="N21" s="2278"/>
      <c r="O21" s="2278"/>
      <c r="P21" s="2278"/>
      <c r="Q21" s="2278"/>
      <c r="R21" s="2278"/>
    </row>
    <row r="22" spans="1:18" ht="12.75" customHeight="1">
      <c r="A22" s="2396" t="s">
        <v>416</v>
      </c>
      <c r="B22" s="667"/>
      <c r="C22" s="2397"/>
      <c r="D22" s="2682"/>
      <c r="E22" s="2682"/>
      <c r="F22" s="2684"/>
      <c r="G22" s="2685"/>
      <c r="H22" s="2399"/>
      <c r="I22" s="2397"/>
      <c r="J22" s="2398"/>
      <c r="K22" s="2278"/>
      <c r="L22" s="2278"/>
      <c r="M22" s="2278"/>
      <c r="N22" s="2278"/>
      <c r="O22" s="2278"/>
      <c r="P22" s="2278"/>
      <c r="Q22" s="2278"/>
      <c r="R22" s="2278"/>
    </row>
    <row r="23" spans="1:18" ht="12.75" customHeight="1">
      <c r="A23" s="2396" t="s">
        <v>2118</v>
      </c>
      <c r="B23" s="667"/>
      <c r="C23" s="2397"/>
      <c r="D23" s="2682"/>
      <c r="E23" s="2682"/>
      <c r="F23" s="2684"/>
      <c r="G23" s="2685"/>
      <c r="H23" s="2399"/>
      <c r="I23" s="2397"/>
      <c r="J23" s="2398"/>
      <c r="K23" s="2278"/>
      <c r="L23" s="2278"/>
      <c r="M23" s="2278"/>
      <c r="N23" s="2278"/>
      <c r="O23" s="2278"/>
      <c r="P23" s="2278"/>
      <c r="Q23" s="2278"/>
      <c r="R23" s="2278"/>
    </row>
    <row r="24" spans="1:18" ht="12.75" customHeight="1">
      <c r="A24" s="2396" t="s">
        <v>2119</v>
      </c>
      <c r="B24" s="667"/>
      <c r="C24" s="2397"/>
      <c r="D24" s="2682"/>
      <c r="E24" s="2682"/>
      <c r="F24" s="2684"/>
      <c r="G24" s="2685"/>
      <c r="H24" s="2399"/>
      <c r="I24" s="2397"/>
      <c r="J24" s="2398"/>
      <c r="K24" s="2278"/>
      <c r="L24" s="2278"/>
      <c r="M24" s="2278"/>
      <c r="N24" s="2278"/>
      <c r="O24" s="2278"/>
      <c r="P24" s="2278"/>
      <c r="Q24" s="2278"/>
      <c r="R24" s="2278"/>
    </row>
    <row r="25" spans="1:18" ht="12.75" customHeight="1">
      <c r="A25" s="2396" t="s">
        <v>2120</v>
      </c>
      <c r="B25" s="2444"/>
      <c r="C25" s="2397"/>
      <c r="D25" s="2682"/>
      <c r="E25" s="2682"/>
      <c r="F25" s="2684"/>
      <c r="G25" s="2685"/>
      <c r="H25" s="2399"/>
      <c r="I25" s="2397"/>
      <c r="J25" s="2398"/>
      <c r="K25" s="603"/>
      <c r="L25" s="603"/>
      <c r="M25" s="603"/>
      <c r="N25" s="603"/>
      <c r="O25" s="603"/>
      <c r="P25" s="603"/>
      <c r="Q25" s="603"/>
      <c r="R25" s="603"/>
    </row>
    <row r="26" spans="1:18" ht="5" customHeight="1">
      <c r="A26" s="2396"/>
      <c r="B26" s="2444"/>
      <c r="C26" s="2397"/>
      <c r="D26" s="2682"/>
      <c r="E26" s="2682"/>
      <c r="F26" s="2684"/>
      <c r="G26" s="2685"/>
      <c r="H26" s="2399"/>
      <c r="I26" s="2397"/>
      <c r="J26" s="2398"/>
      <c r="K26" s="603"/>
      <c r="L26" s="603"/>
      <c r="M26" s="603"/>
      <c r="N26" s="603"/>
      <c r="O26" s="603"/>
      <c r="P26" s="603"/>
      <c r="Q26" s="603"/>
      <c r="R26" s="603"/>
    </row>
    <row r="27" spans="1:18" ht="12.75" customHeight="1">
      <c r="A27" s="2400" t="s">
        <v>2121</v>
      </c>
      <c r="B27" s="2444"/>
      <c r="C27" s="2409"/>
      <c r="D27" s="2409"/>
      <c r="E27" s="2409"/>
      <c r="F27" s="2410"/>
      <c r="G27" s="2411"/>
      <c r="H27" s="2411"/>
      <c r="I27" s="2409"/>
      <c r="J27" s="2410"/>
      <c r="K27" s="2280"/>
      <c r="L27" s="2280"/>
      <c r="M27" s="2280"/>
      <c r="N27" s="2280"/>
      <c r="O27" s="2280"/>
      <c r="P27" s="2280"/>
      <c r="Q27" s="2280"/>
      <c r="R27" s="2280"/>
    </row>
    <row r="28" spans="1:18" ht="12.75" customHeight="1">
      <c r="A28" s="2401" t="s">
        <v>2101</v>
      </c>
      <c r="B28" s="2444"/>
      <c r="C28" s="2409"/>
      <c r="D28" s="2409"/>
      <c r="E28" s="2409"/>
      <c r="F28" s="2410"/>
      <c r="G28" s="2411"/>
      <c r="H28" s="2411"/>
      <c r="I28" s="2409"/>
      <c r="J28" s="2410"/>
      <c r="K28" s="2280"/>
      <c r="L28" s="2280"/>
      <c r="M28" s="2280"/>
      <c r="N28" s="2280"/>
      <c r="O28" s="2280"/>
      <c r="P28" s="2280"/>
      <c r="Q28" s="2280"/>
      <c r="R28" s="2280"/>
    </row>
    <row r="29" spans="1:18" ht="12.75" customHeight="1">
      <c r="A29" s="2396" t="s">
        <v>2158</v>
      </c>
      <c r="B29" s="667"/>
      <c r="C29" s="2409"/>
      <c r="D29" s="2409">
        <v>15000</v>
      </c>
      <c r="E29" s="2409">
        <v>15000</v>
      </c>
      <c r="F29" s="2410">
        <v>15000</v>
      </c>
      <c r="G29" s="2411">
        <v>15000</v>
      </c>
      <c r="H29" s="2411">
        <v>15000</v>
      </c>
      <c r="I29" s="2409">
        <v>15000</v>
      </c>
      <c r="J29" s="2410">
        <v>15000</v>
      </c>
      <c r="K29" s="2280"/>
      <c r="L29" s="2280"/>
      <c r="M29" s="2280"/>
      <c r="N29" s="2280"/>
      <c r="O29" s="2280"/>
      <c r="P29" s="2280"/>
      <c r="Q29" s="2280"/>
      <c r="R29" s="2280"/>
    </row>
    <row r="30" spans="1:18" ht="12.75" customHeight="1">
      <c r="A30" s="418" t="s">
        <v>2122</v>
      </c>
      <c r="B30" s="667"/>
      <c r="C30" s="2397"/>
      <c r="D30" s="2397">
        <v>15000</v>
      </c>
      <c r="E30" s="2397">
        <v>15000</v>
      </c>
      <c r="F30" s="2398">
        <v>15000</v>
      </c>
      <c r="G30" s="2399">
        <v>56000</v>
      </c>
      <c r="H30" s="2399">
        <v>100000</v>
      </c>
      <c r="I30" s="2397">
        <v>100000</v>
      </c>
      <c r="J30" s="2397">
        <v>100000</v>
      </c>
      <c r="K30" s="2280"/>
      <c r="L30" s="2280"/>
      <c r="M30" s="2280"/>
      <c r="N30" s="2280"/>
      <c r="O30" s="2280"/>
      <c r="P30" s="2280"/>
      <c r="Q30" s="2280"/>
      <c r="R30" s="2280"/>
    </row>
    <row r="31" spans="1:18" ht="12.75" customHeight="1">
      <c r="A31" s="364" t="s">
        <v>2123</v>
      </c>
      <c r="B31" s="667"/>
      <c r="C31" s="2397" t="s">
        <v>3957</v>
      </c>
      <c r="D31" s="2397"/>
      <c r="E31" s="2397"/>
      <c r="F31" s="2398"/>
      <c r="G31" s="2399"/>
      <c r="H31" s="2399"/>
      <c r="I31" s="2397"/>
      <c r="J31" s="2398"/>
      <c r="K31" s="2280"/>
      <c r="L31" s="2280"/>
      <c r="M31" s="2280"/>
      <c r="N31" s="2280"/>
      <c r="O31" s="2280"/>
      <c r="P31" s="2280"/>
      <c r="Q31" s="2280"/>
      <c r="R31" s="2280"/>
    </row>
    <row r="32" spans="1:18" ht="12.75" customHeight="1">
      <c r="A32" s="364" t="s">
        <v>2124</v>
      </c>
      <c r="B32" s="667"/>
      <c r="C32" s="2397" t="s">
        <v>3957</v>
      </c>
      <c r="D32" s="2397"/>
      <c r="E32" s="2397"/>
      <c r="F32" s="2398"/>
      <c r="G32" s="2399"/>
      <c r="H32" s="2399"/>
      <c r="I32" s="2397"/>
      <c r="J32" s="2398"/>
      <c r="K32" s="2280"/>
      <c r="L32" s="2280"/>
      <c r="M32" s="2280"/>
      <c r="N32" s="2280"/>
      <c r="O32" s="2280"/>
      <c r="P32" s="2280"/>
      <c r="Q32" s="2280"/>
      <c r="R32" s="2280"/>
    </row>
    <row r="33" spans="1:19" ht="12.75" customHeight="1">
      <c r="A33" s="364" t="s">
        <v>2125</v>
      </c>
      <c r="B33" s="667"/>
      <c r="C33" s="2397"/>
      <c r="D33" s="2397"/>
      <c r="E33" s="2397"/>
      <c r="F33" s="2398"/>
      <c r="G33" s="2399"/>
      <c r="H33" s="2399"/>
      <c r="I33" s="2397"/>
      <c r="J33" s="2398"/>
      <c r="K33" s="2270"/>
      <c r="L33" s="2270"/>
      <c r="M33" s="2270"/>
      <c r="N33" s="2270"/>
      <c r="O33" s="2270"/>
      <c r="P33" s="2270"/>
      <c r="Q33" s="2270"/>
      <c r="R33" s="2270"/>
    </row>
    <row r="34" spans="1:19" ht="12.75" customHeight="1">
      <c r="A34" s="364" t="s">
        <v>2126</v>
      </c>
      <c r="B34" s="667"/>
      <c r="C34" s="2397" t="s">
        <v>3958</v>
      </c>
      <c r="D34" s="2397"/>
      <c r="E34" s="2397"/>
      <c r="F34" s="2398"/>
      <c r="G34" s="2399"/>
      <c r="H34" s="2399"/>
      <c r="I34" s="2397"/>
      <c r="J34" s="2398"/>
      <c r="K34" s="2281"/>
      <c r="L34" s="2281"/>
      <c r="M34" s="2281"/>
      <c r="N34" s="2281"/>
      <c r="O34" s="2281"/>
      <c r="P34" s="2281"/>
      <c r="Q34" s="2281"/>
      <c r="R34" s="2281"/>
    </row>
    <row r="35" spans="1:19" ht="12.75" customHeight="1">
      <c r="A35" s="2402" t="s">
        <v>2127</v>
      </c>
      <c r="B35" s="667"/>
      <c r="C35" s="2397"/>
      <c r="D35" s="2397"/>
      <c r="E35" s="2397"/>
      <c r="F35" s="2398"/>
      <c r="G35" s="2399"/>
      <c r="H35" s="2399"/>
      <c r="I35" s="2397"/>
      <c r="J35" s="2398"/>
      <c r="K35" s="2281"/>
      <c r="L35" s="2281"/>
      <c r="M35" s="2281"/>
      <c r="N35" s="2281"/>
      <c r="O35" s="2281"/>
      <c r="P35" s="2281"/>
      <c r="Q35" s="2281"/>
      <c r="R35" s="2281"/>
    </row>
    <row r="36" spans="1:19" ht="12.75" customHeight="1">
      <c r="A36" s="2403" t="s">
        <v>2128</v>
      </c>
      <c r="B36" s="667"/>
      <c r="C36" s="2397"/>
      <c r="D36" s="2397"/>
      <c r="E36" s="2397"/>
      <c r="F36" s="2398"/>
      <c r="G36" s="2399"/>
      <c r="H36" s="2399"/>
      <c r="I36" s="2397"/>
      <c r="J36" s="2398"/>
      <c r="K36" s="2281"/>
      <c r="L36" s="2281"/>
      <c r="M36" s="2281"/>
      <c r="N36" s="2281"/>
      <c r="O36" s="2281"/>
      <c r="P36" s="2281"/>
      <c r="Q36" s="2281"/>
      <c r="R36" s="2281"/>
    </row>
    <row r="37" spans="1:19" ht="5" customHeight="1">
      <c r="A37" s="2448"/>
      <c r="B37" s="2444"/>
      <c r="C37" s="2444"/>
      <c r="D37" s="2449"/>
      <c r="E37" s="2449"/>
      <c r="F37" s="2450"/>
      <c r="G37" s="2451"/>
      <c r="H37" s="2451"/>
      <c r="I37" s="2449"/>
      <c r="J37" s="2450"/>
      <c r="K37" s="2283"/>
      <c r="L37" s="2283"/>
      <c r="M37" s="2283"/>
      <c r="N37" s="2283"/>
      <c r="O37" s="2283"/>
      <c r="P37" s="2283"/>
      <c r="Q37" s="2283"/>
      <c r="R37" s="2283"/>
    </row>
    <row r="38" spans="1:19" ht="12.75" customHeight="1">
      <c r="A38" s="527" t="s">
        <v>2129</v>
      </c>
      <c r="B38" s="2444"/>
      <c r="C38" s="2444"/>
      <c r="D38" s="2409"/>
      <c r="E38" s="2409"/>
      <c r="F38" s="2410"/>
      <c r="G38" s="2411"/>
      <c r="H38" s="2411"/>
      <c r="I38" s="2409"/>
      <c r="J38" s="2410"/>
      <c r="K38" s="2271"/>
      <c r="L38" s="2271"/>
      <c r="M38" s="2271"/>
      <c r="N38" s="2271"/>
      <c r="O38" s="2271"/>
      <c r="P38" s="2271"/>
      <c r="Q38" s="2271"/>
      <c r="R38" s="2271"/>
    </row>
    <row r="39" spans="1:19" ht="12.75" customHeight="1">
      <c r="A39" s="2401" t="s">
        <v>2130</v>
      </c>
      <c r="B39" s="667"/>
      <c r="C39" s="2444"/>
      <c r="D39" s="2409"/>
      <c r="E39" s="2409"/>
      <c r="F39" s="2410"/>
      <c r="G39" s="2411"/>
      <c r="H39" s="2411"/>
      <c r="I39" s="2409"/>
      <c r="J39" s="2410"/>
      <c r="K39" s="2284"/>
      <c r="L39" s="2284"/>
      <c r="M39" s="2284"/>
      <c r="N39" s="2284"/>
      <c r="O39" s="2284"/>
      <c r="P39" s="2284"/>
      <c r="Q39" s="2284"/>
      <c r="R39" s="2284"/>
    </row>
    <row r="40" spans="1:19" ht="12.75" customHeight="1">
      <c r="A40" s="2396" t="s">
        <v>2131</v>
      </c>
      <c r="B40" s="667"/>
      <c r="C40" s="2397"/>
      <c r="D40" s="2397">
        <v>36.280500000000004</v>
      </c>
      <c r="E40" s="2397">
        <v>42.81</v>
      </c>
      <c r="F40" s="2398">
        <v>45.37</v>
      </c>
      <c r="G40" s="2399">
        <v>45.38</v>
      </c>
      <c r="H40" s="2399">
        <v>50.029899999999998</v>
      </c>
      <c r="I40" s="2397">
        <v>52.531399999999998</v>
      </c>
      <c r="J40" s="2397">
        <v>55.158000000000001</v>
      </c>
      <c r="K40" s="1333"/>
      <c r="L40" s="1333"/>
      <c r="M40" s="1333"/>
      <c r="N40" s="1333"/>
      <c r="O40" s="1333"/>
      <c r="P40" s="1333"/>
      <c r="Q40" s="1333"/>
      <c r="R40" s="1333"/>
      <c r="S40" s="210">
        <f>SUM(C40:R40)</f>
        <v>327.5598</v>
      </c>
    </row>
    <row r="41" spans="1:19" ht="12.75" customHeight="1">
      <c r="A41" s="2396" t="s">
        <v>2132</v>
      </c>
      <c r="B41" s="667"/>
      <c r="C41" s="2397"/>
      <c r="D41" s="2397"/>
      <c r="E41" s="2397"/>
      <c r="F41" s="2398"/>
      <c r="G41" s="2399"/>
      <c r="H41" s="2399"/>
      <c r="I41" s="2397"/>
      <c r="J41" s="2398"/>
      <c r="K41" s="1333"/>
      <c r="L41" s="1333"/>
      <c r="M41" s="1333"/>
      <c r="N41" s="1333"/>
      <c r="O41" s="1333"/>
      <c r="P41" s="1333"/>
      <c r="Q41" s="1333"/>
      <c r="R41" s="1333"/>
      <c r="S41" s="210">
        <f>SUM(C41:R41)</f>
        <v>0</v>
      </c>
    </row>
    <row r="42" spans="1:19" ht="12.75" customHeight="1">
      <c r="A42" s="2396" t="s">
        <v>2133</v>
      </c>
      <c r="B42" s="667"/>
      <c r="C42" s="2397"/>
      <c r="D42" s="2397"/>
      <c r="E42" s="2397"/>
      <c r="F42" s="2398"/>
      <c r="G42" s="2399"/>
      <c r="H42" s="2399"/>
      <c r="I42" s="2397"/>
      <c r="J42" s="2398"/>
      <c r="K42" s="2285"/>
      <c r="L42" s="2285"/>
      <c r="M42" s="2285"/>
      <c r="N42" s="2285"/>
      <c r="O42" s="2285"/>
      <c r="P42" s="2285"/>
      <c r="Q42" s="2285"/>
      <c r="R42" s="2285"/>
    </row>
    <row r="43" spans="1:19" ht="12.75" customHeight="1">
      <c r="A43" s="2403" t="s">
        <v>2134</v>
      </c>
      <c r="B43" s="667"/>
      <c r="C43" s="2397" t="s">
        <v>3959</v>
      </c>
      <c r="D43" s="2397"/>
      <c r="E43" s="2397"/>
      <c r="F43" s="2398"/>
      <c r="G43" s="2399"/>
      <c r="H43" s="2399"/>
      <c r="I43" s="2397"/>
      <c r="J43" s="2398"/>
      <c r="K43" s="2286"/>
      <c r="L43" s="2286"/>
      <c r="M43" s="2286"/>
      <c r="N43" s="2286"/>
      <c r="O43" s="2286"/>
      <c r="P43" s="2286"/>
      <c r="Q43" s="2286"/>
      <c r="R43" s="2286"/>
    </row>
    <row r="44" spans="1:19" ht="12.75" customHeight="1">
      <c r="A44" s="2403" t="s">
        <v>2136</v>
      </c>
      <c r="B44" s="667"/>
      <c r="C44" s="2397" t="s">
        <v>3960</v>
      </c>
      <c r="D44" s="2397">
        <v>6.66</v>
      </c>
      <c r="E44" s="2397">
        <v>7.86</v>
      </c>
      <c r="F44" s="2398">
        <v>8.8811</v>
      </c>
      <c r="G44" s="2399">
        <v>8.8800000000000008</v>
      </c>
      <c r="H44" s="2399">
        <v>15.118499999999999</v>
      </c>
      <c r="I44" s="2397">
        <v>15.8744</v>
      </c>
      <c r="J44" s="2397">
        <v>16.668099999999999</v>
      </c>
      <c r="K44" s="2286"/>
      <c r="L44" s="2286"/>
      <c r="M44" s="2286"/>
      <c r="N44" s="2286"/>
      <c r="O44" s="2286"/>
      <c r="P44" s="2286"/>
      <c r="Q44" s="2286"/>
      <c r="R44" s="2286"/>
    </row>
    <row r="45" spans="1:19" ht="12.75" customHeight="1">
      <c r="A45" s="2403" t="s">
        <v>2137</v>
      </c>
      <c r="B45" s="667"/>
      <c r="C45" s="2397" t="s">
        <v>3961</v>
      </c>
      <c r="D45" s="2397">
        <v>7.68</v>
      </c>
      <c r="E45" s="2397">
        <v>9.07</v>
      </c>
      <c r="F45" s="2398">
        <v>10.25</v>
      </c>
      <c r="G45" s="2399">
        <v>10.25</v>
      </c>
      <c r="H45" s="2399">
        <v>12.648300000000001</v>
      </c>
      <c r="I45" s="2397">
        <v>13.2807</v>
      </c>
      <c r="J45" s="2397">
        <v>13.944800000000001</v>
      </c>
      <c r="K45" s="2286"/>
      <c r="L45" s="2286"/>
      <c r="M45" s="2286"/>
      <c r="N45" s="2286"/>
      <c r="O45" s="2286"/>
      <c r="P45" s="2286"/>
      <c r="Q45" s="2286"/>
      <c r="R45" s="2286"/>
    </row>
    <row r="46" spans="1:19" ht="12.75" customHeight="1">
      <c r="A46" s="2403" t="s">
        <v>2138</v>
      </c>
      <c r="B46" s="667"/>
      <c r="C46" s="2397" t="s">
        <v>3962</v>
      </c>
      <c r="D46" s="2397">
        <v>8.39</v>
      </c>
      <c r="E46" s="2397">
        <v>9.9</v>
      </c>
      <c r="F46" s="2398">
        <v>11.19</v>
      </c>
      <c r="G46" s="2399">
        <v>11.19</v>
      </c>
      <c r="H46" s="2399">
        <v>12.648300000000001</v>
      </c>
      <c r="I46" s="2397">
        <v>13.2807</v>
      </c>
      <c r="J46" s="2397">
        <v>13.944800000000001</v>
      </c>
      <c r="K46" s="2286"/>
      <c r="L46" s="2286"/>
      <c r="M46" s="2286"/>
      <c r="N46" s="2286"/>
      <c r="O46" s="2286"/>
      <c r="P46" s="2286"/>
      <c r="Q46" s="2286"/>
      <c r="R46" s="2286"/>
    </row>
    <row r="47" spans="1:19" ht="12.75" customHeight="1">
      <c r="A47" s="2403" t="s">
        <v>2139</v>
      </c>
      <c r="B47" s="667"/>
      <c r="C47" s="2397" t="s">
        <v>3963</v>
      </c>
      <c r="D47" s="2397">
        <v>9.15</v>
      </c>
      <c r="E47" s="2397">
        <v>10.8</v>
      </c>
      <c r="F47" s="2398">
        <v>12.2</v>
      </c>
      <c r="G47" s="2399">
        <v>12.2</v>
      </c>
      <c r="H47" s="2399">
        <v>12.184200000000001</v>
      </c>
      <c r="I47" s="2397">
        <v>12.9434</v>
      </c>
      <c r="J47" s="2397">
        <v>13.433</v>
      </c>
      <c r="K47" s="2286"/>
      <c r="L47" s="2286"/>
      <c r="M47" s="2286"/>
      <c r="N47" s="2286"/>
      <c r="O47" s="2286"/>
      <c r="P47" s="2286"/>
      <c r="Q47" s="2286"/>
      <c r="R47" s="2286"/>
    </row>
    <row r="48" spans="1:19" ht="12.75" customHeight="1">
      <c r="A48" s="2403" t="s">
        <v>2140</v>
      </c>
      <c r="B48" s="667"/>
      <c r="C48" s="2397">
        <v>61</v>
      </c>
      <c r="D48" s="2397">
        <v>9.9</v>
      </c>
      <c r="E48" s="2397">
        <v>11.69</v>
      </c>
      <c r="F48" s="2398">
        <v>13.21</v>
      </c>
      <c r="G48" s="2399">
        <v>13.21</v>
      </c>
      <c r="H48" s="2399">
        <v>15.118499999999999</v>
      </c>
      <c r="I48" s="2397">
        <v>15.8744</v>
      </c>
      <c r="J48" s="2397">
        <v>16.668099999999999</v>
      </c>
      <c r="K48" s="2286"/>
      <c r="L48" s="2286"/>
      <c r="M48" s="2286"/>
      <c r="N48" s="2286"/>
      <c r="O48" s="2286"/>
      <c r="P48" s="2286"/>
      <c r="Q48" s="2286"/>
      <c r="R48" s="2286"/>
    </row>
    <row r="49" spans="1:18" ht="5" customHeight="1">
      <c r="A49" s="201"/>
      <c r="B49" s="667"/>
      <c r="C49" s="2444"/>
      <c r="D49" s="2409"/>
      <c r="E49" s="2409"/>
      <c r="F49" s="2410"/>
      <c r="G49" s="2411"/>
      <c r="H49" s="2411"/>
      <c r="I49" s="2409"/>
      <c r="J49" s="2410"/>
      <c r="K49" s="261"/>
      <c r="L49" s="261"/>
      <c r="M49" s="261"/>
      <c r="N49" s="261"/>
      <c r="O49" s="261"/>
      <c r="P49" s="261"/>
      <c r="Q49" s="261"/>
      <c r="R49" s="261"/>
    </row>
    <row r="50" spans="1:18" ht="12.75" customHeight="1">
      <c r="A50" s="527" t="s">
        <v>2141</v>
      </c>
      <c r="B50" s="667"/>
      <c r="C50" s="2444"/>
      <c r="D50" s="2409"/>
      <c r="E50" s="2409"/>
      <c r="F50" s="2410"/>
      <c r="G50" s="2411"/>
      <c r="H50" s="2411"/>
      <c r="I50" s="2409"/>
      <c r="J50" s="2410"/>
      <c r="K50" s="363"/>
      <c r="L50" s="363"/>
      <c r="M50" s="363"/>
      <c r="N50" s="363"/>
      <c r="O50" s="363"/>
      <c r="P50" s="363"/>
      <c r="Q50" s="363"/>
      <c r="R50" s="363"/>
    </row>
    <row r="51" spans="1:18" s="1063" customFormat="1" ht="12.75" customHeight="1">
      <c r="A51" s="2401" t="s">
        <v>2130</v>
      </c>
      <c r="B51" s="667"/>
      <c r="C51" s="2444"/>
      <c r="D51" s="2409"/>
      <c r="E51" s="2409"/>
      <c r="F51" s="2410"/>
      <c r="G51" s="2411"/>
      <c r="H51" s="2411"/>
      <c r="I51" s="2409"/>
      <c r="J51" s="2410"/>
      <c r="K51" s="1040"/>
      <c r="L51" s="1040"/>
      <c r="M51" s="1040"/>
      <c r="N51" s="1040"/>
      <c r="O51" s="1040"/>
      <c r="P51" s="1040"/>
      <c r="Q51" s="1040"/>
      <c r="R51" s="1040"/>
    </row>
    <row r="52" spans="1:18" s="1063" customFormat="1" ht="12.75" customHeight="1">
      <c r="A52" s="2396" t="s">
        <v>2131</v>
      </c>
      <c r="B52" s="667"/>
      <c r="C52" s="2397"/>
      <c r="D52" s="2397"/>
      <c r="E52" s="2397"/>
      <c r="F52" s="2398"/>
      <c r="G52" s="2399"/>
      <c r="H52" s="2399"/>
      <c r="I52" s="2397"/>
      <c r="J52" s="2398"/>
      <c r="K52" s="1040"/>
      <c r="L52" s="1040"/>
      <c r="M52" s="1040"/>
      <c r="N52" s="1040"/>
      <c r="O52" s="1040"/>
      <c r="P52" s="1040"/>
      <c r="Q52" s="1040"/>
      <c r="R52" s="1040"/>
    </row>
    <row r="53" spans="1:18" s="1063" customFormat="1" ht="12.75" customHeight="1">
      <c r="A53" s="2396" t="s">
        <v>2132</v>
      </c>
      <c r="B53" s="667"/>
      <c r="C53" s="2397"/>
      <c r="D53" s="2397"/>
      <c r="E53" s="2397"/>
      <c r="F53" s="2398"/>
      <c r="G53" s="2399"/>
      <c r="H53" s="2399"/>
      <c r="I53" s="2397"/>
      <c r="J53" s="2398"/>
      <c r="K53" s="1040"/>
      <c r="L53" s="1040"/>
      <c r="M53" s="1040"/>
      <c r="N53" s="1040"/>
      <c r="O53" s="1040"/>
      <c r="P53" s="1040"/>
      <c r="Q53" s="1040"/>
      <c r="R53" s="1040"/>
    </row>
    <row r="54" spans="1:18" s="1063" customFormat="1" ht="12.75" customHeight="1">
      <c r="A54" s="2396" t="s">
        <v>2142</v>
      </c>
      <c r="B54" s="667"/>
      <c r="C54" s="2397"/>
      <c r="D54" s="2397"/>
      <c r="E54" s="2397"/>
      <c r="F54" s="2398"/>
      <c r="G54" s="2399"/>
      <c r="H54" s="2399"/>
      <c r="I54" s="2397"/>
      <c r="J54" s="2398"/>
      <c r="K54" s="1040"/>
      <c r="L54" s="1040"/>
      <c r="M54" s="1040"/>
      <c r="N54" s="1040"/>
      <c r="O54" s="1040"/>
      <c r="P54" s="1040"/>
      <c r="Q54" s="1040"/>
      <c r="R54" s="1040"/>
    </row>
    <row r="55" spans="1:18" s="1063" customFormat="1" ht="12.75" customHeight="1">
      <c r="A55" s="2403" t="s">
        <v>2143</v>
      </c>
      <c r="B55" s="667"/>
      <c r="C55" s="2397" t="s">
        <v>2144</v>
      </c>
      <c r="D55" s="2397"/>
      <c r="E55" s="2397"/>
      <c r="F55" s="2398"/>
      <c r="G55" s="2399"/>
      <c r="H55" s="2399"/>
      <c r="I55" s="2397"/>
      <c r="J55" s="2398"/>
      <c r="K55" s="1040"/>
      <c r="L55" s="1040"/>
      <c r="M55" s="1040"/>
      <c r="N55" s="1040"/>
      <c r="O55" s="1040"/>
      <c r="P55" s="1040"/>
      <c r="Q55" s="1040"/>
      <c r="R55" s="1040"/>
    </row>
    <row r="56" spans="1:18" s="1063" customFormat="1" ht="12.75" customHeight="1">
      <c r="A56" s="2403" t="s">
        <v>2145</v>
      </c>
      <c r="B56" s="667"/>
      <c r="C56" s="2397" t="s">
        <v>2144</v>
      </c>
      <c r="D56" s="2397"/>
      <c r="E56" s="2397"/>
      <c r="F56" s="2398"/>
      <c r="G56" s="2399"/>
      <c r="H56" s="2399"/>
      <c r="I56" s="2397"/>
      <c r="J56" s="2398"/>
      <c r="K56" s="1040"/>
      <c r="L56" s="1040"/>
      <c r="M56" s="1040"/>
      <c r="N56" s="1040"/>
      <c r="O56" s="1040"/>
      <c r="P56" s="1040"/>
      <c r="Q56" s="1040"/>
      <c r="R56" s="1040"/>
    </row>
    <row r="57" spans="1:18" s="1063" customFormat="1" ht="12.75" customHeight="1">
      <c r="A57" s="2403" t="s">
        <v>2146</v>
      </c>
      <c r="B57" s="667"/>
      <c r="C57" s="2397" t="s">
        <v>2144</v>
      </c>
      <c r="D57" s="2397"/>
      <c r="E57" s="2397"/>
      <c r="F57" s="2398"/>
      <c r="G57" s="2399"/>
      <c r="H57" s="2399"/>
      <c r="I57" s="2397"/>
      <c r="J57" s="2398"/>
      <c r="K57" s="1040"/>
      <c r="L57" s="1040"/>
      <c r="M57" s="1040"/>
      <c r="N57" s="1040"/>
      <c r="O57" s="1040"/>
      <c r="P57" s="1040"/>
      <c r="Q57" s="1040"/>
      <c r="R57" s="1040"/>
    </row>
    <row r="58" spans="1:18" ht="12.75" customHeight="1">
      <c r="A58" s="2403" t="s">
        <v>2147</v>
      </c>
      <c r="B58" s="667"/>
      <c r="C58" s="2397" t="s">
        <v>2144</v>
      </c>
      <c r="D58" s="2397"/>
      <c r="E58" s="2397"/>
      <c r="F58" s="2398"/>
      <c r="G58" s="2399"/>
      <c r="H58" s="2399"/>
      <c r="I58" s="2397"/>
      <c r="J58" s="2398"/>
      <c r="K58" s="935"/>
      <c r="L58" s="935"/>
      <c r="M58" s="935"/>
      <c r="N58" s="935"/>
      <c r="O58" s="935"/>
      <c r="P58" s="935"/>
      <c r="Q58" s="935"/>
      <c r="R58" s="935"/>
    </row>
    <row r="59" spans="1:18" ht="12.75" customHeight="1">
      <c r="A59" s="2403" t="s">
        <v>2140</v>
      </c>
      <c r="B59" s="667"/>
      <c r="C59" s="2397"/>
      <c r="D59" s="2397"/>
      <c r="E59" s="2397"/>
      <c r="F59" s="2398"/>
      <c r="G59" s="2399"/>
      <c r="H59" s="2399"/>
      <c r="I59" s="2397"/>
      <c r="J59" s="2398"/>
      <c r="K59" s="2267"/>
      <c r="L59" s="2267"/>
      <c r="M59" s="2267"/>
      <c r="N59" s="2267"/>
      <c r="O59" s="2267"/>
      <c r="P59" s="2267"/>
      <c r="Q59" s="2267"/>
      <c r="R59" s="2267"/>
    </row>
    <row r="60" spans="1:18" ht="5" customHeight="1">
      <c r="A60" s="2452"/>
      <c r="B60" s="2444"/>
      <c r="C60" s="2444"/>
      <c r="D60" s="2409"/>
      <c r="E60" s="2409"/>
      <c r="F60" s="2410"/>
      <c r="G60" s="2411"/>
      <c r="H60" s="2411"/>
      <c r="I60" s="2409"/>
      <c r="J60" s="2410"/>
      <c r="K60" s="238"/>
      <c r="L60" s="238"/>
      <c r="M60" s="238"/>
      <c r="N60" s="238"/>
      <c r="O60" s="238"/>
      <c r="P60" s="238"/>
      <c r="Q60" s="238"/>
      <c r="R60" s="238"/>
    </row>
    <row r="61" spans="1:18" ht="12.75" customHeight="1">
      <c r="A61" s="527" t="s">
        <v>2148</v>
      </c>
      <c r="B61" s="667"/>
      <c r="C61" s="2444"/>
      <c r="D61" s="2409"/>
      <c r="E61" s="2409"/>
      <c r="F61" s="2410"/>
      <c r="G61" s="2411"/>
      <c r="H61" s="2411"/>
      <c r="I61" s="2409"/>
      <c r="J61" s="2410"/>
      <c r="K61" s="238"/>
      <c r="L61" s="238"/>
      <c r="M61" s="238"/>
      <c r="N61" s="238"/>
      <c r="O61" s="238"/>
      <c r="P61" s="238"/>
      <c r="Q61" s="238"/>
      <c r="R61" s="238"/>
    </row>
    <row r="62" spans="1:18" ht="12.75" customHeight="1">
      <c r="A62" s="2401" t="s">
        <v>2130</v>
      </c>
      <c r="B62" s="667"/>
      <c r="C62" s="2444"/>
      <c r="D62" s="2409"/>
      <c r="E62" s="2409"/>
      <c r="F62" s="2410"/>
      <c r="G62" s="2411"/>
      <c r="H62" s="2411"/>
      <c r="I62" s="2409"/>
      <c r="J62" s="2410"/>
      <c r="K62" s="2067"/>
      <c r="L62" s="2067"/>
      <c r="M62" s="2067"/>
      <c r="N62" s="2067"/>
      <c r="O62" s="2067"/>
      <c r="P62" s="2067"/>
      <c r="Q62" s="2067"/>
      <c r="R62" s="2067"/>
    </row>
    <row r="63" spans="1:18" ht="12.75" customHeight="1">
      <c r="A63" s="2396" t="s">
        <v>2131</v>
      </c>
      <c r="B63" s="667"/>
      <c r="C63" s="2397"/>
      <c r="D63" s="2397"/>
      <c r="E63" s="2397"/>
      <c r="F63" s="2398"/>
      <c r="G63" s="2399">
        <v>200.32</v>
      </c>
      <c r="H63" s="2399">
        <v>200.32</v>
      </c>
      <c r="I63" s="2397">
        <f>+((H63+(H63*5%)))</f>
        <v>210.33599999999998</v>
      </c>
      <c r="J63" s="2397">
        <f>+((I63+(I63*5%)))</f>
        <v>220.85279999999997</v>
      </c>
      <c r="K63" s="2067"/>
      <c r="L63" s="2067"/>
      <c r="M63" s="2067"/>
      <c r="N63" s="2067"/>
      <c r="O63" s="2067"/>
      <c r="P63" s="2067"/>
      <c r="Q63" s="2067"/>
      <c r="R63" s="2067"/>
    </row>
    <row r="64" spans="1:18" ht="12.75" customHeight="1">
      <c r="A64" s="2396" t="s">
        <v>2149</v>
      </c>
      <c r="B64" s="667"/>
      <c r="C64" s="2397"/>
      <c r="D64" s="2397"/>
      <c r="E64" s="2397"/>
      <c r="F64" s="2398"/>
      <c r="G64" s="2399"/>
      <c r="H64" s="2399"/>
      <c r="I64" s="2397"/>
      <c r="J64" s="2398"/>
      <c r="K64" s="2067"/>
      <c r="L64" s="2067"/>
      <c r="M64" s="2067"/>
      <c r="N64" s="2067"/>
      <c r="O64" s="2067"/>
      <c r="P64" s="2067"/>
      <c r="Q64" s="2067"/>
      <c r="R64" s="2067"/>
    </row>
    <row r="65" spans="1:18" ht="12.75" customHeight="1">
      <c r="A65" s="2404" t="s">
        <v>2150</v>
      </c>
      <c r="B65" s="667"/>
      <c r="C65" s="2397" t="s">
        <v>3964</v>
      </c>
      <c r="D65" s="2397"/>
      <c r="E65" s="2397"/>
      <c r="F65" s="2398"/>
      <c r="G65" s="2399"/>
      <c r="H65" s="2399"/>
      <c r="I65" s="2397"/>
      <c r="J65" s="2398"/>
      <c r="K65" s="2067"/>
      <c r="L65" s="2067"/>
      <c r="M65" s="2067"/>
      <c r="N65" s="2067"/>
      <c r="O65" s="2067"/>
      <c r="P65" s="2067"/>
      <c r="Q65" s="2067"/>
      <c r="R65" s="2067"/>
    </row>
    <row r="66" spans="1:18" ht="12.75" customHeight="1">
      <c r="A66" s="2403" t="s">
        <v>2171</v>
      </c>
      <c r="B66" s="667"/>
      <c r="C66" s="2397" t="s">
        <v>2135</v>
      </c>
      <c r="D66" s="2397"/>
      <c r="E66" s="2397"/>
      <c r="F66" s="2398"/>
      <c r="G66" s="2399">
        <v>6.5000000000000002E-2</v>
      </c>
      <c r="H66" s="2399">
        <v>6.5000000000000002E-2</v>
      </c>
      <c r="I66" s="2399">
        <v>6.5000000000000002E-2</v>
      </c>
      <c r="J66" s="2399">
        <v>6.5000000000000002E-2</v>
      </c>
      <c r="K66" s="2067"/>
      <c r="L66" s="2067"/>
      <c r="M66" s="2067"/>
      <c r="N66" s="2067"/>
      <c r="O66" s="2067"/>
      <c r="P66" s="2067"/>
      <c r="Q66" s="2067"/>
      <c r="R66" s="2067"/>
    </row>
    <row r="67" spans="1:18" ht="12.75" customHeight="1">
      <c r="A67" s="2413" t="s">
        <v>2172</v>
      </c>
      <c r="B67" s="667"/>
      <c r="C67" s="2397" t="s">
        <v>2135</v>
      </c>
      <c r="D67" s="2397"/>
      <c r="E67" s="2397"/>
      <c r="F67" s="2398"/>
      <c r="G67" s="2399">
        <v>6.5000000000000002E-2</v>
      </c>
      <c r="H67" s="2399">
        <v>6.5000000000000002E-2</v>
      </c>
      <c r="I67" s="2399">
        <v>6.5000000000000002E-2</v>
      </c>
      <c r="J67" s="2399">
        <v>6.5000000000000002E-2</v>
      </c>
      <c r="K67" s="2067"/>
      <c r="L67" s="2067"/>
      <c r="M67" s="2067"/>
      <c r="N67" s="2067"/>
      <c r="O67" s="2067"/>
      <c r="P67" s="2067"/>
      <c r="Q67" s="2067"/>
      <c r="R67" s="2067"/>
    </row>
    <row r="68" spans="1:18" ht="12.75" customHeight="1">
      <c r="A68" s="2396" t="s">
        <v>2173</v>
      </c>
      <c r="B68" s="667"/>
      <c r="C68" s="2397"/>
      <c r="D68" s="2397"/>
      <c r="E68" s="2397"/>
      <c r="F68" s="2398"/>
      <c r="G68" s="2399"/>
      <c r="H68" s="2399"/>
      <c r="I68" s="2397"/>
      <c r="J68" s="2398"/>
      <c r="K68" s="2067"/>
      <c r="L68" s="2067"/>
      <c r="M68" s="2067"/>
      <c r="N68" s="2067"/>
      <c r="O68" s="2067"/>
      <c r="P68" s="2067"/>
      <c r="Q68" s="2067"/>
      <c r="R68" s="2067"/>
    </row>
    <row r="69" spans="1:18" ht="12.75" customHeight="1">
      <c r="A69" s="2396" t="s">
        <v>2174</v>
      </c>
      <c r="B69" s="667"/>
      <c r="C69" s="2397"/>
      <c r="D69" s="2397"/>
      <c r="E69" s="2397"/>
      <c r="F69" s="2398"/>
      <c r="G69" s="2399"/>
      <c r="H69" s="2399"/>
      <c r="I69" s="2397"/>
      <c r="J69" s="2398"/>
      <c r="K69" s="2067"/>
      <c r="L69" s="2067"/>
      <c r="M69" s="2067"/>
      <c r="N69" s="2067"/>
      <c r="O69" s="2067"/>
      <c r="P69" s="2067"/>
      <c r="Q69" s="2067"/>
      <c r="R69" s="2067"/>
    </row>
    <row r="70" spans="1:18" ht="12.75" customHeight="1">
      <c r="A70" s="2413" t="s">
        <v>2175</v>
      </c>
      <c r="B70" s="667"/>
      <c r="C70" s="2397" t="s">
        <v>2151</v>
      </c>
      <c r="D70" s="2397"/>
      <c r="E70" s="2397">
        <v>0.68720000000000003</v>
      </c>
      <c r="F70" s="2398">
        <v>0.8</v>
      </c>
      <c r="G70" s="2399">
        <v>66</v>
      </c>
      <c r="H70" s="2399">
        <v>0.8</v>
      </c>
      <c r="I70" s="2399">
        <v>0.8</v>
      </c>
      <c r="J70" s="2399">
        <v>0.8</v>
      </c>
      <c r="K70" s="2067"/>
      <c r="L70" s="2067"/>
      <c r="M70" s="2067"/>
      <c r="N70" s="2067"/>
      <c r="O70" s="2067"/>
      <c r="P70" s="2067"/>
      <c r="Q70" s="2067"/>
      <c r="R70" s="2067"/>
    </row>
    <row r="71" spans="1:18" ht="12.75" customHeight="1">
      <c r="A71" s="2413" t="s">
        <v>2176</v>
      </c>
      <c r="B71" s="667"/>
      <c r="C71" s="2397" t="s">
        <v>2151</v>
      </c>
      <c r="D71" s="2397"/>
      <c r="E71" s="2397"/>
      <c r="F71" s="2398"/>
      <c r="G71" s="2399">
        <v>0.82</v>
      </c>
      <c r="H71" s="2399"/>
      <c r="I71" s="2397"/>
      <c r="J71" s="2398"/>
      <c r="K71" s="2067"/>
      <c r="L71" s="2067"/>
      <c r="M71" s="2067"/>
      <c r="N71" s="2067"/>
      <c r="O71" s="2067"/>
      <c r="P71" s="2067"/>
      <c r="Q71" s="2067"/>
      <c r="R71" s="2067"/>
    </row>
    <row r="72" spans="1:18" ht="12.75" customHeight="1">
      <c r="A72" s="2413" t="s">
        <v>2177</v>
      </c>
      <c r="B72" s="667"/>
      <c r="C72" s="2397" t="s">
        <v>2151</v>
      </c>
      <c r="D72" s="2397"/>
      <c r="E72" s="2397"/>
      <c r="F72" s="2398"/>
      <c r="G72" s="2399">
        <v>0.94</v>
      </c>
      <c r="H72" s="2399"/>
      <c r="I72" s="2397"/>
      <c r="J72" s="2398"/>
      <c r="K72" s="2067"/>
      <c r="L72" s="2067"/>
      <c r="M72" s="2067"/>
      <c r="N72" s="2067"/>
      <c r="O72" s="2067"/>
      <c r="P72" s="2067"/>
      <c r="Q72" s="2067"/>
      <c r="R72" s="2067"/>
    </row>
    <row r="73" spans="1:18" ht="12.75" customHeight="1">
      <c r="A73" s="2413" t="s">
        <v>2178</v>
      </c>
      <c r="B73" s="667"/>
      <c r="C73" s="2397" t="s">
        <v>2151</v>
      </c>
      <c r="D73" s="2397"/>
      <c r="E73" s="2397"/>
      <c r="F73" s="2398"/>
      <c r="G73" s="2399">
        <v>1.1200000000000001</v>
      </c>
      <c r="H73" s="2399"/>
      <c r="I73" s="2397"/>
      <c r="J73" s="2398"/>
      <c r="K73" s="2067"/>
      <c r="L73" s="2067"/>
      <c r="M73" s="2067"/>
      <c r="N73" s="2067"/>
      <c r="O73" s="2067"/>
      <c r="P73" s="2067"/>
      <c r="Q73" s="2067"/>
      <c r="R73" s="2067"/>
    </row>
    <row r="74" spans="1:18" ht="12.75" customHeight="1">
      <c r="A74" s="2413" t="s">
        <v>2179</v>
      </c>
      <c r="B74" s="667"/>
      <c r="C74" s="2397" t="s">
        <v>2151</v>
      </c>
      <c r="D74" s="2397"/>
      <c r="E74" s="2397"/>
      <c r="F74" s="2398"/>
      <c r="G74" s="2399"/>
      <c r="H74" s="2399"/>
      <c r="I74" s="2397"/>
      <c r="J74" s="2398"/>
      <c r="K74" s="2067"/>
      <c r="L74" s="2067"/>
      <c r="M74" s="2067"/>
      <c r="N74" s="2067"/>
      <c r="O74" s="2067"/>
      <c r="P74" s="2067"/>
      <c r="Q74" s="2067"/>
      <c r="R74" s="2067"/>
    </row>
    <row r="75" spans="1:18" ht="12.75" customHeight="1">
      <c r="A75" s="2413" t="s">
        <v>2140</v>
      </c>
      <c r="B75" s="667"/>
      <c r="C75" s="2397" t="s">
        <v>2151</v>
      </c>
      <c r="D75" s="2397"/>
      <c r="E75" s="2397"/>
      <c r="F75" s="2398"/>
      <c r="G75" s="2399"/>
      <c r="H75" s="2399"/>
      <c r="I75" s="2397"/>
      <c r="J75" s="2398"/>
      <c r="K75" s="2067"/>
      <c r="L75" s="2067"/>
      <c r="M75" s="2067"/>
      <c r="N75" s="2067"/>
      <c r="O75" s="2067"/>
      <c r="P75" s="2067"/>
      <c r="Q75" s="2067"/>
      <c r="R75" s="2067"/>
    </row>
    <row r="76" spans="1:18" ht="12.75" customHeight="1">
      <c r="A76" s="2413" t="s">
        <v>2180</v>
      </c>
      <c r="B76" s="667"/>
      <c r="C76" s="2397" t="s">
        <v>2151</v>
      </c>
      <c r="D76" s="2397"/>
      <c r="E76" s="2397">
        <v>0.68720000000000003</v>
      </c>
      <c r="F76" s="2398">
        <v>0.8</v>
      </c>
      <c r="G76" s="2399">
        <v>66</v>
      </c>
      <c r="H76" s="2399">
        <v>8</v>
      </c>
      <c r="I76" s="2399">
        <v>8</v>
      </c>
      <c r="J76" s="2399">
        <v>8</v>
      </c>
      <c r="K76" s="2067"/>
      <c r="L76" s="2067"/>
      <c r="M76" s="2067"/>
      <c r="N76" s="2067"/>
      <c r="O76" s="2067"/>
      <c r="P76" s="2067"/>
      <c r="Q76" s="2067"/>
      <c r="R76" s="2067"/>
    </row>
    <row r="77" spans="1:18" ht="12.75" customHeight="1">
      <c r="A77" s="2413" t="s">
        <v>2181</v>
      </c>
      <c r="B77" s="667"/>
      <c r="C77" s="2397" t="s">
        <v>2151</v>
      </c>
      <c r="D77" s="2397"/>
      <c r="E77" s="2397"/>
      <c r="F77" s="2398"/>
      <c r="G77" s="2399">
        <v>0.82</v>
      </c>
      <c r="H77" s="2399"/>
      <c r="I77" s="2397"/>
      <c r="J77" s="2398"/>
      <c r="K77" s="2067"/>
      <c r="L77" s="2067"/>
      <c r="M77" s="2067"/>
      <c r="N77" s="2067"/>
      <c r="O77" s="2067"/>
      <c r="P77" s="2067"/>
      <c r="Q77" s="2067"/>
      <c r="R77" s="2067"/>
    </row>
    <row r="78" spans="1:18" ht="12.75" customHeight="1">
      <c r="A78" s="2413" t="s">
        <v>2182</v>
      </c>
      <c r="B78" s="667"/>
      <c r="C78" s="2397" t="s">
        <v>2151</v>
      </c>
      <c r="D78" s="2397"/>
      <c r="E78" s="2397"/>
      <c r="F78" s="2398"/>
      <c r="G78" s="2399">
        <v>0.94</v>
      </c>
      <c r="H78" s="2399"/>
      <c r="I78" s="2397"/>
      <c r="J78" s="2398"/>
      <c r="K78" s="2067"/>
      <c r="L78" s="2067"/>
      <c r="M78" s="2067"/>
      <c r="N78" s="2067"/>
      <c r="O78" s="2067"/>
      <c r="P78" s="2067"/>
      <c r="Q78" s="2067"/>
      <c r="R78" s="2067"/>
    </row>
    <row r="79" spans="1:18" ht="12.75" customHeight="1">
      <c r="A79" s="2413" t="s">
        <v>2183</v>
      </c>
      <c r="B79" s="667"/>
      <c r="C79" s="2397" t="s">
        <v>2151</v>
      </c>
      <c r="D79" s="2397"/>
      <c r="E79" s="2397"/>
      <c r="F79" s="2398"/>
      <c r="G79" s="2399">
        <v>1.1200000000000001</v>
      </c>
      <c r="H79" s="2399"/>
      <c r="I79" s="2397"/>
      <c r="J79" s="2398"/>
      <c r="K79" s="2067"/>
      <c r="L79" s="2067"/>
      <c r="M79" s="2067"/>
      <c r="N79" s="2067"/>
      <c r="O79" s="2067"/>
      <c r="P79" s="2067"/>
      <c r="Q79" s="2067"/>
      <c r="R79" s="2067"/>
    </row>
    <row r="80" spans="1:18" ht="12.75" customHeight="1">
      <c r="A80" s="2413" t="s">
        <v>2184</v>
      </c>
      <c r="B80" s="667"/>
      <c r="C80" s="2397" t="s">
        <v>2151</v>
      </c>
      <c r="D80" s="2397"/>
      <c r="E80" s="2397"/>
      <c r="F80" s="2398"/>
      <c r="G80" s="2399"/>
      <c r="H80" s="2399"/>
      <c r="I80" s="2397"/>
      <c r="J80" s="2398"/>
      <c r="K80" s="2067"/>
      <c r="L80" s="2067"/>
      <c r="M80" s="2067"/>
      <c r="N80" s="2067"/>
      <c r="O80" s="2067"/>
      <c r="P80" s="2067"/>
      <c r="Q80" s="2067"/>
      <c r="R80" s="2067"/>
    </row>
    <row r="81" spans="1:18" ht="12.75" customHeight="1">
      <c r="A81" s="2413" t="s">
        <v>2140</v>
      </c>
      <c r="B81" s="667"/>
      <c r="C81" s="2397" t="s">
        <v>2151</v>
      </c>
      <c r="D81" s="2397"/>
      <c r="E81" s="2397"/>
      <c r="F81" s="2398"/>
      <c r="G81" s="2399"/>
      <c r="H81" s="2399"/>
      <c r="I81" s="2397"/>
      <c r="J81" s="2398"/>
      <c r="K81" s="2276"/>
      <c r="L81" s="2276"/>
      <c r="M81" s="2276"/>
      <c r="N81" s="2276"/>
      <c r="O81" s="2276"/>
      <c r="P81" s="2276"/>
      <c r="Q81" s="2276"/>
      <c r="R81" s="2276"/>
    </row>
    <row r="82" spans="1:18" ht="5" customHeight="1">
      <c r="A82" s="2401"/>
      <c r="B82" s="667"/>
      <c r="C82" s="667"/>
      <c r="D82" s="2409"/>
      <c r="E82" s="2409"/>
      <c r="F82" s="2410"/>
      <c r="G82" s="2411"/>
      <c r="H82" s="2411"/>
      <c r="I82" s="2409"/>
      <c r="J82" s="2410"/>
      <c r="K82" s="2278"/>
      <c r="L82" s="2278"/>
      <c r="M82" s="2278"/>
      <c r="N82" s="2278"/>
      <c r="O82" s="2278"/>
      <c r="P82" s="2278"/>
      <c r="Q82" s="2278"/>
      <c r="R82" s="2278"/>
    </row>
    <row r="83" spans="1:18" ht="12.75" customHeight="1">
      <c r="A83" s="527" t="s">
        <v>2152</v>
      </c>
      <c r="B83" s="667"/>
      <c r="C83" s="2444"/>
      <c r="D83" s="2409"/>
      <c r="E83" s="2409"/>
      <c r="F83" s="2410"/>
      <c r="G83" s="2411"/>
      <c r="H83" s="2411"/>
      <c r="I83" s="2409"/>
      <c r="J83" s="2410"/>
      <c r="K83" s="2279"/>
      <c r="L83" s="2279"/>
      <c r="M83" s="2279"/>
      <c r="N83" s="2279"/>
      <c r="O83" s="2279"/>
      <c r="P83" s="2279"/>
      <c r="Q83" s="2279"/>
      <c r="R83" s="2279"/>
    </row>
    <row r="84" spans="1:18" ht="12.75" customHeight="1">
      <c r="A84" s="2401" t="s">
        <v>2130</v>
      </c>
      <c r="B84" s="667"/>
      <c r="C84" s="2444"/>
      <c r="D84" s="2409"/>
      <c r="E84" s="2409"/>
      <c r="F84" s="2410"/>
      <c r="G84" s="2411"/>
      <c r="H84" s="2411"/>
      <c r="I84" s="2409"/>
      <c r="J84" s="2410"/>
      <c r="K84" s="2278"/>
      <c r="L84" s="2278"/>
      <c r="M84" s="2278"/>
      <c r="N84" s="2278"/>
      <c r="O84" s="2278"/>
      <c r="P84" s="2278"/>
      <c r="Q84" s="2278"/>
      <c r="R84" s="2278"/>
    </row>
    <row r="85" spans="1:18" ht="12.75" customHeight="1">
      <c r="A85" s="2396" t="s">
        <v>2153</v>
      </c>
      <c r="B85" s="667"/>
      <c r="C85" s="2397"/>
      <c r="D85" s="2397"/>
      <c r="E85" s="2397"/>
      <c r="F85" s="2398"/>
      <c r="G85" s="2399"/>
      <c r="H85" s="2399"/>
      <c r="I85" s="2397"/>
      <c r="J85" s="2398"/>
      <c r="K85" s="2278"/>
      <c r="L85" s="2278"/>
      <c r="M85" s="2278"/>
      <c r="N85" s="2278"/>
      <c r="O85" s="2278"/>
      <c r="P85" s="2278"/>
      <c r="Q85" s="2278"/>
      <c r="R85" s="2278"/>
    </row>
    <row r="86" spans="1:18" ht="12.75" customHeight="1">
      <c r="A86" s="2396" t="s">
        <v>2154</v>
      </c>
      <c r="B86" s="667"/>
      <c r="C86" s="2397"/>
      <c r="D86" s="2397"/>
      <c r="E86" s="2397"/>
      <c r="F86" s="2398"/>
      <c r="G86" s="2399"/>
      <c r="H86" s="2399"/>
      <c r="I86" s="2397"/>
      <c r="J86" s="2398"/>
      <c r="K86" s="2278"/>
      <c r="L86" s="2278"/>
      <c r="M86" s="2278"/>
      <c r="N86" s="2278"/>
      <c r="O86" s="2278"/>
      <c r="P86" s="2278"/>
      <c r="Q86" s="2278"/>
      <c r="R86" s="2278"/>
    </row>
    <row r="87" spans="1:18" ht="12.75" customHeight="1">
      <c r="A87" s="2396" t="s">
        <v>2155</v>
      </c>
      <c r="B87" s="667"/>
      <c r="C87" s="2397"/>
      <c r="D87" s="2397">
        <v>65.540000000000006</v>
      </c>
      <c r="E87" s="2397">
        <v>81.93</v>
      </c>
      <c r="F87" s="2398">
        <v>86.840500000000006</v>
      </c>
      <c r="G87" s="2399">
        <v>91.188100000000006</v>
      </c>
      <c r="H87" s="2399">
        <v>95.749499999999998</v>
      </c>
      <c r="I87" s="2397">
        <v>100.5369</v>
      </c>
      <c r="J87" s="2397">
        <v>105.5638</v>
      </c>
      <c r="K87" s="2278"/>
      <c r="L87" s="2278"/>
      <c r="M87" s="2278"/>
      <c r="N87" s="2278"/>
      <c r="O87" s="2278"/>
      <c r="P87" s="2278"/>
      <c r="Q87" s="2278"/>
      <c r="R87" s="2278"/>
    </row>
    <row r="88" spans="1:18" ht="12.75" customHeight="1">
      <c r="A88" s="2396" t="s">
        <v>2156</v>
      </c>
      <c r="B88" s="667"/>
      <c r="C88" s="2397"/>
      <c r="D88" s="2397"/>
      <c r="E88" s="2397"/>
      <c r="F88" s="2398"/>
      <c r="G88" s="2399"/>
      <c r="H88" s="2399"/>
      <c r="I88" s="2397"/>
      <c r="J88" s="2398"/>
      <c r="K88" s="2278"/>
      <c r="L88" s="2278"/>
      <c r="M88" s="2278"/>
      <c r="N88" s="2278"/>
      <c r="O88" s="2278"/>
      <c r="P88" s="2278"/>
      <c r="Q88" s="2278"/>
      <c r="R88" s="2278"/>
    </row>
    <row r="89" spans="1:18" ht="5" customHeight="1">
      <c r="A89" s="698"/>
      <c r="B89" s="699"/>
      <c r="C89" s="699"/>
      <c r="D89" s="2405"/>
      <c r="E89" s="2405"/>
      <c r="F89" s="2406"/>
      <c r="G89" s="2407"/>
      <c r="H89" s="2407"/>
      <c r="I89" s="2405"/>
      <c r="J89" s="2406"/>
      <c r="K89" s="2278"/>
      <c r="L89" s="2278"/>
      <c r="M89" s="2278"/>
      <c r="N89" s="2278"/>
      <c r="O89" s="2278"/>
      <c r="P89" s="2278"/>
      <c r="Q89" s="2278"/>
      <c r="R89" s="2278"/>
    </row>
    <row r="90" spans="1:18" ht="11.25" customHeight="1">
      <c r="A90" s="1158" t="str">
        <f>head27a</f>
        <v>References</v>
      </c>
      <c r="B90" s="1048"/>
      <c r="C90" s="1048"/>
      <c r="D90" s="708"/>
      <c r="E90" s="708"/>
      <c r="F90" s="708"/>
      <c r="G90" s="1077"/>
      <c r="H90" s="708"/>
      <c r="I90" s="708"/>
      <c r="J90" s="709"/>
      <c r="K90" s="603"/>
      <c r="L90" s="603"/>
      <c r="M90" s="603"/>
      <c r="N90" s="603"/>
      <c r="O90" s="603"/>
      <c r="P90" s="603"/>
      <c r="Q90" s="603"/>
      <c r="R90" s="603"/>
    </row>
    <row r="91" spans="1:18" ht="11.25" customHeight="1">
      <c r="A91" s="1418" t="s">
        <v>2157</v>
      </c>
      <c r="B91" s="1078"/>
      <c r="C91" s="1078"/>
      <c r="D91" s="1079"/>
      <c r="E91" s="1079"/>
      <c r="F91" s="1079"/>
      <c r="G91" s="1079"/>
      <c r="H91" s="1079"/>
      <c r="I91" s="1079"/>
      <c r="J91" s="1079"/>
      <c r="K91" s="2280"/>
      <c r="L91" s="2280"/>
      <c r="M91" s="2280"/>
      <c r="N91" s="2280"/>
      <c r="O91" s="2280"/>
      <c r="P91" s="2280"/>
      <c r="Q91" s="2280"/>
      <c r="R91" s="2280"/>
    </row>
    <row r="92" spans="1:18" ht="11.25" customHeight="1">
      <c r="A92" s="1418"/>
      <c r="B92" s="1078"/>
      <c r="C92" s="1078"/>
      <c r="D92" s="1079"/>
      <c r="E92" s="1079"/>
      <c r="F92" s="1079"/>
      <c r="G92" s="1079"/>
      <c r="H92" s="1079"/>
      <c r="I92" s="1079"/>
      <c r="J92" s="1079"/>
      <c r="K92" s="2280"/>
      <c r="L92" s="2280"/>
      <c r="M92" s="2280"/>
      <c r="N92" s="2280"/>
      <c r="O92" s="2280"/>
      <c r="P92" s="2280"/>
      <c r="Q92" s="2280"/>
      <c r="R92" s="2280"/>
    </row>
    <row r="93" spans="1:18" ht="11.25" customHeight="1">
      <c r="A93" s="2268"/>
      <c r="C93" s="2280"/>
      <c r="D93" s="2280"/>
      <c r="E93" s="2280"/>
      <c r="F93" s="2280"/>
      <c r="G93" s="2280"/>
      <c r="H93" s="2280"/>
      <c r="I93" s="2280"/>
      <c r="J93" s="2280"/>
      <c r="K93" s="2280"/>
      <c r="L93" s="2280"/>
      <c r="M93" s="2280"/>
      <c r="N93" s="2280"/>
      <c r="O93" s="2280"/>
      <c r="P93" s="2280"/>
      <c r="Q93" s="2280"/>
      <c r="R93" s="2280"/>
    </row>
    <row r="94" spans="1:18" ht="11.25" customHeight="1">
      <c r="A94" s="2268"/>
      <c r="C94" s="2280"/>
      <c r="D94" s="2280"/>
      <c r="E94" s="2280"/>
      <c r="F94" s="2280"/>
      <c r="G94" s="2280"/>
      <c r="H94" s="2280"/>
      <c r="I94" s="2280"/>
      <c r="J94" s="2280"/>
      <c r="K94" s="2280"/>
      <c r="L94" s="2280"/>
      <c r="M94" s="2280"/>
      <c r="N94" s="2280"/>
      <c r="O94" s="2280"/>
      <c r="P94" s="2280"/>
      <c r="Q94" s="2280"/>
      <c r="R94" s="2280"/>
    </row>
    <row r="95" spans="1:18" ht="11.25" customHeight="1">
      <c r="A95" s="2268"/>
      <c r="C95" s="2280"/>
      <c r="D95" s="2280"/>
      <c r="E95" s="2280"/>
      <c r="F95" s="2280"/>
      <c r="G95" s="2280"/>
      <c r="H95" s="2280"/>
      <c r="I95" s="2280"/>
      <c r="J95" s="2280"/>
      <c r="K95" s="2280"/>
      <c r="L95" s="2280"/>
      <c r="M95" s="2280"/>
      <c r="N95" s="2280"/>
      <c r="O95" s="2280"/>
      <c r="P95" s="2280"/>
      <c r="Q95" s="2280"/>
      <c r="R95" s="2280"/>
    </row>
    <row r="96" spans="1:18" ht="11.25" customHeight="1">
      <c r="A96" s="2268"/>
      <c r="B96" s="2272"/>
      <c r="C96" s="2280"/>
      <c r="D96" s="2280"/>
      <c r="E96" s="2280"/>
      <c r="F96" s="2280"/>
      <c r="G96" s="2280"/>
      <c r="H96" s="2280"/>
      <c r="I96" s="2280"/>
      <c r="J96" s="2280"/>
      <c r="K96" s="2280"/>
      <c r="L96" s="2280"/>
      <c r="M96" s="2280"/>
      <c r="N96" s="2280"/>
      <c r="O96" s="2280"/>
      <c r="P96" s="2280"/>
      <c r="Q96" s="2280"/>
      <c r="R96" s="2280"/>
    </row>
    <row r="97" spans="1:18" ht="11.25" customHeight="1">
      <c r="A97" s="2273"/>
      <c r="C97" s="2270"/>
      <c r="D97" s="2270"/>
      <c r="E97" s="2270"/>
      <c r="F97" s="2270"/>
      <c r="G97" s="2270"/>
      <c r="H97" s="2270"/>
      <c r="I97" s="2270"/>
      <c r="J97" s="2270"/>
      <c r="K97" s="2270"/>
      <c r="L97" s="2270"/>
      <c r="M97" s="2270"/>
      <c r="N97" s="2270"/>
      <c r="O97" s="2270"/>
      <c r="P97" s="2270"/>
      <c r="Q97" s="2270"/>
      <c r="R97" s="2270"/>
    </row>
    <row r="98" spans="1:18" ht="11.25" customHeight="1">
      <c r="A98" s="2268"/>
      <c r="C98" s="2281"/>
      <c r="D98" s="2281"/>
      <c r="E98" s="2281"/>
      <c r="F98" s="2281"/>
      <c r="G98" s="2281"/>
      <c r="H98" s="2281"/>
      <c r="I98" s="2281"/>
      <c r="J98" s="2281"/>
      <c r="K98" s="2281"/>
      <c r="L98" s="2281"/>
      <c r="M98" s="2281"/>
      <c r="N98" s="2281"/>
      <c r="O98" s="2281"/>
      <c r="P98" s="2281"/>
      <c r="Q98" s="2281"/>
      <c r="R98" s="2281"/>
    </row>
    <row r="99" spans="1:18" ht="11.25" customHeight="1">
      <c r="A99" s="2268"/>
      <c r="C99" s="2281"/>
      <c r="D99" s="2281"/>
      <c r="E99" s="2281"/>
      <c r="F99" s="2281"/>
      <c r="G99" s="2281"/>
      <c r="H99" s="2281"/>
      <c r="I99" s="2281"/>
      <c r="J99" s="2281"/>
      <c r="K99" s="2281"/>
      <c r="L99" s="2281"/>
      <c r="M99" s="2281"/>
      <c r="N99" s="2281"/>
      <c r="O99" s="2281"/>
      <c r="P99" s="2281"/>
      <c r="Q99" s="2281"/>
      <c r="R99" s="2281"/>
    </row>
    <row r="100" spans="1:18" ht="11.25" customHeight="1">
      <c r="A100" s="2268"/>
      <c r="C100" s="2281"/>
      <c r="D100" s="2281"/>
      <c r="E100" s="2281"/>
      <c r="F100" s="2281"/>
      <c r="G100" s="2281"/>
      <c r="H100" s="2281"/>
      <c r="I100" s="2281"/>
      <c r="J100" s="2281"/>
      <c r="K100" s="2281"/>
      <c r="L100" s="2281"/>
      <c r="M100" s="2281"/>
      <c r="N100" s="2281"/>
      <c r="O100" s="2281"/>
      <c r="P100" s="2281"/>
      <c r="Q100" s="2281"/>
      <c r="R100" s="2281"/>
    </row>
    <row r="101" spans="1:18" ht="11.25" customHeight="1">
      <c r="A101" s="2268"/>
      <c r="B101" s="2282"/>
      <c r="C101" s="2283"/>
      <c r="D101" s="2283"/>
      <c r="E101" s="2283"/>
      <c r="F101" s="2283"/>
      <c r="G101" s="2283"/>
      <c r="H101" s="2283"/>
      <c r="I101" s="2283"/>
      <c r="J101" s="2283"/>
      <c r="K101" s="2283"/>
      <c r="L101" s="2283"/>
      <c r="M101" s="2283"/>
      <c r="N101" s="2283"/>
      <c r="O101" s="2283"/>
      <c r="P101" s="2283"/>
      <c r="Q101" s="2283"/>
      <c r="R101" s="2283"/>
    </row>
    <row r="102" spans="1:18" ht="11.25" customHeight="1">
      <c r="A102" s="2275"/>
      <c r="B102" s="2282"/>
      <c r="C102" s="2271"/>
      <c r="D102" s="2271"/>
      <c r="E102" s="2271"/>
      <c r="F102" s="2271"/>
      <c r="G102" s="2271"/>
      <c r="H102" s="2271"/>
      <c r="I102" s="2271"/>
      <c r="J102" s="2271"/>
      <c r="K102" s="2271"/>
      <c r="L102" s="2271"/>
      <c r="M102" s="2271"/>
      <c r="N102" s="2271"/>
      <c r="O102" s="2271"/>
      <c r="P102" s="2271"/>
      <c r="Q102" s="2271"/>
      <c r="R102" s="2271"/>
    </row>
    <row r="103" spans="1:18" ht="11.25" customHeight="1">
      <c r="A103" s="2268"/>
      <c r="B103" s="2272"/>
      <c r="C103" s="2284"/>
      <c r="D103" s="2284"/>
      <c r="E103" s="2284"/>
      <c r="F103" s="2284"/>
      <c r="G103" s="2284"/>
      <c r="H103" s="2284"/>
      <c r="I103" s="2284"/>
      <c r="J103" s="2284"/>
      <c r="K103" s="2284"/>
      <c r="L103" s="2284"/>
      <c r="M103" s="2284"/>
      <c r="N103" s="2284"/>
      <c r="O103" s="2284"/>
      <c r="P103" s="2284"/>
      <c r="Q103" s="2284"/>
      <c r="R103" s="2284"/>
    </row>
    <row r="104" spans="1:18" ht="11.25" customHeight="1">
      <c r="A104" s="2268"/>
      <c r="B104" s="2272"/>
      <c r="C104" s="1333"/>
      <c r="D104" s="1333"/>
      <c r="E104" s="1333"/>
      <c r="F104" s="1333"/>
      <c r="G104" s="1333"/>
      <c r="H104" s="1333"/>
      <c r="I104" s="1333"/>
      <c r="J104" s="1333"/>
      <c r="K104" s="1333"/>
      <c r="L104" s="1333"/>
      <c r="M104" s="1333"/>
      <c r="N104" s="1333"/>
      <c r="O104" s="1333"/>
      <c r="P104" s="1333"/>
      <c r="Q104" s="1333"/>
      <c r="R104" s="1333"/>
    </row>
    <row r="105" spans="1:18" ht="11.25" customHeight="1">
      <c r="A105" s="2268"/>
      <c r="B105" s="2272"/>
      <c r="C105" s="1333"/>
      <c r="D105" s="1333"/>
      <c r="E105" s="1333"/>
      <c r="F105" s="1333"/>
      <c r="G105" s="1333"/>
      <c r="H105" s="1333"/>
      <c r="I105" s="1333"/>
      <c r="J105" s="1333"/>
      <c r="K105" s="1333"/>
      <c r="L105" s="1333"/>
      <c r="M105" s="1333"/>
      <c r="N105" s="1333"/>
      <c r="O105" s="1333"/>
      <c r="P105" s="1333"/>
      <c r="Q105" s="1333"/>
      <c r="R105" s="1333"/>
    </row>
    <row r="106" spans="1:18" ht="11.25" customHeight="1">
      <c r="A106" s="2268"/>
      <c r="B106" s="2272"/>
      <c r="C106" s="2285"/>
      <c r="D106" s="2285"/>
      <c r="E106" s="2285"/>
      <c r="F106" s="2285"/>
      <c r="G106" s="2285"/>
      <c r="H106" s="2285"/>
      <c r="I106" s="2285"/>
      <c r="J106" s="2285"/>
      <c r="K106" s="2285"/>
      <c r="L106" s="2285"/>
      <c r="M106" s="2285"/>
      <c r="N106" s="2285"/>
      <c r="O106" s="2285"/>
      <c r="P106" s="2285"/>
      <c r="Q106" s="2285"/>
      <c r="R106" s="2285"/>
    </row>
    <row r="107" spans="1:18" ht="11.25" customHeight="1">
      <c r="A107" s="2268"/>
      <c r="B107" s="2272"/>
      <c r="C107" s="2286"/>
      <c r="D107" s="2286"/>
      <c r="E107" s="2286"/>
      <c r="F107" s="2286"/>
      <c r="G107" s="2286"/>
      <c r="H107" s="2286"/>
      <c r="I107" s="2286"/>
      <c r="J107" s="2286"/>
      <c r="K107" s="2286"/>
      <c r="L107" s="2286"/>
      <c r="M107" s="2286"/>
      <c r="N107" s="2286"/>
      <c r="O107" s="2286"/>
      <c r="P107" s="2286"/>
      <c r="Q107" s="2286"/>
      <c r="R107" s="2286"/>
    </row>
    <row r="108" spans="1:18" ht="11.25" customHeight="1">
      <c r="A108" s="2268"/>
      <c r="B108" s="2272"/>
      <c r="C108" s="2286"/>
      <c r="D108" s="2286"/>
      <c r="E108" s="2286"/>
      <c r="F108" s="2286"/>
      <c r="G108" s="2286"/>
      <c r="H108" s="2286"/>
      <c r="I108" s="2286"/>
      <c r="J108" s="2286"/>
      <c r="K108" s="2286"/>
      <c r="L108" s="2286"/>
      <c r="M108" s="2286"/>
      <c r="N108" s="2286"/>
      <c r="O108" s="2286"/>
      <c r="P108" s="2286"/>
      <c r="Q108" s="2286"/>
      <c r="R108" s="2286"/>
    </row>
    <row r="109" spans="1:18" ht="11.25" customHeight="1">
      <c r="A109" s="2268"/>
      <c r="B109" s="2272"/>
      <c r="C109" s="2286"/>
      <c r="D109" s="2286"/>
      <c r="E109" s="2286"/>
      <c r="F109" s="2286"/>
      <c r="G109" s="2286"/>
      <c r="H109" s="2286"/>
      <c r="I109" s="2286"/>
      <c r="J109" s="2286"/>
      <c r="K109" s="2286"/>
      <c r="L109" s="2286"/>
      <c r="M109" s="2286"/>
      <c r="N109" s="2286"/>
      <c r="O109" s="2286"/>
      <c r="P109" s="2286"/>
      <c r="Q109" s="2286"/>
      <c r="R109" s="2286"/>
    </row>
    <row r="110" spans="1:18" ht="11.25" customHeight="1">
      <c r="A110" s="2268"/>
      <c r="B110" s="2272"/>
      <c r="C110" s="2286"/>
      <c r="D110" s="2286"/>
      <c r="E110" s="2286"/>
      <c r="F110" s="2286"/>
      <c r="G110" s="2286"/>
      <c r="H110" s="2286"/>
      <c r="I110" s="2286"/>
      <c r="J110" s="2286"/>
      <c r="K110" s="2286"/>
      <c r="L110" s="2286"/>
      <c r="M110" s="2286"/>
      <c r="N110" s="2286"/>
      <c r="O110" s="2286"/>
      <c r="P110" s="2286"/>
      <c r="Q110" s="2286"/>
      <c r="R110" s="2286"/>
    </row>
    <row r="111" spans="1:18" ht="11.25" customHeight="1">
      <c r="A111" s="2268"/>
      <c r="B111" s="2272"/>
      <c r="C111" s="2286"/>
      <c r="D111" s="2286"/>
      <c r="E111" s="2286"/>
      <c r="F111" s="2286"/>
      <c r="G111" s="2286"/>
      <c r="H111" s="2286"/>
      <c r="I111" s="2286"/>
      <c r="J111" s="2286"/>
      <c r="K111" s="2286"/>
      <c r="L111" s="2286"/>
      <c r="M111" s="2286"/>
      <c r="N111" s="2286"/>
      <c r="O111" s="2286"/>
      <c r="P111" s="2286"/>
      <c r="Q111" s="2286"/>
      <c r="R111" s="2286"/>
    </row>
    <row r="112" spans="1:18" ht="11.25" customHeight="1">
      <c r="A112" s="2268"/>
      <c r="B112" s="2272"/>
      <c r="C112" s="2286"/>
      <c r="D112" s="2286"/>
      <c r="E112" s="2286"/>
      <c r="F112" s="2286"/>
      <c r="G112" s="2286"/>
      <c r="H112" s="2286"/>
      <c r="I112" s="2286"/>
      <c r="J112" s="2286"/>
      <c r="K112" s="2286"/>
      <c r="L112" s="2286"/>
      <c r="M112" s="2286"/>
      <c r="N112" s="2286"/>
      <c r="O112" s="2286"/>
      <c r="P112" s="2286"/>
      <c r="Q112" s="2286"/>
      <c r="R112" s="2286"/>
    </row>
    <row r="113" spans="1:18" ht="11.25" customHeight="1">
      <c r="A113" s="2273"/>
      <c r="B113" s="2272"/>
      <c r="C113" s="261"/>
      <c r="D113" s="261"/>
      <c r="E113" s="261"/>
      <c r="F113" s="261"/>
      <c r="G113" s="261"/>
      <c r="H113" s="261"/>
      <c r="I113" s="261"/>
      <c r="J113" s="261"/>
      <c r="K113" s="261"/>
      <c r="L113" s="261"/>
      <c r="M113" s="261"/>
      <c r="N113" s="261"/>
      <c r="O113" s="261"/>
      <c r="P113" s="261"/>
      <c r="Q113" s="261"/>
      <c r="R113" s="261"/>
    </row>
    <row r="114" spans="1:18" ht="5" customHeight="1">
      <c r="A114" s="2274"/>
      <c r="C114" s="363"/>
      <c r="D114" s="363"/>
      <c r="E114" s="363"/>
      <c r="F114" s="363"/>
      <c r="G114" s="363"/>
      <c r="H114" s="363"/>
      <c r="I114" s="363"/>
      <c r="J114" s="363"/>
      <c r="K114" s="363"/>
      <c r="L114" s="363"/>
      <c r="M114" s="363"/>
      <c r="N114" s="363"/>
      <c r="O114" s="363"/>
      <c r="P114" s="363"/>
      <c r="Q114" s="363"/>
      <c r="R114" s="363"/>
    </row>
    <row r="115" spans="1:18" s="1063" customFormat="1">
      <c r="A115" s="2287"/>
      <c r="B115" s="2278"/>
      <c r="C115" s="1040"/>
      <c r="D115" s="1040"/>
      <c r="E115" s="1040"/>
      <c r="F115" s="1040"/>
      <c r="G115" s="1040"/>
      <c r="H115" s="1040"/>
      <c r="I115" s="1040"/>
      <c r="J115" s="1040"/>
      <c r="K115" s="1040"/>
      <c r="L115" s="1040"/>
      <c r="M115" s="1040"/>
      <c r="N115" s="1040"/>
      <c r="O115" s="1040"/>
      <c r="P115" s="1040"/>
      <c r="Q115" s="1040"/>
      <c r="R115" s="1040"/>
    </row>
    <row r="116" spans="1:18" s="1063" customFormat="1">
      <c r="A116" s="2288"/>
      <c r="B116" s="2278"/>
      <c r="C116" s="1040"/>
      <c r="D116" s="1040"/>
      <c r="E116" s="1040"/>
      <c r="F116" s="1040"/>
      <c r="G116" s="1040"/>
      <c r="H116" s="1040"/>
      <c r="I116" s="1040"/>
      <c r="J116" s="1040"/>
      <c r="K116" s="1040"/>
      <c r="L116" s="1040"/>
      <c r="M116" s="1040"/>
      <c r="N116" s="1040"/>
      <c r="O116" s="1040"/>
      <c r="P116" s="1040"/>
      <c r="Q116" s="1040"/>
      <c r="R116" s="1040"/>
    </row>
    <row r="117" spans="1:18" s="1063" customFormat="1">
      <c r="A117" s="2288"/>
      <c r="B117" s="2278"/>
      <c r="C117" s="1040"/>
      <c r="D117" s="1040"/>
      <c r="E117" s="1040"/>
      <c r="F117" s="1040"/>
      <c r="G117" s="1040"/>
      <c r="H117" s="1040"/>
      <c r="I117" s="1040"/>
      <c r="J117" s="1040"/>
      <c r="K117" s="1040"/>
      <c r="L117" s="1040"/>
      <c r="M117" s="1040"/>
      <c r="N117" s="1040"/>
      <c r="O117" s="1040"/>
      <c r="P117" s="1040"/>
      <c r="Q117" s="1040"/>
      <c r="R117" s="1040"/>
    </row>
    <row r="118" spans="1:18" s="1063" customFormat="1">
      <c r="A118" s="1516"/>
      <c r="B118" s="2278"/>
      <c r="C118" s="1040"/>
      <c r="D118" s="1040"/>
      <c r="E118" s="1040"/>
      <c r="F118" s="1040"/>
      <c r="G118" s="1040"/>
      <c r="H118" s="1040"/>
      <c r="I118" s="1040"/>
      <c r="J118" s="1040"/>
      <c r="K118" s="1040"/>
      <c r="L118" s="1040"/>
      <c r="M118" s="1040"/>
      <c r="N118" s="1040"/>
      <c r="O118" s="1040"/>
      <c r="P118" s="1040"/>
      <c r="Q118" s="1040"/>
      <c r="R118" s="1040"/>
    </row>
    <row r="119" spans="1:18" s="1063" customFormat="1">
      <c r="A119" s="2288"/>
      <c r="B119" s="2278"/>
      <c r="C119" s="1040"/>
      <c r="D119" s="1040"/>
      <c r="E119" s="1040"/>
      <c r="F119" s="1040"/>
      <c r="G119" s="1040"/>
      <c r="H119" s="1040"/>
      <c r="I119" s="1040"/>
      <c r="J119" s="1040"/>
      <c r="K119" s="1040"/>
      <c r="L119" s="1040"/>
      <c r="M119" s="1040"/>
      <c r="N119" s="1040"/>
      <c r="O119" s="1040"/>
      <c r="P119" s="1040"/>
      <c r="Q119" s="1040"/>
      <c r="R119" s="1040"/>
    </row>
    <row r="120" spans="1:18">
      <c r="A120" s="1159"/>
      <c r="C120" s="237"/>
      <c r="D120" s="237"/>
      <c r="E120" s="237"/>
      <c r="F120" s="237"/>
      <c r="G120" s="238"/>
      <c r="H120" s="238"/>
      <c r="I120" s="238"/>
      <c r="J120" s="238"/>
      <c r="K120" s="238"/>
      <c r="L120" s="238"/>
      <c r="M120" s="238"/>
      <c r="N120" s="238"/>
      <c r="O120" s="238"/>
      <c r="P120" s="238"/>
      <c r="Q120" s="238"/>
      <c r="R120" s="238"/>
    </row>
    <row r="121" spans="1:18">
      <c r="A121" s="1159"/>
      <c r="C121" s="237"/>
      <c r="D121" s="237"/>
      <c r="E121" s="237"/>
      <c r="F121" s="237"/>
      <c r="G121" s="238"/>
      <c r="H121" s="238"/>
      <c r="I121" s="238"/>
      <c r="J121" s="238"/>
      <c r="K121" s="238"/>
      <c r="L121" s="238"/>
      <c r="M121" s="238"/>
      <c r="N121" s="238"/>
      <c r="O121" s="238"/>
      <c r="P121" s="238"/>
      <c r="Q121" s="238"/>
      <c r="R121" s="238"/>
    </row>
    <row r="122" spans="1:18" ht="11.25" customHeight="1"/>
    <row r="123" spans="1:18" ht="11.25" customHeight="1">
      <c r="B123" s="2274"/>
    </row>
    <row r="124" spans="1:18" ht="11.25" customHeight="1">
      <c r="B124" s="2274"/>
    </row>
    <row r="125" spans="1:18" ht="11.25" customHeight="1">
      <c r="B125" s="2274"/>
    </row>
    <row r="126" spans="1:18" ht="11.25" customHeight="1"/>
    <row r="127" spans="1:18" ht="11.25" customHeight="1"/>
    <row r="128" spans="1:1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sheetData>
  <sheetProtection sheet="1" objects="1" scenarios="1"/>
  <mergeCells count="7">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2:R83 C82:C83 K17:R17">
      <formula1>List2</formula1>
    </dataValidation>
    <dataValidation type="list" allowBlank="1" showInputMessage="1" showErrorMessage="1" promptTitle="Select" prompt="Select one" sqref="K84:R84 C84 K19:R19">
      <formula1>List4</formula1>
    </dataValidation>
    <dataValidation type="list" allowBlank="1" showInputMessage="1" showErrorMessage="1" promptTitle="Select" prompt="Select one" sqref="K85:R85 K20:R20">
      <formula1>List5</formula1>
    </dataValidation>
    <dataValidation type="list" showInputMessage="1" showErrorMessage="1" promptTitle="Guidance" prompt="Select Yes or No" sqref="K87:R88 K22:R23">
      <formula1>List6</formula1>
    </dataValidation>
    <dataValidation type="list" showInputMessage="1" showErrorMessage="1" promptTitle="Guidance" prompt="Select Uniform or Variable" sqref="K89:R89 K24:R24">
      <formula1>List7</formula1>
    </dataValidation>
  </dataValidations>
  <printOptions horizontalCentered="1"/>
  <pageMargins left="0" right="0" top="0.23" bottom="0.24" header="0.21" footer="0.23622047244094499"/>
  <headerFooter alignWithMargins="0"/>
  <rowBreaks count="1" manualBreakCount="1">
    <brk id="92" max="17" man="1"/>
  </rowBreaks>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2"/>
    <pageSetUpPr fitToPage="1"/>
  </sheetPr>
  <dimension ref="A1:AN118"/>
  <sheetViews>
    <sheetView showGridLines="0" workbookViewId="0">
      <pane xSplit="2" ySplit="4" topLeftCell="C14" activePane="bottomRight" state="frozen"/>
      <selection pane="topRight"/>
      <selection pane="bottomLeft"/>
      <selection pane="bottomRight" activeCell="A52" sqref="A52"/>
    </sheetView>
  </sheetViews>
  <sheetFormatPr baseColWidth="10" defaultColWidth="8.83203125" defaultRowHeight="10" x14ac:dyDescent="0"/>
  <cols>
    <col min="1" max="1" width="30.6640625" style="149" customWidth="1"/>
    <col min="2" max="2" width="3" style="247" customWidth="1"/>
    <col min="3" max="5" width="9.33203125" style="149" customWidth="1"/>
    <col min="6" max="6" width="9.33203125" style="149" hidden="1" customWidth="1"/>
    <col min="7" max="7" width="9.33203125" style="149" customWidth="1"/>
    <col min="8" max="8" width="9.33203125" style="149" hidden="1" customWidth="1"/>
    <col min="9" max="12" width="9.33203125" style="149" customWidth="1"/>
    <col min="13" max="16384" width="8.83203125" style="149"/>
  </cols>
  <sheetData>
    <row r="1" spans="1:12" ht="12">
      <c r="A1" s="147" t="str">
        <f>muni&amp;" - "&amp;TableA14</f>
        <v>NW373 Rustenburg - Supporting Table SA14 Household bills</v>
      </c>
      <c r="B1" s="147"/>
      <c r="C1" s="147"/>
      <c r="D1" s="147"/>
      <c r="E1" s="147"/>
      <c r="F1" s="147"/>
      <c r="G1" s="147"/>
      <c r="H1" s="147"/>
      <c r="I1" s="147"/>
      <c r="J1" s="147"/>
      <c r="K1" s="147"/>
      <c r="L1" s="147"/>
    </row>
    <row r="2" spans="1:12" ht="27" customHeight="1">
      <c r="A2" s="2789" t="str">
        <f>desc</f>
        <v>Description</v>
      </c>
      <c r="B2" s="2791" t="str">
        <f>head27</f>
        <v>Ref</v>
      </c>
      <c r="C2" s="150" t="str">
        <f>head1b</f>
        <v>2009/10</v>
      </c>
      <c r="D2" s="150" t="str">
        <f>head1A</f>
        <v>2010/11</v>
      </c>
      <c r="E2" s="146" t="str">
        <f>Head1</f>
        <v>2011/12</v>
      </c>
      <c r="F2" s="2762" t="str">
        <f>Head2</f>
        <v>Current Year 2012/13</v>
      </c>
      <c r="G2" s="2763"/>
      <c r="H2" s="2764"/>
      <c r="I2" s="655" t="str">
        <f>Head3</f>
        <v>2013/14 Medium Term Revenue &amp; Expenditure Framework</v>
      </c>
      <c r="J2" s="656"/>
      <c r="K2" s="657"/>
      <c r="L2" s="658"/>
    </row>
    <row r="3" spans="1:12" ht="20">
      <c r="A3" s="2790"/>
      <c r="B3" s="2792"/>
      <c r="C3" s="152" t="str">
        <f>Head5</f>
        <v>Audited Outcome</v>
      </c>
      <c r="D3" s="152" t="str">
        <f>Head5</f>
        <v>Audited Outcome</v>
      </c>
      <c r="E3" s="153" t="str">
        <f>Head5</f>
        <v>Audited Outcome</v>
      </c>
      <c r="F3" s="151" t="str">
        <f>Head6</f>
        <v>Original Budget</v>
      </c>
      <c r="G3" s="152" t="str">
        <f>Head7</f>
        <v>Adjusted Budget</v>
      </c>
      <c r="H3" s="154" t="str">
        <f>Head8</f>
        <v>Full Year Forecast</v>
      </c>
      <c r="I3" s="659" t="str">
        <f>Head9</f>
        <v>Budget Year 2013/14</v>
      </c>
      <c r="J3" s="154" t="str">
        <f>Head9</f>
        <v>Budget Year 2013/14</v>
      </c>
      <c r="K3" s="660" t="str">
        <f>Head10</f>
        <v>Budget Year +1 2014/15</v>
      </c>
      <c r="L3" s="153" t="str">
        <f>Head11</f>
        <v>Budget Year +2 2015/16</v>
      </c>
    </row>
    <row r="4" spans="1:12">
      <c r="A4" s="180" t="s">
        <v>1292</v>
      </c>
      <c r="B4" s="2797"/>
      <c r="C4" s="138"/>
      <c r="D4" s="138"/>
      <c r="E4" s="156"/>
      <c r="F4" s="155"/>
      <c r="G4" s="138"/>
      <c r="H4" s="157"/>
      <c r="I4" s="140" t="s">
        <v>827</v>
      </c>
      <c r="J4" s="157"/>
      <c r="K4" s="138"/>
      <c r="L4" s="156"/>
    </row>
    <row r="5" spans="1:12">
      <c r="A5" s="527" t="s">
        <v>2199</v>
      </c>
      <c r="B5" s="661">
        <v>1</v>
      </c>
      <c r="C5" s="662"/>
      <c r="D5" s="662"/>
      <c r="E5" s="663"/>
      <c r="F5" s="664"/>
      <c r="G5" s="662"/>
      <c r="H5" s="665"/>
      <c r="I5" s="666"/>
      <c r="J5" s="665"/>
      <c r="K5" s="662"/>
      <c r="L5" s="663"/>
    </row>
    <row r="6" spans="1:12">
      <c r="A6" s="297" t="s">
        <v>798</v>
      </c>
      <c r="B6" s="667"/>
      <c r="C6" s="668"/>
      <c r="D6" s="668"/>
      <c r="E6" s="669"/>
      <c r="F6" s="670"/>
      <c r="G6" s="668"/>
      <c r="H6" s="671"/>
      <c r="I6" s="672"/>
      <c r="J6" s="671"/>
      <c r="K6" s="668"/>
      <c r="L6" s="669"/>
    </row>
    <row r="7" spans="1:12">
      <c r="A7" s="304" t="s">
        <v>542</v>
      </c>
      <c r="B7" s="667"/>
      <c r="C7" s="1894">
        <v>124.67</v>
      </c>
      <c r="D7" s="1895">
        <v>136</v>
      </c>
      <c r="E7" s="1896">
        <v>144.5</v>
      </c>
      <c r="F7" s="1897">
        <v>0</v>
      </c>
      <c r="G7" s="1896">
        <v>144.5</v>
      </c>
      <c r="H7" s="1896">
        <v>0</v>
      </c>
      <c r="I7" s="1898">
        <v>0.02</v>
      </c>
      <c r="J7" s="1894">
        <v>147.33000000000001</v>
      </c>
      <c r="K7" s="1895">
        <v>150.16999999999999</v>
      </c>
      <c r="L7" s="1895">
        <v>158.66999999999999</v>
      </c>
    </row>
    <row r="8" spans="1:12">
      <c r="A8" s="304" t="s">
        <v>1563</v>
      </c>
      <c r="B8" s="667"/>
      <c r="C8" s="1894">
        <v>144.29</v>
      </c>
      <c r="D8" s="1895">
        <v>171.71</v>
      </c>
      <c r="E8" s="1896">
        <v>200.32</v>
      </c>
      <c r="F8" s="1897">
        <v>0</v>
      </c>
      <c r="G8" s="1896">
        <v>222.42</v>
      </c>
      <c r="H8" s="1896">
        <v>0</v>
      </c>
      <c r="I8" s="1898">
        <v>5.8000000000000003E-2</v>
      </c>
      <c r="J8" s="1897">
        <v>235.32</v>
      </c>
      <c r="K8" s="1894">
        <v>248.97</v>
      </c>
      <c r="L8" s="1894">
        <v>268.41000000000003</v>
      </c>
    </row>
    <row r="9" spans="1:12">
      <c r="A9" s="304" t="s">
        <v>1564</v>
      </c>
      <c r="B9" s="667"/>
      <c r="C9" s="1894">
        <v>202.13</v>
      </c>
      <c r="D9" s="1895">
        <v>240.52</v>
      </c>
      <c r="E9" s="1896">
        <v>280</v>
      </c>
      <c r="F9" s="1897">
        <v>0</v>
      </c>
      <c r="G9" s="1897">
        <v>278.18</v>
      </c>
      <c r="H9" s="1897">
        <v>0</v>
      </c>
      <c r="I9" s="1898">
        <v>5.8000000000000003E-2</v>
      </c>
      <c r="J9" s="1894">
        <v>303.64999999999998</v>
      </c>
      <c r="K9" s="1895">
        <v>321.26</v>
      </c>
      <c r="L9" s="1895">
        <v>339.9</v>
      </c>
    </row>
    <row r="10" spans="1:12">
      <c r="A10" s="304" t="s">
        <v>1565</v>
      </c>
      <c r="B10" s="667"/>
      <c r="C10" s="1894">
        <v>36.28</v>
      </c>
      <c r="D10" s="1895">
        <v>42.81</v>
      </c>
      <c r="E10" s="1896">
        <v>45.38</v>
      </c>
      <c r="F10" s="1897">
        <v>0</v>
      </c>
      <c r="G10" s="1897">
        <v>47.64</v>
      </c>
      <c r="H10" s="1897">
        <v>0</v>
      </c>
      <c r="I10" s="1898">
        <v>0.05</v>
      </c>
      <c r="J10" s="1894">
        <v>50.02</v>
      </c>
      <c r="K10" s="1895">
        <v>52.53</v>
      </c>
      <c r="L10" s="1895">
        <v>55.15</v>
      </c>
    </row>
    <row r="11" spans="1:12">
      <c r="A11" s="304" t="s">
        <v>824</v>
      </c>
      <c r="B11" s="667"/>
      <c r="C11" s="1894">
        <v>166.51</v>
      </c>
      <c r="D11" s="1895">
        <v>196.49</v>
      </c>
      <c r="E11" s="1896">
        <v>239.82</v>
      </c>
      <c r="F11" s="1897">
        <v>0</v>
      </c>
      <c r="G11" s="1897">
        <v>239.82</v>
      </c>
      <c r="H11" s="1897">
        <v>0</v>
      </c>
      <c r="I11" s="1898">
        <v>0.05</v>
      </c>
      <c r="J11" s="1894">
        <v>251.78</v>
      </c>
      <c r="K11" s="1895">
        <v>264.39</v>
      </c>
      <c r="L11" s="1895">
        <v>277.68</v>
      </c>
    </row>
    <row r="12" spans="1:12">
      <c r="A12" s="304" t="s">
        <v>957</v>
      </c>
      <c r="B12" s="667"/>
      <c r="C12" s="1894">
        <v>66.67</v>
      </c>
      <c r="D12" s="1895">
        <v>83.34</v>
      </c>
      <c r="E12" s="1896">
        <v>94.17</v>
      </c>
      <c r="F12" s="1897">
        <v>0</v>
      </c>
      <c r="G12" s="1897">
        <v>94.17</v>
      </c>
      <c r="H12" s="1897">
        <v>0</v>
      </c>
      <c r="I12" s="1898">
        <v>0.05</v>
      </c>
      <c r="J12" s="1894">
        <v>98.88</v>
      </c>
      <c r="K12" s="1895">
        <v>103.82</v>
      </c>
      <c r="L12" s="1895">
        <v>109.01</v>
      </c>
    </row>
    <row r="13" spans="1:12">
      <c r="A13" s="304" t="s">
        <v>668</v>
      </c>
      <c r="B13" s="667"/>
      <c r="C13" s="1894">
        <v>65.540000000000006</v>
      </c>
      <c r="D13" s="1895">
        <v>81.93</v>
      </c>
      <c r="E13" s="1896">
        <v>86.85</v>
      </c>
      <c r="F13" s="1897">
        <v>0</v>
      </c>
      <c r="G13" s="1897">
        <v>91.192499999999995</v>
      </c>
      <c r="H13" s="1897">
        <v>0</v>
      </c>
      <c r="I13" s="1898">
        <v>0.05</v>
      </c>
      <c r="J13" s="1894">
        <v>95.75</v>
      </c>
      <c r="K13" s="1895">
        <v>100.54</v>
      </c>
      <c r="L13" s="1895">
        <v>105.56</v>
      </c>
    </row>
    <row r="14" spans="1:12">
      <c r="A14" s="304" t="s">
        <v>293</v>
      </c>
      <c r="B14" s="667"/>
      <c r="C14" s="1894">
        <v>0</v>
      </c>
      <c r="D14" s="1894">
        <v>0</v>
      </c>
      <c r="E14" s="1895">
        <v>0</v>
      </c>
      <c r="F14" s="1896">
        <v>0</v>
      </c>
      <c r="G14" s="1896">
        <v>0</v>
      </c>
      <c r="H14" s="1896">
        <v>0</v>
      </c>
      <c r="I14" s="1898">
        <v>0</v>
      </c>
      <c r="J14" s="1897">
        <v>0</v>
      </c>
      <c r="K14" s="1894"/>
      <c r="L14" s="1895">
        <v>0</v>
      </c>
    </row>
    <row r="15" spans="1:12">
      <c r="A15" s="673" t="s">
        <v>139</v>
      </c>
      <c r="B15" s="667"/>
      <c r="C15" s="674">
        <f>SUM(C7:C14)</f>
        <v>806.08999999999992</v>
      </c>
      <c r="D15" s="674">
        <f>SUM(D7:D14)</f>
        <v>952.8</v>
      </c>
      <c r="E15" s="675">
        <f>SUM(E7:E14)</f>
        <v>1091.04</v>
      </c>
      <c r="F15" s="676">
        <f>SUM(F7:F14)</f>
        <v>0</v>
      </c>
      <c r="G15" s="674">
        <f t="shared" ref="G15:L15" si="0">SUM(G7:G14)</f>
        <v>1117.9225000000001</v>
      </c>
      <c r="H15" s="677">
        <f t="shared" si="0"/>
        <v>0</v>
      </c>
      <c r="I15" s="678">
        <f>IF(ISERROR(ROUND((J15-F15)/F15,3)),0,(ROUND((J15-F15)/F15,3)))</f>
        <v>0</v>
      </c>
      <c r="J15" s="677">
        <f t="shared" si="0"/>
        <v>1182.73</v>
      </c>
      <c r="K15" s="674">
        <f t="shared" si="0"/>
        <v>1241.6799999999998</v>
      </c>
      <c r="L15" s="675">
        <f t="shared" si="0"/>
        <v>1314.3799999999999</v>
      </c>
    </row>
    <row r="16" spans="1:12">
      <c r="A16" s="304" t="s">
        <v>797</v>
      </c>
      <c r="B16" s="667"/>
      <c r="C16" s="1894">
        <v>95.4</v>
      </c>
      <c r="D16" s="1895">
        <v>114.35</v>
      </c>
      <c r="E16" s="1896">
        <v>132.52000000000001</v>
      </c>
      <c r="F16" s="1897">
        <v>0</v>
      </c>
      <c r="G16" s="1896">
        <v>136.28</v>
      </c>
      <c r="H16" s="1896">
        <v>0</v>
      </c>
      <c r="I16" s="2706">
        <v>5.0000000000000001E-4</v>
      </c>
      <c r="J16" s="1894">
        <v>144.96</v>
      </c>
      <c r="K16" s="1895">
        <v>152.81</v>
      </c>
      <c r="L16" s="1895">
        <v>293.45999999999998</v>
      </c>
    </row>
    <row r="17" spans="1:12">
      <c r="A17" s="297" t="s">
        <v>825</v>
      </c>
      <c r="B17" s="667"/>
      <c r="C17" s="674">
        <f>SUM(C15:C16)</f>
        <v>901.4899999999999</v>
      </c>
      <c r="D17" s="674">
        <f>SUM(D15:D16)</f>
        <v>1067.1499999999999</v>
      </c>
      <c r="E17" s="675">
        <f>SUM(E15:E16)</f>
        <v>1223.56</v>
      </c>
      <c r="F17" s="676">
        <f>SUM(F15:F16)</f>
        <v>0</v>
      </c>
      <c r="G17" s="674">
        <f t="shared" ref="G17:L17" si="1">SUM(G15:G16)</f>
        <v>1254.2025000000001</v>
      </c>
      <c r="H17" s="677">
        <f t="shared" si="1"/>
        <v>0</v>
      </c>
      <c r="I17" s="678">
        <f>IF(ISERROR(ROUND((J17-F17)/F17,3)),0,(ROUND((J17-F17)/F17,3)))</f>
        <v>0</v>
      </c>
      <c r="J17" s="677">
        <f t="shared" si="1"/>
        <v>1327.69</v>
      </c>
      <c r="K17" s="674">
        <f t="shared" si="1"/>
        <v>1394.4899999999998</v>
      </c>
      <c r="L17" s="675">
        <f t="shared" si="1"/>
        <v>1607.84</v>
      </c>
    </row>
    <row r="18" spans="1:12">
      <c r="A18" s="679" t="s">
        <v>134</v>
      </c>
      <c r="B18" s="667"/>
      <c r="C18" s="680"/>
      <c r="D18" s="681">
        <f>IF(ISERROR((D17/C17)-1),0,((D17/C17)-1))</f>
        <v>0.18376243774196044</v>
      </c>
      <c r="E18" s="682">
        <f>IF(ISERROR((E17/D17)-1),0,((E17/D17)-1))</f>
        <v>0.14656796139249417</v>
      </c>
      <c r="F18" s="683">
        <f>IF(ISERROR((F17/E17)-1),0,((F17/E17)-1))</f>
        <v>-1</v>
      </c>
      <c r="G18" s="681">
        <f>IF(ISERROR((G17/F17)-1),0,((G17/F17)-1))</f>
        <v>0</v>
      </c>
      <c r="H18" s="684">
        <f>IF(ISERROR((H17/G17)-1),0,((H17/G17)-1))</f>
        <v>-1</v>
      </c>
      <c r="I18" s="685"/>
      <c r="J18" s="684">
        <f>IF(ISERROR((J17/H17)-1),0,((J17/H17)-1))</f>
        <v>0</v>
      </c>
      <c r="K18" s="681">
        <f>IF(ISERROR((K17/J17)-1),0,((K17/J17)-1))</f>
        <v>5.0312949559008224E-2</v>
      </c>
      <c r="L18" s="682">
        <f>IF(ISERROR((L17/K17)-1),0,((L17/K17)-1))</f>
        <v>0.15299500175691483</v>
      </c>
    </row>
    <row r="19" spans="1:12" ht="5" customHeight="1">
      <c r="A19" s="527"/>
      <c r="B19" s="667"/>
      <c r="C19" s="686"/>
      <c r="D19" s="686"/>
      <c r="E19" s="687"/>
      <c r="F19" s="688"/>
      <c r="G19" s="686"/>
      <c r="H19" s="689"/>
      <c r="I19" s="672"/>
      <c r="J19" s="689"/>
      <c r="K19" s="686"/>
      <c r="L19" s="687"/>
    </row>
    <row r="20" spans="1:12" ht="25.5" customHeight="1">
      <c r="A20" s="690" t="s">
        <v>2200</v>
      </c>
      <c r="B20" s="691">
        <v>2</v>
      </c>
      <c r="C20" s="692"/>
      <c r="D20" s="692"/>
      <c r="E20" s="693"/>
      <c r="F20" s="694"/>
      <c r="G20" s="692"/>
      <c r="H20" s="695"/>
      <c r="I20" s="696"/>
      <c r="J20" s="695"/>
      <c r="K20" s="692"/>
      <c r="L20" s="693"/>
    </row>
    <row r="21" spans="1:12" ht="11.25" customHeight="1">
      <c r="A21" s="297" t="str">
        <f>A6</f>
        <v>Rates and services charges:</v>
      </c>
      <c r="B21" s="667"/>
      <c r="C21" s="668"/>
      <c r="D21" s="668"/>
      <c r="E21" s="669"/>
      <c r="F21" s="670"/>
      <c r="G21" s="668"/>
      <c r="H21" s="671"/>
      <c r="I21" s="672"/>
      <c r="J21" s="671"/>
      <c r="K21" s="668"/>
      <c r="L21" s="669"/>
    </row>
    <row r="22" spans="1:12" ht="11.25" customHeight="1">
      <c r="A22" s="304" t="str">
        <f t="shared" ref="A22:A31" si="2">A7</f>
        <v>Property rates</v>
      </c>
      <c r="B22" s="667"/>
      <c r="C22" s="1894">
        <v>124.67</v>
      </c>
      <c r="D22" s="1895">
        <v>136</v>
      </c>
      <c r="E22" s="1896">
        <v>144.16</v>
      </c>
      <c r="F22" s="1897">
        <v>0</v>
      </c>
      <c r="G22" s="1896">
        <v>59.5</v>
      </c>
      <c r="H22" s="1896">
        <v>0</v>
      </c>
      <c r="I22" s="1898">
        <v>0.02</v>
      </c>
      <c r="J22" s="1894">
        <v>60.67</v>
      </c>
      <c r="K22" s="1895">
        <v>61.9</v>
      </c>
      <c r="L22" s="1895">
        <v>63.14</v>
      </c>
    </row>
    <row r="23" spans="1:12" ht="11.25" customHeight="1">
      <c r="A23" s="304" t="str">
        <f t="shared" si="2"/>
        <v>Electricity: Basic levy</v>
      </c>
      <c r="B23" s="667"/>
      <c r="C23" s="1894">
        <v>144.29</v>
      </c>
      <c r="D23" s="1895">
        <v>171.71</v>
      </c>
      <c r="E23" s="1896">
        <v>200.32</v>
      </c>
      <c r="F23" s="1896">
        <v>0</v>
      </c>
      <c r="G23" s="1896">
        <v>222.42</v>
      </c>
      <c r="H23" s="1896">
        <v>0</v>
      </c>
      <c r="I23" s="1898">
        <v>5.8000000000000003E-2</v>
      </c>
      <c r="J23" s="1897">
        <v>235.32</v>
      </c>
      <c r="K23" s="1894">
        <v>248.97</v>
      </c>
      <c r="L23" s="1894">
        <v>268.41000000000003</v>
      </c>
    </row>
    <row r="24" spans="1:12" ht="11.25" customHeight="1">
      <c r="A24" s="304" t="str">
        <f t="shared" si="2"/>
        <v>Electricity: Consumption</v>
      </c>
      <c r="B24" s="667"/>
      <c r="C24" s="2590">
        <v>28.88</v>
      </c>
      <c r="D24" s="2590">
        <v>34.36</v>
      </c>
      <c r="E24" s="2590">
        <v>40</v>
      </c>
      <c r="F24" s="2590">
        <v>0</v>
      </c>
      <c r="G24" s="2590">
        <v>33</v>
      </c>
      <c r="H24" s="2590">
        <v>0</v>
      </c>
      <c r="I24" s="1898">
        <v>5.8000000000000003E-2</v>
      </c>
      <c r="J24" s="2590">
        <v>34.909999999999997</v>
      </c>
      <c r="K24" s="2590">
        <v>36.94</v>
      </c>
      <c r="L24" s="2590">
        <v>39.08</v>
      </c>
    </row>
    <row r="25" spans="1:12" ht="11.25" customHeight="1">
      <c r="A25" s="304" t="str">
        <f t="shared" si="2"/>
        <v>Water: Basic levy</v>
      </c>
      <c r="B25" s="667"/>
      <c r="C25" s="1894">
        <v>36.28</v>
      </c>
      <c r="D25" s="1895">
        <v>42.81</v>
      </c>
      <c r="E25" s="1896">
        <v>45.38</v>
      </c>
      <c r="F25" s="1897">
        <v>0</v>
      </c>
      <c r="G25" s="1897">
        <v>47.64</v>
      </c>
      <c r="H25" s="1897">
        <v>0</v>
      </c>
      <c r="I25" s="1898">
        <v>0.05</v>
      </c>
      <c r="J25" s="1894">
        <v>50.03</v>
      </c>
      <c r="K25" s="1895">
        <v>52.53</v>
      </c>
      <c r="L25" s="1895">
        <v>55.16</v>
      </c>
    </row>
    <row r="26" spans="1:12" ht="11.25" customHeight="1">
      <c r="A26" s="304" t="str">
        <f t="shared" si="2"/>
        <v>Water: Consumption</v>
      </c>
      <c r="B26" s="667"/>
      <c r="C26" s="1894">
        <v>79.930000000000007</v>
      </c>
      <c r="D26" s="1895">
        <v>94.31</v>
      </c>
      <c r="E26" s="1896">
        <v>106.57</v>
      </c>
      <c r="F26" s="1896">
        <v>0</v>
      </c>
      <c r="G26" s="1896">
        <v>106.56</v>
      </c>
      <c r="H26" s="1896">
        <v>0</v>
      </c>
      <c r="I26" s="1898">
        <v>0.05</v>
      </c>
      <c r="J26" s="1894">
        <v>111.9</v>
      </c>
      <c r="K26" s="1895">
        <v>117.49</v>
      </c>
      <c r="L26" s="1895">
        <v>123.37</v>
      </c>
    </row>
    <row r="27" spans="1:12" ht="11.25" customHeight="1">
      <c r="A27" s="304" t="str">
        <f t="shared" si="2"/>
        <v>Sanitation</v>
      </c>
      <c r="B27" s="667"/>
      <c r="C27" s="1894">
        <v>66.67</v>
      </c>
      <c r="D27" s="1895">
        <v>83.34</v>
      </c>
      <c r="E27" s="1896">
        <v>94.17</v>
      </c>
      <c r="F27" s="1896">
        <v>0</v>
      </c>
      <c r="G27" s="1896">
        <v>94.17</v>
      </c>
      <c r="H27" s="1896">
        <v>0</v>
      </c>
      <c r="I27" s="1898">
        <v>0.05</v>
      </c>
      <c r="J27" s="1894">
        <v>98.88</v>
      </c>
      <c r="K27" s="1895">
        <v>103.82</v>
      </c>
      <c r="L27" s="1895">
        <v>109.01</v>
      </c>
    </row>
    <row r="28" spans="1:12" ht="11.25" customHeight="1">
      <c r="A28" s="304" t="str">
        <f t="shared" si="2"/>
        <v>Refuse removal</v>
      </c>
      <c r="B28" s="667"/>
      <c r="C28" s="1894">
        <v>65.540000000000006</v>
      </c>
      <c r="D28" s="1895">
        <v>81.93</v>
      </c>
      <c r="E28" s="1896">
        <v>86.85</v>
      </c>
      <c r="F28" s="1897">
        <v>0</v>
      </c>
      <c r="G28" s="1897">
        <v>91.19</v>
      </c>
      <c r="H28" s="1897">
        <v>0</v>
      </c>
      <c r="I28" s="1898">
        <v>0.05</v>
      </c>
      <c r="J28" s="1894">
        <v>95.75</v>
      </c>
      <c r="K28" s="1895">
        <v>100.54</v>
      </c>
      <c r="L28" s="1895">
        <v>105.56</v>
      </c>
    </row>
    <row r="29" spans="1:12" ht="11.25" customHeight="1">
      <c r="A29" s="304" t="str">
        <f t="shared" si="2"/>
        <v>Other</v>
      </c>
      <c r="B29" s="667"/>
      <c r="C29" s="1894">
        <v>0</v>
      </c>
      <c r="D29" s="1894">
        <v>0</v>
      </c>
      <c r="E29" s="1895">
        <v>0</v>
      </c>
      <c r="F29" s="1896">
        <v>0</v>
      </c>
      <c r="G29" s="1896">
        <v>0</v>
      </c>
      <c r="H29" s="1896">
        <v>0</v>
      </c>
      <c r="I29" s="1898">
        <v>0</v>
      </c>
      <c r="J29" s="1897"/>
      <c r="K29" s="1894"/>
      <c r="L29" s="1895">
        <v>0</v>
      </c>
    </row>
    <row r="30" spans="1:12" ht="11.25" customHeight="1">
      <c r="A30" s="673" t="str">
        <f t="shared" si="2"/>
        <v>sub-total</v>
      </c>
      <c r="B30" s="697"/>
      <c r="C30" s="674">
        <f t="shared" ref="C30:H30" si="3">SUM(C22:C29)</f>
        <v>546.26</v>
      </c>
      <c r="D30" s="674">
        <f t="shared" si="3"/>
        <v>644.46</v>
      </c>
      <c r="E30" s="675">
        <f t="shared" si="3"/>
        <v>717.45</v>
      </c>
      <c r="F30" s="676">
        <f t="shared" si="3"/>
        <v>0</v>
      </c>
      <c r="G30" s="674">
        <f t="shared" si="3"/>
        <v>654.48</v>
      </c>
      <c r="H30" s="677">
        <f t="shared" si="3"/>
        <v>0</v>
      </c>
      <c r="I30" s="678">
        <f>IF(ISERROR(ROUND((J30-F30)/F30,3)),0,(ROUND((J30-F30)/F30,3)))</f>
        <v>0</v>
      </c>
      <c r="J30" s="677">
        <f>SUM(J22:J29)</f>
        <v>687.45999999999992</v>
      </c>
      <c r="K30" s="674">
        <f>SUM(K22:K29)</f>
        <v>722.19</v>
      </c>
      <c r="L30" s="675">
        <f>SUM(L22:L29)</f>
        <v>763.73</v>
      </c>
    </row>
    <row r="31" spans="1:12" ht="11.25" customHeight="1">
      <c r="A31" s="304" t="str">
        <f t="shared" si="2"/>
        <v>VAT on Services</v>
      </c>
      <c r="B31" s="667"/>
      <c r="C31" s="1894">
        <v>59.02</v>
      </c>
      <c r="D31" s="1895">
        <v>71.180000000000007</v>
      </c>
      <c r="E31" s="1896">
        <v>80.260000000000005</v>
      </c>
      <c r="F31" s="1897">
        <f>+(F23+F24+F25+F26+F27+F28)*14%</f>
        <v>0</v>
      </c>
      <c r="G31" s="1896">
        <v>83.3</v>
      </c>
      <c r="H31" s="1896">
        <v>0</v>
      </c>
      <c r="I31" s="2706">
        <v>5.0000000000000001E-4</v>
      </c>
      <c r="J31" s="1897">
        <v>88.54</v>
      </c>
      <c r="K31" s="1897">
        <v>94.12</v>
      </c>
      <c r="L31" s="1897">
        <v>100.08</v>
      </c>
    </row>
    <row r="32" spans="1:12" ht="11.25" customHeight="1">
      <c r="A32" s="297" t="s">
        <v>826</v>
      </c>
      <c r="B32" s="667"/>
      <c r="C32" s="674">
        <f t="shared" ref="C32:H32" si="4">SUM(C30:C31)</f>
        <v>605.28</v>
      </c>
      <c r="D32" s="674">
        <f t="shared" si="4"/>
        <v>715.6400000000001</v>
      </c>
      <c r="E32" s="675">
        <f t="shared" si="4"/>
        <v>797.71</v>
      </c>
      <c r="F32" s="676">
        <f t="shared" si="4"/>
        <v>0</v>
      </c>
      <c r="G32" s="674">
        <f t="shared" si="4"/>
        <v>737.78</v>
      </c>
      <c r="H32" s="677">
        <f t="shared" si="4"/>
        <v>0</v>
      </c>
      <c r="I32" s="678">
        <f>IF(ISERROR(ROUND((J32-F32)/F32,3)),0,(ROUND((J32-F32)/F32,3)))</f>
        <v>0</v>
      </c>
      <c r="J32" s="677">
        <f>SUM(J30:J31)</f>
        <v>775.99999999999989</v>
      </c>
      <c r="K32" s="674">
        <f>SUM(K30:K31)</f>
        <v>816.31000000000006</v>
      </c>
      <c r="L32" s="675">
        <f>SUM(L30:L31)</f>
        <v>863.81000000000006</v>
      </c>
    </row>
    <row r="33" spans="1:15" ht="11.25" customHeight="1">
      <c r="A33" s="679" t="s">
        <v>134</v>
      </c>
      <c r="B33" s="667"/>
      <c r="C33" s="680"/>
      <c r="D33" s="681">
        <f>IF(ISERROR((D32/C32)-1),0,((D32/C32)-1))</f>
        <v>0.18232883954533463</v>
      </c>
      <c r="E33" s="682">
        <f>IF(ISERROR((E32/D32)-1),0,((E32/D32)-1))</f>
        <v>0.11468056564753226</v>
      </c>
      <c r="F33" s="683">
        <f>IF(ISERROR((F32/E32)-1),0,((F32/E32)-1))</f>
        <v>-1</v>
      </c>
      <c r="G33" s="681">
        <f>IF(ISERROR((G32/F32)-1),0,((G32/F32)-1))</f>
        <v>0</v>
      </c>
      <c r="H33" s="684">
        <f>IF(ISERROR((H32/G32)-1),0,((H32/G32)-1))</f>
        <v>-1</v>
      </c>
      <c r="I33" s="685"/>
      <c r="J33" s="684">
        <f>IF(ISERROR((J32/H32)-1),0,((J32/H32)-1))</f>
        <v>0</v>
      </c>
      <c r="K33" s="681">
        <f>IF(ISERROR((K32/J32)-1),0,((K32/J32)-1))</f>
        <v>5.1945876288659987E-2</v>
      </c>
      <c r="L33" s="682">
        <f>IF(ISERROR((L32/K32)-1),0,((L32/K32)-1))</f>
        <v>5.8188678320735931E-2</v>
      </c>
    </row>
    <row r="34" spans="1:15" ht="4.5" customHeight="1">
      <c r="A34" s="527"/>
      <c r="B34" s="667"/>
      <c r="C34" s="686"/>
      <c r="D34" s="686"/>
      <c r="E34" s="687">
        <f>IF(ISERROR((E33/D33)-1),0,((E33/D33)-1))</f>
        <v>-0.37102344350182825</v>
      </c>
      <c r="F34" s="688">
        <f>IF(ISERROR((F33/E33)-1),0,((F33/E33)-1))</f>
        <v>-9.7198732789082509</v>
      </c>
      <c r="G34" s="686">
        <f>IF(ISERROR((G33/F33)-1),0,((G33/F33)-1))</f>
        <v>-1</v>
      </c>
      <c r="H34" s="689">
        <f>IF(ISERROR((H33/G33)-1),0,((H33/G33)-1))</f>
        <v>0</v>
      </c>
      <c r="I34" s="672"/>
      <c r="J34" s="689"/>
      <c r="K34" s="686"/>
      <c r="L34" s="687"/>
    </row>
    <row r="35" spans="1:15" ht="25.5" customHeight="1">
      <c r="A35" s="690" t="s">
        <v>2198</v>
      </c>
      <c r="B35" s="691">
        <v>3</v>
      </c>
      <c r="C35" s="692"/>
      <c r="D35" s="692"/>
      <c r="E35" s="693"/>
      <c r="F35" s="694"/>
      <c r="G35" s="692"/>
      <c r="H35" s="695"/>
      <c r="I35" s="696"/>
      <c r="J35" s="695"/>
      <c r="K35" s="692"/>
      <c r="L35" s="693"/>
    </row>
    <row r="36" spans="1:15">
      <c r="A36" s="297" t="str">
        <f>A6</f>
        <v>Rates and services charges:</v>
      </c>
      <c r="B36" s="667"/>
      <c r="C36" s="668"/>
      <c r="D36" s="668"/>
      <c r="E36" s="669"/>
      <c r="F36" s="670"/>
      <c r="G36" s="668"/>
      <c r="H36" s="671"/>
      <c r="I36" s="672"/>
      <c r="J36" s="671"/>
      <c r="K36" s="668"/>
      <c r="L36" s="669"/>
    </row>
    <row r="37" spans="1:15">
      <c r="A37" s="304" t="str">
        <f t="shared" ref="A37:A46" si="5">A7</f>
        <v>Property rates</v>
      </c>
      <c r="B37" s="667"/>
      <c r="C37" s="1894">
        <v>124.67</v>
      </c>
      <c r="D37" s="1895">
        <v>136</v>
      </c>
      <c r="E37" s="1896">
        <v>144.16</v>
      </c>
      <c r="F37" s="1897">
        <v>0</v>
      </c>
      <c r="G37" s="1896">
        <v>59.5</v>
      </c>
      <c r="H37" s="1896">
        <v>0</v>
      </c>
      <c r="I37" s="1898">
        <v>0.02</v>
      </c>
      <c r="J37" s="1894">
        <v>60.67</v>
      </c>
      <c r="K37" s="1895">
        <v>61.9</v>
      </c>
      <c r="L37" s="1895">
        <v>63.14</v>
      </c>
      <c r="O37" s="370"/>
    </row>
    <row r="38" spans="1:15">
      <c r="A38" s="304" t="str">
        <f t="shared" si="5"/>
        <v>Electricity: Basic levy</v>
      </c>
      <c r="B38" s="667"/>
      <c r="C38" s="1894">
        <v>144.29</v>
      </c>
      <c r="D38" s="1895">
        <v>171.71</v>
      </c>
      <c r="E38" s="1896">
        <v>200.32</v>
      </c>
      <c r="F38" s="1896">
        <v>0</v>
      </c>
      <c r="G38" s="1896">
        <v>222.42</v>
      </c>
      <c r="H38" s="1896">
        <v>0</v>
      </c>
      <c r="I38" s="1898">
        <v>5.8000000000000003E-2</v>
      </c>
      <c r="J38" s="1897">
        <v>235.32</v>
      </c>
      <c r="K38" s="1894">
        <v>248.97</v>
      </c>
      <c r="L38" s="1894">
        <v>268.41000000000003</v>
      </c>
    </row>
    <row r="39" spans="1:15">
      <c r="A39" s="304" t="str">
        <f t="shared" si="5"/>
        <v>Electricity: Consumption</v>
      </c>
      <c r="B39" s="667"/>
      <c r="C39" s="2590">
        <v>28.88</v>
      </c>
      <c r="D39" s="2590">
        <v>34.36</v>
      </c>
      <c r="E39" s="2590">
        <v>40</v>
      </c>
      <c r="F39" s="2590">
        <v>0</v>
      </c>
      <c r="G39" s="2590">
        <v>33</v>
      </c>
      <c r="H39" s="2590">
        <v>0</v>
      </c>
      <c r="I39" s="1898">
        <v>5.8000000000000003E-2</v>
      </c>
      <c r="J39" s="2590">
        <v>34.909999999999997</v>
      </c>
      <c r="K39" s="2590">
        <v>36.94</v>
      </c>
      <c r="L39" s="2590">
        <v>39.08</v>
      </c>
    </row>
    <row r="40" spans="1:15">
      <c r="A40" s="304" t="str">
        <f t="shared" si="5"/>
        <v>Water: Basic levy</v>
      </c>
      <c r="B40" s="667"/>
      <c r="C40" s="1894">
        <v>36.28</v>
      </c>
      <c r="D40" s="1895">
        <v>42.81</v>
      </c>
      <c r="E40" s="1896">
        <v>45.38</v>
      </c>
      <c r="F40" s="1897">
        <v>0</v>
      </c>
      <c r="G40" s="1897">
        <v>47.64</v>
      </c>
      <c r="H40" s="1897">
        <v>0</v>
      </c>
      <c r="I40" s="1898">
        <v>0.05</v>
      </c>
      <c r="J40" s="1894">
        <v>50.03</v>
      </c>
      <c r="K40" s="1895">
        <v>52.53</v>
      </c>
      <c r="L40" s="1895">
        <v>55.16</v>
      </c>
    </row>
    <row r="41" spans="1:15">
      <c r="A41" s="304" t="str">
        <f t="shared" si="5"/>
        <v>Water: Consumption</v>
      </c>
      <c r="B41" s="667"/>
      <c r="C41" s="1894">
        <v>79.930000000000007</v>
      </c>
      <c r="D41" s="1895">
        <v>94.31</v>
      </c>
      <c r="E41" s="1896">
        <v>106.57</v>
      </c>
      <c r="F41" s="1896">
        <v>0</v>
      </c>
      <c r="G41" s="1896">
        <v>106.56</v>
      </c>
      <c r="H41" s="1896">
        <v>0</v>
      </c>
      <c r="I41" s="1898">
        <v>0.05</v>
      </c>
      <c r="J41" s="1894">
        <v>111.9</v>
      </c>
      <c r="K41" s="1895">
        <v>117.49</v>
      </c>
      <c r="L41" s="1895">
        <v>123.37</v>
      </c>
    </row>
    <row r="42" spans="1:15">
      <c r="A42" s="304" t="str">
        <f t="shared" si="5"/>
        <v>Sanitation</v>
      </c>
      <c r="B42" s="667"/>
      <c r="C42" s="1894">
        <v>66.67</v>
      </c>
      <c r="D42" s="1895">
        <v>83.34</v>
      </c>
      <c r="E42" s="1896">
        <v>94.17</v>
      </c>
      <c r="F42" s="1896">
        <v>0</v>
      </c>
      <c r="G42" s="1896">
        <v>94.17</v>
      </c>
      <c r="H42" s="1896">
        <v>0</v>
      </c>
      <c r="I42" s="1898">
        <v>0.05</v>
      </c>
      <c r="J42" s="1894">
        <v>98.88</v>
      </c>
      <c r="K42" s="1895">
        <v>103.82</v>
      </c>
      <c r="L42" s="1895">
        <v>109.01</v>
      </c>
    </row>
    <row r="43" spans="1:15">
      <c r="A43" s="304" t="str">
        <f t="shared" si="5"/>
        <v>Refuse removal</v>
      </c>
      <c r="B43" s="667"/>
      <c r="C43" s="1894">
        <v>65.540000000000006</v>
      </c>
      <c r="D43" s="1895">
        <v>81.93</v>
      </c>
      <c r="E43" s="1896">
        <v>86.85</v>
      </c>
      <c r="F43" s="1897">
        <v>0</v>
      </c>
      <c r="G43" s="1897">
        <v>91.19</v>
      </c>
      <c r="H43" s="1897">
        <v>0</v>
      </c>
      <c r="I43" s="1898">
        <v>0.05</v>
      </c>
      <c r="J43" s="1894">
        <v>95.75</v>
      </c>
      <c r="K43" s="1895">
        <v>100.54</v>
      </c>
      <c r="L43" s="1895">
        <v>105.56</v>
      </c>
    </row>
    <row r="44" spans="1:15">
      <c r="A44" s="304" t="str">
        <f t="shared" si="5"/>
        <v>Other</v>
      </c>
      <c r="B44" s="667"/>
      <c r="C44" s="1894">
        <v>0</v>
      </c>
      <c r="D44" s="1894">
        <v>0</v>
      </c>
      <c r="E44" s="1895">
        <v>0</v>
      </c>
      <c r="F44" s="1896">
        <v>0</v>
      </c>
      <c r="G44" s="1896">
        <v>0</v>
      </c>
      <c r="H44" s="1896">
        <v>0</v>
      </c>
      <c r="I44" s="1898">
        <v>0</v>
      </c>
      <c r="J44" s="1897"/>
      <c r="K44" s="1894"/>
      <c r="L44" s="1895">
        <v>0</v>
      </c>
    </row>
    <row r="45" spans="1:15">
      <c r="A45" s="673" t="str">
        <f t="shared" si="5"/>
        <v>sub-total</v>
      </c>
      <c r="B45" s="697"/>
      <c r="C45" s="674">
        <f>SUM(C37:C44)</f>
        <v>546.26</v>
      </c>
      <c r="D45" s="674">
        <f>SUM(D37:D44)</f>
        <v>644.46</v>
      </c>
      <c r="E45" s="675">
        <f>SUM(E37:E44)</f>
        <v>717.45</v>
      </c>
      <c r="F45" s="676">
        <f>SUM(F37:F44)</f>
        <v>0</v>
      </c>
      <c r="G45" s="674">
        <f t="shared" ref="G45:L45" si="6">SUM(G37:G44)</f>
        <v>654.48</v>
      </c>
      <c r="H45" s="677">
        <f t="shared" si="6"/>
        <v>0</v>
      </c>
      <c r="I45" s="678">
        <f>IF(ISERROR(ROUND((J45-F45)/F45,3)),0,(ROUND((J45-F45)/F45,3)))</f>
        <v>0</v>
      </c>
      <c r="J45" s="677">
        <f t="shared" si="6"/>
        <v>687.45999999999992</v>
      </c>
      <c r="K45" s="674">
        <f t="shared" si="6"/>
        <v>722.19</v>
      </c>
      <c r="L45" s="675">
        <f t="shared" si="6"/>
        <v>763.73</v>
      </c>
    </row>
    <row r="46" spans="1:15">
      <c r="A46" s="304" t="str">
        <f t="shared" si="5"/>
        <v>VAT on Services</v>
      </c>
      <c r="B46" s="667"/>
      <c r="C46" s="1894">
        <v>59.02</v>
      </c>
      <c r="D46" s="1895">
        <v>71.180000000000007</v>
      </c>
      <c r="E46" s="1896">
        <v>80.260000000000005</v>
      </c>
      <c r="F46" s="1897">
        <v>0</v>
      </c>
      <c r="G46" s="1896">
        <v>83.3</v>
      </c>
      <c r="H46" s="1896">
        <v>0</v>
      </c>
      <c r="I46" s="2706">
        <v>5.0000000000000001E-4</v>
      </c>
      <c r="J46" s="1897">
        <v>87.75</v>
      </c>
      <c r="K46" s="1897">
        <v>92.44</v>
      </c>
      <c r="L46" s="1897">
        <v>98.08</v>
      </c>
    </row>
    <row r="47" spans="1:15">
      <c r="A47" s="297" t="s">
        <v>826</v>
      </c>
      <c r="B47" s="667"/>
      <c r="C47" s="674">
        <f>SUM(C45:C46)</f>
        <v>605.28</v>
      </c>
      <c r="D47" s="674">
        <f>SUM(D45:D46)</f>
        <v>715.6400000000001</v>
      </c>
      <c r="E47" s="675">
        <f>SUM(E45:E46)</f>
        <v>797.71</v>
      </c>
      <c r="F47" s="676">
        <f>SUM(F45:F46)</f>
        <v>0</v>
      </c>
      <c r="G47" s="674">
        <f t="shared" ref="G47:L47" si="7">SUM(G45:G46)</f>
        <v>737.78</v>
      </c>
      <c r="H47" s="677">
        <f t="shared" si="7"/>
        <v>0</v>
      </c>
      <c r="I47" s="678">
        <f>IF(ISERROR(ROUND((J47-F47)/F47,3)),0,(ROUND((J47-F47)/F47,3)))</f>
        <v>0</v>
      </c>
      <c r="J47" s="677">
        <f t="shared" si="7"/>
        <v>775.20999999999992</v>
      </c>
      <c r="K47" s="674">
        <f t="shared" si="7"/>
        <v>814.63000000000011</v>
      </c>
      <c r="L47" s="675">
        <f t="shared" si="7"/>
        <v>861.81000000000006</v>
      </c>
    </row>
    <row r="48" spans="1:15">
      <c r="A48" s="679" t="str">
        <f>A18</f>
        <v>% increase/-decrease</v>
      </c>
      <c r="B48" s="667"/>
      <c r="C48" s="680"/>
      <c r="D48" s="681">
        <f>IF(ISERROR((D47/C47)-1),0,((D47/C47)-1))</f>
        <v>0.18232883954533463</v>
      </c>
      <c r="E48" s="682">
        <f>IF(ISERROR((E47/D47)-1),0,((E47/D47)-1))</f>
        <v>0.11468056564753226</v>
      </c>
      <c r="F48" s="683">
        <f>IF(ISERROR((F47/E47)-1),0,((F47/E47)-1))</f>
        <v>-1</v>
      </c>
      <c r="G48" s="681">
        <f>IF(ISERROR((G47/F47)-1),0,((G47/F47)-1))</f>
        <v>0</v>
      </c>
      <c r="H48" s="684">
        <f>IF(ISERROR((H47/G47)-1),0,((H47/G47)-1))</f>
        <v>-1</v>
      </c>
      <c r="I48" s="685"/>
      <c r="J48" s="684">
        <f>IF(ISERROR((J47/H47)-1),0,((J47/H47)-1))</f>
        <v>0</v>
      </c>
      <c r="K48" s="681">
        <f>IF(ISERROR((K47/J47)-1),0,((K47/J47)-1))</f>
        <v>5.0850737219592324E-2</v>
      </c>
      <c r="L48" s="682">
        <f>IF(ISERROR((L47/K47)-1),0,((L47/K47)-1))</f>
        <v>5.7915863643617227E-2</v>
      </c>
    </row>
    <row r="49" spans="1:40" ht="5" customHeight="1">
      <c r="A49" s="698"/>
      <c r="B49" s="699"/>
      <c r="C49" s="699"/>
      <c r="D49" s="699"/>
      <c r="E49" s="700"/>
      <c r="F49" s="701"/>
      <c r="G49" s="699"/>
      <c r="H49" s="702"/>
      <c r="I49" s="703"/>
      <c r="J49" s="702"/>
      <c r="K49" s="699"/>
      <c r="L49" s="700"/>
    </row>
    <row r="50" spans="1:40" s="709" customFormat="1">
      <c r="A50" s="1158" t="str">
        <f>head27a</f>
        <v>References</v>
      </c>
      <c r="B50" s="1048"/>
      <c r="C50" s="708"/>
      <c r="D50" s="708"/>
      <c r="E50" s="708"/>
      <c r="F50" s="1077"/>
      <c r="G50" s="708"/>
      <c r="H50" s="708"/>
      <c r="I50" s="708"/>
      <c r="J50" s="708"/>
      <c r="K50" s="708"/>
    </row>
    <row r="51" spans="1:40" s="709" customFormat="1">
      <c r="A51" s="1416" t="s">
        <v>2201</v>
      </c>
      <c r="B51" s="1078"/>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1079"/>
      <c r="Z51" s="1079"/>
      <c r="AA51" s="1079"/>
      <c r="AB51" s="1079"/>
      <c r="AC51" s="1079"/>
      <c r="AD51" s="1079"/>
      <c r="AE51" s="1079"/>
      <c r="AF51" s="1079"/>
      <c r="AG51" s="1079"/>
      <c r="AH51" s="1079"/>
      <c r="AI51" s="1079"/>
      <c r="AJ51" s="1079"/>
      <c r="AK51" s="1079"/>
      <c r="AL51" s="1079"/>
      <c r="AM51" s="1079"/>
      <c r="AN51" s="1079"/>
    </row>
    <row r="52" spans="1:40" s="709" customFormat="1">
      <c r="A52" s="1416" t="s">
        <v>2202</v>
      </c>
      <c r="B52" s="1078"/>
      <c r="C52" s="1079"/>
      <c r="D52" s="1079"/>
      <c r="E52" s="1079"/>
      <c r="F52" s="1079"/>
      <c r="G52" s="1079"/>
      <c r="H52" s="1079"/>
      <c r="I52" s="1079"/>
      <c r="J52" s="1079"/>
      <c r="K52" s="1079"/>
      <c r="L52" s="1079"/>
      <c r="M52" s="1079"/>
      <c r="N52" s="1079"/>
      <c r="O52" s="1079"/>
      <c r="P52" s="1079"/>
      <c r="Q52" s="1079"/>
      <c r="R52" s="1079"/>
      <c r="S52" s="1079"/>
      <c r="T52" s="1079"/>
      <c r="U52" s="1079"/>
      <c r="V52" s="1079"/>
      <c r="W52" s="1079"/>
      <c r="X52" s="1079"/>
      <c r="Y52" s="1079"/>
      <c r="Z52" s="1079"/>
      <c r="AA52" s="1079"/>
      <c r="AB52" s="1079"/>
      <c r="AC52" s="1079"/>
      <c r="AD52" s="1079"/>
      <c r="AE52" s="1079"/>
      <c r="AF52" s="1079"/>
      <c r="AG52" s="1079"/>
      <c r="AH52" s="1079"/>
      <c r="AI52" s="1079"/>
      <c r="AJ52" s="1079"/>
      <c r="AK52" s="1079"/>
      <c r="AL52" s="1079"/>
      <c r="AM52" s="1079"/>
      <c r="AN52" s="1079"/>
    </row>
    <row r="53" spans="1:40" s="709" customFormat="1">
      <c r="A53" s="1416" t="s">
        <v>2241</v>
      </c>
      <c r="B53" s="1078"/>
      <c r="C53" s="1079"/>
      <c r="D53" s="1079"/>
      <c r="E53" s="1079"/>
      <c r="F53" s="1079"/>
      <c r="G53" s="1079"/>
      <c r="H53" s="1079"/>
      <c r="I53" s="1079"/>
      <c r="J53" s="1079"/>
      <c r="K53" s="1079"/>
      <c r="L53" s="1079"/>
      <c r="M53" s="1079"/>
      <c r="N53" s="1079"/>
      <c r="O53" s="1079"/>
      <c r="P53" s="1079"/>
      <c r="Q53" s="1079"/>
      <c r="R53" s="1079"/>
      <c r="S53" s="1079"/>
      <c r="T53" s="1079"/>
      <c r="U53" s="1079"/>
      <c r="V53" s="1079"/>
      <c r="W53" s="1079"/>
      <c r="X53" s="1079"/>
      <c r="Y53" s="1079"/>
      <c r="Z53" s="1079"/>
      <c r="AA53" s="1079"/>
      <c r="AB53" s="1079"/>
      <c r="AC53" s="1079"/>
      <c r="AD53" s="1079"/>
      <c r="AE53" s="1079"/>
      <c r="AF53" s="1079"/>
      <c r="AG53" s="1079"/>
      <c r="AH53" s="1079"/>
      <c r="AI53" s="1079"/>
      <c r="AJ53" s="1079"/>
      <c r="AK53" s="1079"/>
      <c r="AL53" s="1079"/>
      <c r="AM53" s="1079"/>
      <c r="AN53" s="1079"/>
    </row>
    <row r="55" spans="1:40">
      <c r="A55" s="707"/>
      <c r="B55" s="704"/>
      <c r="C55" s="705"/>
      <c r="D55" s="705"/>
      <c r="E55" s="705"/>
      <c r="F55" s="706"/>
      <c r="G55" s="705"/>
      <c r="H55" s="705"/>
      <c r="I55" s="705"/>
      <c r="J55" s="705"/>
      <c r="K55" s="708"/>
      <c r="L55" s="709"/>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row>
    <row r="56" spans="1:40">
      <c r="A56" s="707"/>
      <c r="B56" s="704"/>
      <c r="C56" s="705"/>
      <c r="D56" s="705"/>
      <c r="E56" s="705"/>
      <c r="F56" s="706"/>
      <c r="G56" s="705"/>
      <c r="H56" s="705"/>
      <c r="I56" s="705"/>
      <c r="J56" s="705"/>
      <c r="K56" s="708"/>
      <c r="L56" s="709"/>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row>
    <row r="57" spans="1:40">
      <c r="A57" s="707"/>
      <c r="B57" s="704"/>
      <c r="C57" s="705"/>
      <c r="D57" s="705"/>
      <c r="E57" s="705"/>
      <c r="F57" s="706"/>
      <c r="G57" s="705"/>
      <c r="H57" s="705"/>
      <c r="I57" s="705"/>
      <c r="J57" s="705"/>
      <c r="K57" s="708"/>
      <c r="L57" s="709"/>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row>
    <row r="58" spans="1:40">
      <c r="K58" s="708"/>
      <c r="L58" s="709"/>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row>
    <row r="59" spans="1:40">
      <c r="K59" s="708"/>
      <c r="L59" s="709"/>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row>
    <row r="60" spans="1:40">
      <c r="K60" s="708"/>
      <c r="L60" s="709"/>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row>
    <row r="61" spans="1:40">
      <c r="K61" s="708"/>
      <c r="L61" s="709"/>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row>
    <row r="62" spans="1:40">
      <c r="K62" s="708"/>
      <c r="L62" s="709"/>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row>
    <row r="63" spans="1:40">
      <c r="K63" s="708"/>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row>
    <row r="64" spans="1:40">
      <c r="K64" s="708"/>
      <c r="L64" s="709"/>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row>
    <row r="65" spans="11:40">
      <c r="K65" s="708"/>
      <c r="L65" s="709"/>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row>
    <row r="66" spans="11:40">
      <c r="K66" s="708"/>
      <c r="L66" s="709"/>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row>
    <row r="67" spans="11:40">
      <c r="K67" s="708"/>
      <c r="L67" s="709"/>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row>
    <row r="68" spans="11:40">
      <c r="K68" s="708"/>
      <c r="L68" s="709"/>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row>
    <row r="69" spans="11:40">
      <c r="K69" s="708"/>
      <c r="L69" s="709"/>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row>
    <row r="70" spans="11:40">
      <c r="K70" s="708"/>
      <c r="L70" s="709"/>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row>
    <row r="71" spans="11:40">
      <c r="K71" s="708"/>
      <c r="L71" s="709"/>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row>
    <row r="72" spans="11:40">
      <c r="K72" s="708"/>
      <c r="L72" s="709"/>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row>
    <row r="73" spans="11:40">
      <c r="K73" s="708"/>
      <c r="L73" s="709"/>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row>
    <row r="74" spans="11:40">
      <c r="K74" s="708"/>
      <c r="L74" s="709"/>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row>
    <row r="75" spans="11:40">
      <c r="K75" s="708"/>
      <c r="L75" s="709"/>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row>
    <row r="76" spans="11:40">
      <c r="K76" s="708"/>
      <c r="L76" s="709"/>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row>
    <row r="77" spans="11:40">
      <c r="K77" s="708"/>
      <c r="L77" s="709"/>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row>
    <row r="78" spans="11:40">
      <c r="K78" s="708"/>
      <c r="L78" s="709"/>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row>
    <row r="79" spans="11:40">
      <c r="K79" s="708"/>
      <c r="L79" s="709"/>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row>
    <row r="80" spans="11:40">
      <c r="K80" s="708"/>
      <c r="L80" s="709"/>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row>
    <row r="81" spans="11:40">
      <c r="K81" s="708"/>
      <c r="L81" s="709"/>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row>
    <row r="82" spans="11:40">
      <c r="K82" s="708"/>
      <c r="L82" s="709"/>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row>
    <row r="83" spans="11:40">
      <c r="K83" s="708"/>
      <c r="L83" s="709"/>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row>
    <row r="84" spans="11:40">
      <c r="K84" s="708"/>
      <c r="L84" s="709"/>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row>
    <row r="85" spans="11:40">
      <c r="K85" s="708"/>
      <c r="L85" s="709"/>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row>
    <row r="86" spans="11:40">
      <c r="K86" s="708"/>
      <c r="L86" s="709"/>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row>
    <row r="87" spans="11:40">
      <c r="K87" s="708"/>
      <c r="L87" s="709"/>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row>
    <row r="88" spans="11:40">
      <c r="K88" s="708"/>
      <c r="L88" s="709"/>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row>
    <row r="89" spans="11:40">
      <c r="K89" s="708"/>
      <c r="L89" s="709"/>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row>
    <row r="90" spans="11:40">
      <c r="K90" s="708"/>
      <c r="L90" s="709"/>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row>
    <row r="91" spans="11:40">
      <c r="K91" s="708"/>
      <c r="L91" s="709"/>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row>
    <row r="92" spans="11:40">
      <c r="K92" s="708"/>
      <c r="L92" s="709"/>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row>
    <row r="93" spans="11:40">
      <c r="K93" s="708"/>
      <c r="L93" s="709"/>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row>
    <row r="94" spans="11:40">
      <c r="K94" s="708"/>
      <c r="L94" s="709"/>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row>
    <row r="95" spans="11:40">
      <c r="K95" s="708"/>
      <c r="L95" s="709"/>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row>
    <row r="96" spans="11:40">
      <c r="K96" s="708"/>
      <c r="L96" s="709"/>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row>
    <row r="97" spans="11:40">
      <c r="K97" s="708"/>
      <c r="L97" s="709"/>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row>
    <row r="98" spans="11:40">
      <c r="K98" s="708"/>
      <c r="L98" s="709"/>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row>
    <row r="99" spans="11:40">
      <c r="K99" s="708"/>
      <c r="L99" s="709"/>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row>
    <row r="100" spans="11:40">
      <c r="K100" s="708"/>
      <c r="L100" s="709"/>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row>
    <row r="101" spans="11:40">
      <c r="K101" s="708"/>
      <c r="L101" s="709"/>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row>
    <row r="102" spans="11:40">
      <c r="K102" s="708"/>
      <c r="L102" s="709"/>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row>
    <row r="103" spans="11:40">
      <c r="K103" s="708"/>
      <c r="L103" s="709"/>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row>
    <row r="104" spans="11:40">
      <c r="K104" s="708"/>
      <c r="L104" s="709"/>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row>
    <row r="105" spans="11:40">
      <c r="K105" s="708"/>
      <c r="L105" s="709"/>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row>
    <row r="106" spans="11:40">
      <c r="K106" s="708"/>
      <c r="L106" s="709"/>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row>
    <row r="107" spans="11:40">
      <c r="K107" s="708"/>
      <c r="L107" s="709"/>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row>
    <row r="108" spans="11:40">
      <c r="K108" s="708"/>
      <c r="L108" s="709"/>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row>
    <row r="109" spans="11:40">
      <c r="K109" s="708"/>
      <c r="L109" s="709"/>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row>
    <row r="110" spans="11:40">
      <c r="K110" s="708"/>
      <c r="L110" s="709"/>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row>
    <row r="111" spans="11:40">
      <c r="K111" s="708"/>
      <c r="L111" s="709"/>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row>
    <row r="112" spans="11:40">
      <c r="K112" s="708"/>
      <c r="L112" s="709"/>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row>
    <row r="113" spans="11:40">
      <c r="K113" s="708"/>
      <c r="L113" s="709"/>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row>
    <row r="114" spans="11:40">
      <c r="K114" s="708"/>
      <c r="L114" s="709"/>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row>
    <row r="115" spans="11:40">
      <c r="K115" s="708"/>
      <c r="L115" s="709"/>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row>
    <row r="116" spans="11:40">
      <c r="K116" s="708"/>
      <c r="L116" s="709"/>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row>
    <row r="117" spans="11:40">
      <c r="K117" s="708"/>
      <c r="L117" s="709"/>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row>
    <row r="118" spans="11:40">
      <c r="K118" s="708"/>
      <c r="L118" s="709"/>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row>
  </sheetData>
  <mergeCells count="3">
    <mergeCell ref="B2:B4"/>
    <mergeCell ref="F2:H2"/>
    <mergeCell ref="A2:A3"/>
  </mergeCells>
  <phoneticPr fontId="5" type="noConversion"/>
  <printOptions horizontalCentered="1"/>
  <pageMargins left="0" right="0" top="0.78740157480314965" bottom="0.59055118110236227" header="0.51181102362204722" footer="0.51181102362204722"/>
  <headerFooter alignWithMargins="0"/>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enableFormatConditionsCalculation="0">
    <tabColor indexed="42"/>
  </sheetPr>
  <dimension ref="A1:O70"/>
  <sheetViews>
    <sheetView showGridLines="0" workbookViewId="0">
      <pane xSplit="2" ySplit="4" topLeftCell="C5" activePane="bottomRight" state="frozen"/>
      <selection pane="topRight"/>
      <selection pane="bottomLeft"/>
      <selection pane="bottomRight" activeCell="I8" sqref="I8:K8"/>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2">
      <c r="A1" s="147" t="str">
        <f>muni&amp;" - "&amp;TableA15</f>
        <v>NW373 Rustenburg - Supporting Table SA15 Investment particulars by type</v>
      </c>
      <c r="B1" s="147"/>
      <c r="C1" s="147"/>
      <c r="D1" s="147"/>
      <c r="E1" s="147"/>
      <c r="F1" s="147"/>
      <c r="G1" s="147"/>
      <c r="H1" s="147"/>
      <c r="I1" s="147"/>
      <c r="J1" s="147"/>
      <c r="K1" s="147"/>
    </row>
    <row r="2" spans="1:11" ht="28.5" customHeight="1">
      <c r="A2" s="2814" t="s">
        <v>587</v>
      </c>
      <c r="B2" s="2791" t="str">
        <f>head27</f>
        <v>Ref</v>
      </c>
      <c r="C2" s="145"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1" ht="20">
      <c r="A3" s="2815"/>
      <c r="B3" s="2792"/>
      <c r="C3" s="154" t="str">
        <f>Head5</f>
        <v>Audited Outcome</v>
      </c>
      <c r="D3" s="152" t="str">
        <f>Head5</f>
        <v>Audited Outcome</v>
      </c>
      <c r="E3" s="153" t="str">
        <f>Head5</f>
        <v>Audited Outcome</v>
      </c>
      <c r="F3" s="151" t="str">
        <f>Head6</f>
        <v>Original Budget</v>
      </c>
      <c r="G3" s="152" t="str">
        <f>Head7</f>
        <v>Adjusted Budget</v>
      </c>
      <c r="H3" s="153" t="str">
        <f>Head8</f>
        <v>Full Year Forecast</v>
      </c>
      <c r="I3" s="151" t="str">
        <f>Head9</f>
        <v>Budget Year 2013/14</v>
      </c>
      <c r="J3" s="152" t="str">
        <f>Head10</f>
        <v>Budget Year +1 2014/15</v>
      </c>
      <c r="K3" s="153" t="str">
        <f>Head11</f>
        <v>Budget Year +2 2015/16</v>
      </c>
    </row>
    <row r="4" spans="1:11">
      <c r="A4" s="180" t="s">
        <v>667</v>
      </c>
      <c r="B4" s="2797"/>
      <c r="C4" s="138"/>
      <c r="D4" s="138"/>
      <c r="E4" s="156"/>
      <c r="F4" s="155"/>
      <c r="G4" s="138"/>
      <c r="H4" s="156"/>
      <c r="I4" s="155"/>
      <c r="J4" s="138"/>
      <c r="K4" s="156"/>
    </row>
    <row r="5" spans="1:11">
      <c r="A5" s="249" t="s">
        <v>178</v>
      </c>
      <c r="B5" s="291"/>
      <c r="C5" s="710"/>
      <c r="D5" s="710"/>
      <c r="E5" s="711"/>
      <c r="F5" s="712"/>
      <c r="G5" s="710"/>
      <c r="H5" s="713"/>
      <c r="I5" s="714"/>
      <c r="J5" s="710"/>
      <c r="K5" s="711"/>
    </row>
    <row r="6" spans="1:11" ht="11.25" customHeight="1">
      <c r="A6" s="250" t="s">
        <v>1572</v>
      </c>
      <c r="B6" s="293"/>
      <c r="C6" s="1899"/>
      <c r="D6" s="1899"/>
      <c r="E6" s="1900"/>
      <c r="F6" s="1901"/>
      <c r="G6" s="1899"/>
      <c r="H6" s="1902"/>
      <c r="I6" s="1903"/>
      <c r="J6" s="1899"/>
      <c r="K6" s="1900"/>
    </row>
    <row r="7" spans="1:11" ht="11.25" customHeight="1">
      <c r="A7" s="250" t="s">
        <v>1573</v>
      </c>
      <c r="B7" s="293"/>
      <c r="C7" s="1899"/>
      <c r="D7" s="1899"/>
      <c r="E7" s="1900"/>
      <c r="F7" s="1901"/>
      <c r="G7" s="1899"/>
      <c r="H7" s="1902"/>
      <c r="I7" s="1903"/>
      <c r="J7" s="1899"/>
      <c r="K7" s="1900"/>
    </row>
    <row r="8" spans="1:11" ht="11.25" customHeight="1">
      <c r="A8" s="250" t="s">
        <v>1575</v>
      </c>
      <c r="B8" s="293"/>
      <c r="C8" s="1899">
        <v>453282651</v>
      </c>
      <c r="D8" s="1900">
        <v>587653550</v>
      </c>
      <c r="E8" s="1901">
        <v>826263402</v>
      </c>
      <c r="F8" s="2534">
        <f>1001695411+20</f>
        <v>1001695431</v>
      </c>
      <c r="G8" s="1899">
        <v>578439431</v>
      </c>
      <c r="H8" s="1902">
        <f>578439431+300000000</f>
        <v>878439431</v>
      </c>
      <c r="I8" s="2534">
        <v>816397660.93000019</v>
      </c>
      <c r="J8" s="1615">
        <v>560089855.70750022</v>
      </c>
      <c r="K8" s="1635">
        <v>655760392.61587512</v>
      </c>
    </row>
    <row r="9" spans="1:11" ht="11.25" customHeight="1">
      <c r="A9" s="250" t="s">
        <v>1574</v>
      </c>
      <c r="B9" s="293"/>
      <c r="C9" s="1899"/>
      <c r="D9" s="1899"/>
      <c r="E9" s="1900"/>
      <c r="F9" s="1901"/>
      <c r="G9" s="1899"/>
      <c r="H9" s="1902"/>
      <c r="I9" s="1903"/>
      <c r="J9" s="1899"/>
      <c r="K9" s="1900"/>
    </row>
    <row r="10" spans="1:11" ht="11.25" customHeight="1">
      <c r="A10" s="250" t="s">
        <v>1576</v>
      </c>
      <c r="B10" s="293"/>
      <c r="C10" s="1899"/>
      <c r="D10" s="1899"/>
      <c r="E10" s="1900"/>
      <c r="F10" s="1901"/>
      <c r="G10" s="1899"/>
      <c r="H10" s="1902"/>
      <c r="I10" s="1903"/>
      <c r="J10" s="1899"/>
      <c r="K10" s="1900"/>
    </row>
    <row r="11" spans="1:11" ht="11.25" customHeight="1">
      <c r="A11" s="250" t="s">
        <v>1577</v>
      </c>
      <c r="B11" s="293"/>
      <c r="C11" s="1899"/>
      <c r="D11" s="1899"/>
      <c r="E11" s="1900"/>
      <c r="F11" s="1901"/>
      <c r="G11" s="1899"/>
      <c r="H11" s="1902"/>
      <c r="I11" s="1903"/>
      <c r="J11" s="1899"/>
      <c r="K11" s="1900"/>
    </row>
    <row r="12" spans="1:11" ht="11.25" customHeight="1">
      <c r="A12" s="250" t="s">
        <v>1578</v>
      </c>
      <c r="B12" s="293"/>
      <c r="C12" s="1899"/>
      <c r="D12" s="1899"/>
      <c r="E12" s="1900"/>
      <c r="F12" s="1901"/>
      <c r="G12" s="1899"/>
      <c r="H12" s="1902"/>
      <c r="I12" s="1903"/>
      <c r="J12" s="1899"/>
      <c r="K12" s="1900"/>
    </row>
    <row r="13" spans="1:11" ht="11.25" customHeight="1">
      <c r="A13" s="250" t="s">
        <v>1579</v>
      </c>
      <c r="B13" s="293"/>
      <c r="C13" s="1899"/>
      <c r="D13" s="1899"/>
      <c r="E13" s="1900"/>
      <c r="F13" s="1901"/>
      <c r="G13" s="1899"/>
      <c r="H13" s="1902"/>
      <c r="I13" s="1903"/>
      <c r="J13" s="1899"/>
      <c r="K13" s="1900"/>
    </row>
    <row r="14" spans="1:11" ht="11.25" customHeight="1">
      <c r="A14" s="250" t="s">
        <v>1580</v>
      </c>
      <c r="B14" s="293"/>
      <c r="C14" s="1899"/>
      <c r="D14" s="1899"/>
      <c r="E14" s="1900"/>
      <c r="F14" s="1901"/>
      <c r="G14" s="1899"/>
      <c r="H14" s="1902"/>
      <c r="I14" s="1903"/>
      <c r="J14" s="1899"/>
      <c r="K14" s="1900"/>
    </row>
    <row r="15" spans="1:11" ht="11.25" customHeight="1">
      <c r="A15" s="250" t="s">
        <v>1581</v>
      </c>
      <c r="B15" s="293"/>
      <c r="C15" s="1899"/>
      <c r="D15" s="1899"/>
      <c r="E15" s="1900"/>
      <c r="F15" s="1901"/>
      <c r="G15" s="1899"/>
      <c r="H15" s="1902"/>
      <c r="I15" s="1903"/>
      <c r="J15" s="1899"/>
      <c r="K15" s="1900"/>
    </row>
    <row r="16" spans="1:11" ht="5" customHeight="1">
      <c r="A16" s="273"/>
      <c r="B16" s="293"/>
      <c r="C16" s="1071"/>
      <c r="D16" s="1071"/>
      <c r="E16" s="1072"/>
      <c r="F16" s="1073"/>
      <c r="G16" s="1071"/>
      <c r="H16" s="1074"/>
      <c r="I16" s="1075"/>
      <c r="J16" s="1071"/>
      <c r="K16" s="1072"/>
    </row>
    <row r="17" spans="1:11" ht="11.25" customHeight="1">
      <c r="A17" s="265" t="s">
        <v>177</v>
      </c>
      <c r="B17" s="293">
        <v>1</v>
      </c>
      <c r="C17" s="717">
        <f t="shared" ref="C17:K17" si="0">SUM(C6:C15)</f>
        <v>453282651</v>
      </c>
      <c r="D17" s="717">
        <f t="shared" si="0"/>
        <v>587653550</v>
      </c>
      <c r="E17" s="718">
        <f t="shared" si="0"/>
        <v>826263402</v>
      </c>
      <c r="F17" s="719">
        <f t="shared" si="0"/>
        <v>1001695431</v>
      </c>
      <c r="G17" s="717">
        <f t="shared" si="0"/>
        <v>578439431</v>
      </c>
      <c r="H17" s="720">
        <f t="shared" si="0"/>
        <v>878439431</v>
      </c>
      <c r="I17" s="721">
        <f t="shared" si="0"/>
        <v>816397660.93000019</v>
      </c>
      <c r="J17" s="717">
        <f t="shared" si="0"/>
        <v>560089855.70750022</v>
      </c>
      <c r="K17" s="718">
        <f t="shared" si="0"/>
        <v>655760392.61587512</v>
      </c>
    </row>
    <row r="18" spans="1:11" ht="5" customHeight="1">
      <c r="A18" s="273"/>
      <c r="B18" s="293"/>
      <c r="C18" s="715"/>
      <c r="D18" s="715"/>
      <c r="E18" s="711"/>
      <c r="F18" s="712"/>
      <c r="G18" s="715"/>
      <c r="H18" s="713"/>
      <c r="I18" s="716"/>
      <c r="J18" s="715"/>
      <c r="K18" s="711"/>
    </row>
    <row r="19" spans="1:11" ht="11.25" customHeight="1">
      <c r="A19" s="249" t="s">
        <v>680</v>
      </c>
      <c r="B19" s="293"/>
      <c r="C19" s="715"/>
      <c r="D19" s="715"/>
      <c r="E19" s="711"/>
      <c r="F19" s="712"/>
      <c r="G19" s="715"/>
      <c r="H19" s="713"/>
      <c r="I19" s="716"/>
      <c r="J19" s="715"/>
      <c r="K19" s="711"/>
    </row>
    <row r="20" spans="1:11" ht="11.25" customHeight="1">
      <c r="A20" s="250" t="str">
        <f>A6</f>
        <v>Securities - National Government</v>
      </c>
      <c r="B20" s="293"/>
      <c r="C20" s="1899"/>
      <c r="D20" s="1899"/>
      <c r="E20" s="1900"/>
      <c r="F20" s="1901"/>
      <c r="G20" s="1899"/>
      <c r="H20" s="1902"/>
      <c r="I20" s="1903"/>
      <c r="J20" s="1899"/>
      <c r="K20" s="1900"/>
    </row>
    <row r="21" spans="1:11" ht="11.25" customHeight="1">
      <c r="A21" s="250" t="str">
        <f t="shared" ref="A21:A28" si="1">A7</f>
        <v>Listed Corporate Bonds</v>
      </c>
      <c r="B21" s="293"/>
      <c r="C21" s="1899"/>
      <c r="D21" s="1899"/>
      <c r="E21" s="1900"/>
      <c r="F21" s="1901"/>
      <c r="G21" s="1899"/>
      <c r="H21" s="1902"/>
      <c r="I21" s="1903"/>
      <c r="J21" s="1899"/>
      <c r="K21" s="1900"/>
    </row>
    <row r="22" spans="1:11" ht="11.25" customHeight="1">
      <c r="A22" s="250" t="str">
        <f t="shared" si="1"/>
        <v>Deposits - Bank</v>
      </c>
      <c r="B22" s="293"/>
      <c r="C22" s="1899"/>
      <c r="D22" s="1899"/>
      <c r="E22" s="1900"/>
      <c r="F22" s="1901"/>
      <c r="G22" s="1899"/>
      <c r="H22" s="1902"/>
      <c r="I22" s="1903"/>
      <c r="J22" s="1899"/>
      <c r="K22" s="1900"/>
    </row>
    <row r="23" spans="1:11" ht="11.25" customHeight="1">
      <c r="A23" s="250" t="str">
        <f t="shared" si="1"/>
        <v>Deposits - Public Investment Commissioners</v>
      </c>
      <c r="B23" s="293"/>
      <c r="C23" s="1899"/>
      <c r="D23" s="1899"/>
      <c r="E23" s="1900"/>
      <c r="F23" s="1901"/>
      <c r="G23" s="1899"/>
      <c r="H23" s="1902"/>
      <c r="I23" s="1903"/>
      <c r="J23" s="1899"/>
      <c r="K23" s="1900"/>
    </row>
    <row r="24" spans="1:11" ht="11.25" customHeight="1">
      <c r="A24" s="250" t="str">
        <f t="shared" si="1"/>
        <v>Deposits - Corporation for Public Deposits</v>
      </c>
      <c r="B24" s="293"/>
      <c r="C24" s="1899"/>
      <c r="D24" s="1899"/>
      <c r="E24" s="1900"/>
      <c r="F24" s="1901"/>
      <c r="G24" s="1899"/>
      <c r="H24" s="1902"/>
      <c r="I24" s="1903"/>
      <c r="J24" s="1899"/>
      <c r="K24" s="1900"/>
    </row>
    <row r="25" spans="1:11" ht="11.25" customHeight="1">
      <c r="A25" s="250" t="str">
        <f t="shared" si="1"/>
        <v>Bankers Acceptance Certificates</v>
      </c>
      <c r="B25" s="293"/>
      <c r="C25" s="1899"/>
      <c r="D25" s="1899"/>
      <c r="E25" s="1900"/>
      <c r="F25" s="1901"/>
      <c r="G25" s="1899"/>
      <c r="H25" s="1902"/>
      <c r="I25" s="1903"/>
      <c r="J25" s="1899"/>
      <c r="K25" s="1900"/>
    </row>
    <row r="26" spans="1:11" ht="11.25" customHeight="1">
      <c r="A26" s="250" t="str">
        <f t="shared" si="1"/>
        <v>Negotiable Certificates of Deposit - Banks</v>
      </c>
      <c r="B26" s="293"/>
      <c r="C26" s="1899"/>
      <c r="D26" s="1899"/>
      <c r="E26" s="1900"/>
      <c r="F26" s="1901"/>
      <c r="G26" s="1899"/>
      <c r="H26" s="1902"/>
      <c r="I26" s="1903"/>
      <c r="J26" s="1899"/>
      <c r="K26" s="1900"/>
    </row>
    <row r="27" spans="1:11" ht="11.25" customHeight="1">
      <c r="A27" s="250" t="str">
        <f t="shared" si="1"/>
        <v>Guaranteed Endowment Policies (sinking)</v>
      </c>
      <c r="B27" s="293"/>
      <c r="C27" s="1899"/>
      <c r="D27" s="1899"/>
      <c r="E27" s="1900"/>
      <c r="F27" s="1901"/>
      <c r="G27" s="1899"/>
      <c r="H27" s="1902"/>
      <c r="I27" s="1903"/>
      <c r="J27" s="1899"/>
      <c r="K27" s="1900"/>
    </row>
    <row r="28" spans="1:11" ht="11.25" customHeight="1">
      <c r="A28" s="250" t="str">
        <f t="shared" si="1"/>
        <v>Repurchase Agreements - Banks</v>
      </c>
      <c r="B28" s="293"/>
      <c r="C28" s="1899"/>
      <c r="D28" s="1899"/>
      <c r="E28" s="1900"/>
      <c r="F28" s="1901"/>
      <c r="G28" s="1899"/>
      <c r="H28" s="1902"/>
      <c r="I28" s="1903"/>
      <c r="J28" s="1899"/>
      <c r="K28" s="1900"/>
    </row>
    <row r="29" spans="1:11" ht="5" customHeight="1">
      <c r="A29" s="273"/>
      <c r="B29" s="293"/>
      <c r="C29" s="715"/>
      <c r="D29" s="715"/>
      <c r="E29" s="711"/>
      <c r="F29" s="712"/>
      <c r="G29" s="715"/>
      <c r="H29" s="713"/>
      <c r="I29" s="716"/>
      <c r="J29" s="715"/>
      <c r="K29" s="711"/>
    </row>
    <row r="30" spans="1:11" ht="11.25" customHeight="1">
      <c r="A30" s="265" t="s">
        <v>176</v>
      </c>
      <c r="B30" s="293"/>
      <c r="C30" s="717">
        <f t="shared" ref="C30:K30" si="2">SUM(C20:C29)</f>
        <v>0</v>
      </c>
      <c r="D30" s="722">
        <f t="shared" si="2"/>
        <v>0</v>
      </c>
      <c r="E30" s="723">
        <f t="shared" si="2"/>
        <v>0</v>
      </c>
      <c r="F30" s="724">
        <f t="shared" si="2"/>
        <v>0</v>
      </c>
      <c r="G30" s="722">
        <f t="shared" si="2"/>
        <v>0</v>
      </c>
      <c r="H30" s="725">
        <f t="shared" si="2"/>
        <v>0</v>
      </c>
      <c r="I30" s="726">
        <f t="shared" si="2"/>
        <v>0</v>
      </c>
      <c r="J30" s="722">
        <f t="shared" si="2"/>
        <v>0</v>
      </c>
      <c r="K30" s="723">
        <f t="shared" si="2"/>
        <v>0</v>
      </c>
    </row>
    <row r="31" spans="1:11" ht="5" customHeight="1">
      <c r="A31" s="273"/>
      <c r="B31" s="293"/>
      <c r="C31" s="715"/>
      <c r="D31" s="715"/>
      <c r="E31" s="711"/>
      <c r="F31" s="712"/>
      <c r="G31" s="715"/>
      <c r="H31" s="713"/>
      <c r="I31" s="716"/>
      <c r="J31" s="715"/>
      <c r="K31" s="711"/>
    </row>
    <row r="32" spans="1:11">
      <c r="A32" s="281" t="s">
        <v>175</v>
      </c>
      <c r="B32" s="727"/>
      <c r="C32" s="728">
        <f t="shared" ref="C32:K32" si="3">C17+C30</f>
        <v>453282651</v>
      </c>
      <c r="D32" s="728">
        <f t="shared" si="3"/>
        <v>587653550</v>
      </c>
      <c r="E32" s="729">
        <f t="shared" si="3"/>
        <v>826263402</v>
      </c>
      <c r="F32" s="730">
        <f t="shared" si="3"/>
        <v>1001695431</v>
      </c>
      <c r="G32" s="728">
        <f t="shared" si="3"/>
        <v>578439431</v>
      </c>
      <c r="H32" s="731">
        <f t="shared" si="3"/>
        <v>878439431</v>
      </c>
      <c r="I32" s="732">
        <f t="shared" si="3"/>
        <v>816397660.93000019</v>
      </c>
      <c r="J32" s="728">
        <f t="shared" si="3"/>
        <v>560089855.70750022</v>
      </c>
      <c r="K32" s="729">
        <f t="shared" si="3"/>
        <v>655760392.61587512</v>
      </c>
    </row>
    <row r="33" spans="1:15" ht="6" customHeight="1">
      <c r="A33" s="653"/>
      <c r="B33" s="236"/>
      <c r="C33" s="309"/>
      <c r="D33" s="309"/>
      <c r="E33" s="309"/>
      <c r="F33" s="309"/>
      <c r="G33" s="309"/>
      <c r="H33" s="309"/>
      <c r="I33" s="309"/>
      <c r="J33" s="309"/>
      <c r="K33" s="309"/>
      <c r="L33" s="246"/>
      <c r="M33" s="246"/>
      <c r="N33" s="246"/>
    </row>
    <row r="34" spans="1:15" s="709" customFormat="1" ht="10.5" customHeight="1">
      <c r="A34" s="1262" t="str">
        <f>head27a</f>
        <v>References</v>
      </c>
      <c r="B34" s="1038"/>
      <c r="C34" s="1080"/>
      <c r="D34" s="1080"/>
      <c r="E34" s="1080"/>
      <c r="F34" s="1080"/>
      <c r="G34" s="1080"/>
      <c r="H34" s="1080"/>
      <c r="I34" s="1080"/>
      <c r="J34" s="1080"/>
      <c r="K34" s="1080"/>
      <c r="L34" s="1062"/>
      <c r="M34" s="1062"/>
      <c r="N34" s="1062"/>
    </row>
    <row r="35" spans="1:15" s="709" customFormat="1" ht="10.5" customHeight="1">
      <c r="A35" s="1263" t="s">
        <v>1279</v>
      </c>
      <c r="B35" s="1038"/>
      <c r="C35" s="1042"/>
      <c r="D35" s="1041"/>
      <c r="E35" s="1042"/>
      <c r="F35" s="1042"/>
      <c r="G35" s="1042"/>
      <c r="H35" s="1042"/>
      <c r="I35" s="1042"/>
      <c r="J35" s="1042"/>
      <c r="K35" s="1042"/>
    </row>
    <row r="36" spans="1:15" ht="10.5" customHeight="1">
      <c r="A36" s="288" t="s">
        <v>550</v>
      </c>
      <c r="B36" s="236"/>
      <c r="C36" s="344">
        <f>C17-'A6-FinPos'!C7-'A6-FinPos'!C16</f>
        <v>0</v>
      </c>
      <c r="D36" s="344">
        <f>D17-'A6-FinPos'!D7-'A6-FinPos'!D16</f>
        <v>0</v>
      </c>
      <c r="E36" s="447">
        <f>E17-'A6-FinPos'!E7-'A6-FinPos'!E16</f>
        <v>0</v>
      </c>
      <c r="F36" s="603">
        <f>F17-'A6-FinPos'!F7-'A6-FinPos'!F16</f>
        <v>0</v>
      </c>
      <c r="G36" s="447">
        <f>G17-'A6-FinPos'!G7-'A6-FinPos'!G16</f>
        <v>0</v>
      </c>
      <c r="H36" s="447">
        <f>H17-'A6-FinPos'!H7-'A6-FinPos'!H16</f>
        <v>0</v>
      </c>
      <c r="I36" s="447">
        <f>I17-'A6-FinPos'!J7-'A6-FinPos'!J16</f>
        <v>0</v>
      </c>
      <c r="J36" s="447">
        <f>J17-'A6-FinPos'!K7-'A6-FinPos'!K16</f>
        <v>0</v>
      </c>
      <c r="K36" s="447">
        <f>K17-'A6-FinPos'!L7-'A6-FinPos'!L16</f>
        <v>0</v>
      </c>
    </row>
    <row r="37" spans="1:15" ht="11.25" customHeight="1">
      <c r="O37" s="370"/>
    </row>
    <row r="38" spans="1:15" ht="11.25" customHeight="1"/>
    <row r="39" spans="1:15" ht="11.25" customHeight="1"/>
    <row r="40" spans="1:15" ht="11.25" customHeight="1"/>
    <row r="41" spans="1:15" ht="11.25" customHeight="1"/>
    <row r="42" spans="1:15" ht="11.25" customHeight="1"/>
    <row r="43" spans="1:15" ht="11.25" customHeight="1"/>
    <row r="44" spans="1:15" ht="11.25" customHeight="1"/>
    <row r="45" spans="1:15" ht="11.25" customHeight="1"/>
    <row r="46" spans="1:15" ht="11.25" customHeight="1"/>
    <row r="47" spans="1:15" ht="11.25" customHeight="1"/>
    <row r="48" spans="1:15"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sheetData>
  <sheetProtection sheet="1" objects="1" scenarios="1"/>
  <mergeCells count="4">
    <mergeCell ref="F2:H2"/>
    <mergeCell ref="I2:K2"/>
    <mergeCell ref="B2:B4"/>
    <mergeCell ref="A2:A3"/>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enableFormatConditionsCalculation="0">
    <tabColor indexed="42"/>
  </sheetPr>
  <dimension ref="A1:T123"/>
  <sheetViews>
    <sheetView showGridLines="0" workbookViewId="0">
      <pane xSplit="2" ySplit="3" topLeftCell="C79" activePane="bottomRight" state="frozen"/>
      <selection pane="topRight"/>
      <selection pane="bottomLeft"/>
      <selection pane="bottomRight" activeCell="K90" sqref="K90"/>
    </sheetView>
  </sheetViews>
  <sheetFormatPr baseColWidth="10" defaultColWidth="8.83203125" defaultRowHeight="10" x14ac:dyDescent="0"/>
  <cols>
    <col min="1" max="1" width="30.6640625" style="149" customWidth="1"/>
    <col min="2" max="2" width="3" style="2457" customWidth="1"/>
    <col min="3" max="12" width="13.6640625" style="149" customWidth="1"/>
    <col min="13" max="13" width="9.83203125" style="149" customWidth="1"/>
    <col min="14" max="14" width="9.83203125" style="149" bestFit="1" customWidth="1"/>
    <col min="15" max="16" width="9.83203125" style="149" customWidth="1"/>
    <col min="17" max="17" width="9.5" style="149" customWidth="1"/>
    <col min="18" max="18" width="9.83203125" style="149" customWidth="1"/>
    <col min="19" max="21" width="9.5" style="149" customWidth="1"/>
    <col min="22" max="22" width="9.83203125" style="149" customWidth="1"/>
    <col min="23" max="25" width="9.5" style="149" customWidth="1"/>
    <col min="26" max="27" width="9.83203125" style="149" customWidth="1"/>
    <col min="28" max="16384" width="8.83203125" style="149"/>
  </cols>
  <sheetData>
    <row r="1" spans="1:12" ht="12">
      <c r="A1" s="147" t="str">
        <f>muni&amp;" - "&amp;TableA16</f>
        <v>NW373 Rustenburg - Supporting Table SA16 Investment particulars by maturity</v>
      </c>
      <c r="B1" s="147"/>
      <c r="C1" s="147"/>
      <c r="D1" s="147"/>
      <c r="E1" s="147"/>
      <c r="F1" s="147"/>
      <c r="G1" s="147"/>
      <c r="H1" s="147"/>
      <c r="I1" s="147"/>
      <c r="J1" s="147"/>
      <c r="K1" s="147"/>
      <c r="L1" s="147"/>
    </row>
    <row r="2" spans="1:12" ht="33.75" customHeight="1">
      <c r="A2" s="142" t="s">
        <v>551</v>
      </c>
      <c r="B2" s="733" t="str">
        <f>head27</f>
        <v>Ref</v>
      </c>
      <c r="C2" s="150" t="s">
        <v>553</v>
      </c>
      <c r="D2" s="2810" t="s">
        <v>554</v>
      </c>
      <c r="E2" s="2289" t="s">
        <v>2061</v>
      </c>
      <c r="F2" s="2289" t="s">
        <v>2060</v>
      </c>
      <c r="G2" s="2289" t="s">
        <v>2066</v>
      </c>
      <c r="H2" s="2289" t="s">
        <v>2221</v>
      </c>
      <c r="I2" s="2289" t="s">
        <v>2062</v>
      </c>
      <c r="J2" s="2798" t="s">
        <v>555</v>
      </c>
      <c r="K2" s="144" t="s">
        <v>556</v>
      </c>
      <c r="L2" s="734" t="s">
        <v>557</v>
      </c>
    </row>
    <row r="3" spans="1:12">
      <c r="A3" s="141" t="s">
        <v>552</v>
      </c>
      <c r="B3" s="735">
        <v>1</v>
      </c>
      <c r="C3" s="138" t="s">
        <v>1582</v>
      </c>
      <c r="D3" s="2811"/>
      <c r="E3" s="987"/>
      <c r="F3" s="987"/>
      <c r="G3" s="987"/>
      <c r="H3" s="987"/>
      <c r="I3" s="987"/>
      <c r="J3" s="2799"/>
      <c r="K3" s="736" t="s">
        <v>1293</v>
      </c>
      <c r="L3" s="737"/>
    </row>
    <row r="4" spans="1:12">
      <c r="A4" s="249" t="s">
        <v>178</v>
      </c>
      <c r="B4" s="2453"/>
      <c r="C4" s="182"/>
      <c r="D4" s="738"/>
      <c r="E4" s="738"/>
      <c r="F4" s="738"/>
      <c r="G4" s="738"/>
      <c r="H4" s="738"/>
      <c r="I4" s="738"/>
      <c r="J4" s="739"/>
      <c r="K4" s="740"/>
      <c r="L4" s="741"/>
    </row>
    <row r="5" spans="1:12" ht="11.25" customHeight="1">
      <c r="A5" s="1904"/>
      <c r="B5" s="2454"/>
      <c r="C5" s="1840"/>
      <c r="D5" s="1905"/>
      <c r="E5" s="1905"/>
      <c r="F5" s="1905"/>
      <c r="G5" s="1905"/>
      <c r="H5" s="1905"/>
      <c r="I5" s="1905"/>
      <c r="J5" s="1906"/>
      <c r="K5" s="1901"/>
      <c r="L5" s="1907"/>
    </row>
    <row r="6" spans="1:12" ht="11.25" customHeight="1">
      <c r="A6" s="2591"/>
      <c r="B6" s="2454"/>
      <c r="C6" s="1943"/>
      <c r="D6" s="2597"/>
      <c r="E6" s="2597"/>
      <c r="F6" s="2597"/>
      <c r="G6" s="2597"/>
      <c r="H6" s="2597"/>
      <c r="I6" s="2597"/>
      <c r="J6" s="1906"/>
      <c r="K6" s="1901"/>
      <c r="L6" s="1907"/>
    </row>
    <row r="7" spans="1:12" ht="11.25" customHeight="1">
      <c r="A7" s="2592"/>
      <c r="B7" s="2454"/>
      <c r="C7" s="2598"/>
      <c r="D7" s="2599"/>
      <c r="E7" s="2599"/>
      <c r="F7" s="2599"/>
      <c r="G7" s="2599"/>
      <c r="H7" s="2599"/>
      <c r="I7" s="2599"/>
      <c r="J7" s="2600"/>
      <c r="K7" s="2601"/>
      <c r="L7" s="2602"/>
    </row>
    <row r="8" spans="1:12" ht="11.25" customHeight="1">
      <c r="A8" s="2591" t="s">
        <v>3930</v>
      </c>
      <c r="B8" s="2454"/>
      <c r="C8" s="2598"/>
      <c r="D8" s="2599"/>
      <c r="E8" s="2599"/>
      <c r="F8" s="2599"/>
      <c r="G8" s="2599"/>
      <c r="H8" s="2599"/>
      <c r="I8" s="2599"/>
      <c r="J8" s="2600"/>
      <c r="K8" s="2601"/>
      <c r="L8" s="2602"/>
    </row>
    <row r="9" spans="1:12" ht="11.25" customHeight="1">
      <c r="A9" s="2619">
        <v>74349661427</v>
      </c>
      <c r="B9" s="2454"/>
      <c r="C9" s="2598" t="s">
        <v>3999</v>
      </c>
      <c r="D9" s="2599" t="s">
        <v>4000</v>
      </c>
      <c r="E9" s="2599" t="s">
        <v>828</v>
      </c>
      <c r="F9" s="2599" t="s">
        <v>4001</v>
      </c>
      <c r="G9" s="2620">
        <v>5.1999999999999998E-2</v>
      </c>
      <c r="H9" s="2599">
        <v>0</v>
      </c>
      <c r="I9" s="2599">
        <v>0</v>
      </c>
      <c r="J9" s="2600">
        <v>41368</v>
      </c>
      <c r="K9" s="2601">
        <v>21431740.059999999</v>
      </c>
      <c r="L9" s="2602">
        <v>274796.00950861943</v>
      </c>
    </row>
    <row r="10" spans="1:12" ht="11.25" customHeight="1">
      <c r="A10" s="2619">
        <v>74381848695</v>
      </c>
      <c r="B10" s="2454"/>
      <c r="C10" s="2598" t="s">
        <v>4002</v>
      </c>
      <c r="D10" s="2599" t="s">
        <v>4000</v>
      </c>
      <c r="E10" s="2599" t="s">
        <v>828</v>
      </c>
      <c r="F10" s="2599" t="s">
        <v>4001</v>
      </c>
      <c r="G10" s="2620">
        <v>5.1999999999999998E-2</v>
      </c>
      <c r="H10" s="2599">
        <v>0</v>
      </c>
      <c r="I10" s="2599">
        <v>0</v>
      </c>
      <c r="J10" s="2600">
        <v>41372</v>
      </c>
      <c r="K10" s="2601">
        <v>22094106.5</v>
      </c>
      <c r="L10" s="2602">
        <v>286436.46999999997</v>
      </c>
    </row>
    <row r="11" spans="1:12" ht="11.25" customHeight="1">
      <c r="A11" s="2619">
        <v>71306079817</v>
      </c>
      <c r="B11" s="2454"/>
      <c r="C11" s="2598" t="s">
        <v>4003</v>
      </c>
      <c r="D11" s="2599" t="s">
        <v>4000</v>
      </c>
      <c r="E11" s="2599" t="s">
        <v>828</v>
      </c>
      <c r="F11" s="2599" t="s">
        <v>4001</v>
      </c>
      <c r="G11" s="2620">
        <v>5.5E-2</v>
      </c>
      <c r="H11" s="2599">
        <v>0</v>
      </c>
      <c r="I11" s="2599">
        <v>0</v>
      </c>
      <c r="J11" s="2600">
        <v>41538</v>
      </c>
      <c r="K11" s="2601">
        <v>21570848.699999999</v>
      </c>
      <c r="L11" s="2602">
        <v>890610.11</v>
      </c>
    </row>
    <row r="12" spans="1:12" ht="11.25" customHeight="1">
      <c r="A12" s="2619">
        <v>71262813979</v>
      </c>
      <c r="B12" s="2454"/>
      <c r="C12" s="2598" t="s">
        <v>4002</v>
      </c>
      <c r="D12" s="2599" t="s">
        <v>4000</v>
      </c>
      <c r="E12" s="2599" t="s">
        <v>828</v>
      </c>
      <c r="F12" s="2599" t="s">
        <v>4001</v>
      </c>
      <c r="G12" s="2620">
        <v>5.1999999999999998E-2</v>
      </c>
      <c r="H12" s="2599">
        <v>0</v>
      </c>
      <c r="I12" s="2599">
        <v>0</v>
      </c>
      <c r="J12" s="2600">
        <v>41366</v>
      </c>
      <c r="K12" s="2601">
        <v>20170465.75</v>
      </c>
      <c r="L12" s="2602">
        <v>258624.05</v>
      </c>
    </row>
    <row r="13" spans="1:12" ht="11.25" customHeight="1">
      <c r="A13" s="2619">
        <v>71306078679</v>
      </c>
      <c r="B13" s="2454"/>
      <c r="C13" s="2598" t="s">
        <v>4004</v>
      </c>
      <c r="D13" s="2599" t="s">
        <v>4000</v>
      </c>
      <c r="E13" s="2599" t="s">
        <v>828</v>
      </c>
      <c r="F13" s="2599" t="s">
        <v>4001</v>
      </c>
      <c r="G13" s="2620">
        <v>5.1999999999999998E-2</v>
      </c>
      <c r="H13" s="2599">
        <v>0</v>
      </c>
      <c r="I13" s="2599">
        <v>0</v>
      </c>
      <c r="J13" s="2600">
        <v>41366</v>
      </c>
      <c r="K13" s="2601">
        <v>20000000</v>
      </c>
      <c r="L13" s="2602">
        <v>256438.36</v>
      </c>
    </row>
    <row r="14" spans="1:12" ht="11.25" customHeight="1">
      <c r="A14" s="2594"/>
      <c r="B14" s="2454"/>
      <c r="C14" s="2598"/>
      <c r="D14" s="2599"/>
      <c r="E14" s="2599"/>
      <c r="F14" s="2599"/>
      <c r="G14" s="2620"/>
      <c r="H14" s="2599"/>
      <c r="I14" s="2599"/>
      <c r="J14" s="2600"/>
      <c r="K14" s="2601"/>
      <c r="L14" s="2602"/>
    </row>
    <row r="15" spans="1:12" ht="11.25" customHeight="1">
      <c r="A15" s="2593"/>
      <c r="B15" s="2454"/>
      <c r="C15" s="2598"/>
      <c r="D15" s="2599"/>
      <c r="E15" s="2599"/>
      <c r="F15" s="2599"/>
      <c r="G15" s="2620"/>
      <c r="H15" s="2599"/>
      <c r="I15" s="2599"/>
      <c r="J15" s="2603"/>
      <c r="K15" s="2601"/>
      <c r="L15" s="2602"/>
    </row>
    <row r="16" spans="1:12" ht="11.25" customHeight="1">
      <c r="A16" s="2595" t="s">
        <v>3931</v>
      </c>
      <c r="B16" s="2454"/>
      <c r="C16" s="2598"/>
      <c r="D16" s="2599"/>
      <c r="E16" s="2599"/>
      <c r="F16" s="2598"/>
      <c r="G16" s="2621"/>
      <c r="H16" s="2604"/>
      <c r="I16" s="2598"/>
      <c r="J16" s="2605"/>
      <c r="K16" s="2601"/>
      <c r="L16" s="2602"/>
    </row>
    <row r="17" spans="1:12" ht="11.25" customHeight="1">
      <c r="A17" s="2596" t="s">
        <v>3933</v>
      </c>
      <c r="B17" s="2454"/>
      <c r="C17" s="2598" t="s">
        <v>4005</v>
      </c>
      <c r="D17" s="2599" t="s">
        <v>4000</v>
      </c>
      <c r="E17" s="2599" t="s">
        <v>828</v>
      </c>
      <c r="F17" s="2599" t="s">
        <v>4001</v>
      </c>
      <c r="G17" s="2620">
        <v>5.2999999999999999E-2</v>
      </c>
      <c r="H17" s="2599">
        <v>0</v>
      </c>
      <c r="I17" s="2599">
        <v>0</v>
      </c>
      <c r="J17" s="2600">
        <v>41295</v>
      </c>
      <c r="K17" s="2601">
        <v>26073880.84</v>
      </c>
      <c r="L17" s="2602">
        <v>579268.77</v>
      </c>
    </row>
    <row r="18" spans="1:12" ht="11.25" customHeight="1">
      <c r="A18" s="2596" t="s">
        <v>3934</v>
      </c>
      <c r="B18" s="2454"/>
      <c r="C18" s="2598" t="s">
        <v>4004</v>
      </c>
      <c r="D18" s="2599" t="s">
        <v>4000</v>
      </c>
      <c r="E18" s="2599" t="s">
        <v>828</v>
      </c>
      <c r="F18" s="2599" t="s">
        <v>4001</v>
      </c>
      <c r="G18" s="2620">
        <v>5.2999999999999999E-2</v>
      </c>
      <c r="H18" s="2599">
        <v>0</v>
      </c>
      <c r="I18" s="2599">
        <v>0</v>
      </c>
      <c r="J18" s="2600">
        <v>41302</v>
      </c>
      <c r="K18" s="2606">
        <v>21881301.829999998</v>
      </c>
      <c r="L18" s="2602">
        <v>188329.07</v>
      </c>
    </row>
    <row r="19" spans="1:12" ht="11.25" customHeight="1">
      <c r="A19" s="2596" t="s">
        <v>3935</v>
      </c>
      <c r="B19" s="2454"/>
      <c r="C19" s="2598" t="s">
        <v>4004</v>
      </c>
      <c r="D19" s="2599" t="s">
        <v>4000</v>
      </c>
      <c r="E19" s="2599" t="s">
        <v>828</v>
      </c>
      <c r="F19" s="2599" t="s">
        <v>4001</v>
      </c>
      <c r="G19" s="2620">
        <v>5.1499999999999997E-2</v>
      </c>
      <c r="H19" s="2599">
        <v>0</v>
      </c>
      <c r="I19" s="2599">
        <v>0</v>
      </c>
      <c r="J19" s="2600">
        <v>41302</v>
      </c>
      <c r="K19" s="2606">
        <v>21669975.039999999</v>
      </c>
      <c r="L19" s="2602">
        <v>186510.21</v>
      </c>
    </row>
    <row r="20" spans="1:12" ht="11.25" customHeight="1">
      <c r="A20" s="2596" t="s">
        <v>3932</v>
      </c>
      <c r="B20" s="2454"/>
      <c r="C20" s="2598" t="s">
        <v>4002</v>
      </c>
      <c r="D20" s="2599" t="s">
        <v>4000</v>
      </c>
      <c r="E20" s="2599" t="s">
        <v>828</v>
      </c>
      <c r="F20" s="2598" t="s">
        <v>4001</v>
      </c>
      <c r="G20" s="2622">
        <v>5.1749999999999997E-2</v>
      </c>
      <c r="H20" s="2604">
        <v>0</v>
      </c>
      <c r="I20" s="2598">
        <v>0</v>
      </c>
      <c r="J20" s="2600">
        <v>41283</v>
      </c>
      <c r="K20" s="2606">
        <v>21191873.510000002</v>
      </c>
      <c r="L20" s="2602">
        <v>276423.31</v>
      </c>
    </row>
    <row r="21" spans="1:12" ht="11.25" customHeight="1">
      <c r="A21" s="2596" t="s">
        <v>4006</v>
      </c>
      <c r="B21" s="2454"/>
      <c r="C21" s="2598" t="s">
        <v>4002</v>
      </c>
      <c r="D21" s="2599" t="s">
        <v>4000</v>
      </c>
      <c r="E21" s="2599" t="s">
        <v>828</v>
      </c>
      <c r="F21" s="2598" t="s">
        <v>4001</v>
      </c>
      <c r="G21" s="2623">
        <v>5.1499999999999997E-2</v>
      </c>
      <c r="H21" s="2604">
        <v>0</v>
      </c>
      <c r="I21" s="2598">
        <v>0</v>
      </c>
      <c r="J21" s="2600">
        <v>41283</v>
      </c>
      <c r="K21" s="2606">
        <v>23229721.379999999</v>
      </c>
      <c r="L21" s="2602">
        <v>301540.88</v>
      </c>
    </row>
    <row r="22" spans="1:12" ht="11.25" customHeight="1">
      <c r="A22" s="2593"/>
      <c r="B22" s="2454"/>
      <c r="C22" s="2598"/>
      <c r="D22" s="2599"/>
      <c r="E22" s="2599"/>
      <c r="F22" s="2599"/>
      <c r="G22" s="2620"/>
      <c r="H22" s="2599"/>
      <c r="I22" s="2598"/>
      <c r="J22" s="2603"/>
      <c r="K22" s="2606"/>
      <c r="L22" s="2602"/>
    </row>
    <row r="23" spans="1:12" ht="11.25" customHeight="1">
      <c r="A23" s="2595" t="s">
        <v>3936</v>
      </c>
      <c r="B23" s="2454"/>
      <c r="C23" s="2598"/>
      <c r="D23" s="2599"/>
      <c r="E23" s="2599"/>
      <c r="F23" s="2599"/>
      <c r="G23" s="2621"/>
      <c r="H23" s="2604"/>
      <c r="I23" s="2598"/>
      <c r="J23" s="2605"/>
      <c r="K23" s="2601"/>
      <c r="L23" s="2602"/>
    </row>
    <row r="24" spans="1:12" ht="11.25" customHeight="1">
      <c r="A24" s="2624" t="s">
        <v>3938</v>
      </c>
      <c r="B24" s="2454"/>
      <c r="C24" s="2598" t="s">
        <v>4007</v>
      </c>
      <c r="D24" s="2599" t="s">
        <v>4000</v>
      </c>
      <c r="E24" s="2599" t="s">
        <v>828</v>
      </c>
      <c r="F24" s="2598" t="s">
        <v>4001</v>
      </c>
      <c r="G24" s="2623">
        <v>5.2999999999999999E-2</v>
      </c>
      <c r="H24" s="2604">
        <v>0</v>
      </c>
      <c r="I24" s="2598">
        <v>0</v>
      </c>
      <c r="J24" s="2625">
        <v>41337</v>
      </c>
      <c r="K24" s="2606">
        <v>20683054.539999999</v>
      </c>
      <c r="L24" s="2602">
        <v>546599.30000000005</v>
      </c>
    </row>
    <row r="25" spans="1:12" ht="11.25" customHeight="1">
      <c r="A25" s="2626" t="s">
        <v>4008</v>
      </c>
      <c r="B25" s="2454"/>
      <c r="C25" s="2598" t="s">
        <v>3999</v>
      </c>
      <c r="D25" s="2599" t="s">
        <v>4000</v>
      </c>
      <c r="E25" s="2599" t="s">
        <v>828</v>
      </c>
      <c r="F25" s="2598" t="s">
        <v>4001</v>
      </c>
      <c r="G25" s="2622">
        <v>5.2249999999999998E-2</v>
      </c>
      <c r="H25" s="2604">
        <v>0</v>
      </c>
      <c r="I25" s="2598">
        <v>0</v>
      </c>
      <c r="J25" s="2625">
        <v>41339</v>
      </c>
      <c r="K25" s="2606">
        <v>21284588.25</v>
      </c>
      <c r="L25" s="2602">
        <v>365628.41</v>
      </c>
    </row>
    <row r="26" spans="1:12" ht="11.25" customHeight="1">
      <c r="A26" s="2619" t="s">
        <v>4009</v>
      </c>
      <c r="B26" s="2454"/>
      <c r="C26" s="2598" t="s">
        <v>4003</v>
      </c>
      <c r="D26" s="2599" t="s">
        <v>4000</v>
      </c>
      <c r="E26" s="2599" t="s">
        <v>828</v>
      </c>
      <c r="F26" s="2598" t="s">
        <v>4001</v>
      </c>
      <c r="G26" s="2623">
        <v>6.2E-2</v>
      </c>
      <c r="H26" s="2604">
        <v>0</v>
      </c>
      <c r="I26" s="2598">
        <v>0</v>
      </c>
      <c r="J26" s="2625">
        <v>41284</v>
      </c>
      <c r="K26" s="2606">
        <v>22596199.5</v>
      </c>
      <c r="L26" s="2602">
        <v>1055521.1000000001</v>
      </c>
    </row>
    <row r="27" spans="1:12" ht="11.25" customHeight="1">
      <c r="A27" s="2619" t="s">
        <v>3937</v>
      </c>
      <c r="B27" s="2454"/>
      <c r="C27" s="2598" t="s">
        <v>4005</v>
      </c>
      <c r="D27" s="2599" t="s">
        <v>4000</v>
      </c>
      <c r="E27" s="2599" t="s">
        <v>828</v>
      </c>
      <c r="F27" s="2598" t="s">
        <v>4001</v>
      </c>
      <c r="G27" s="2623">
        <v>5.2999999999999999E-2</v>
      </c>
      <c r="H27" s="2604">
        <v>0</v>
      </c>
      <c r="I27" s="2598">
        <v>0</v>
      </c>
      <c r="J27" s="2625">
        <v>41379</v>
      </c>
      <c r="K27" s="2606">
        <v>21401764.930000003</v>
      </c>
      <c r="L27" s="2602">
        <v>472363.34</v>
      </c>
    </row>
    <row r="28" spans="1:12" ht="11.25" customHeight="1">
      <c r="A28" s="2619" t="s">
        <v>3939</v>
      </c>
      <c r="B28" s="2454"/>
      <c r="C28" s="2598" t="s">
        <v>3999</v>
      </c>
      <c r="D28" s="2599" t="s">
        <v>4000</v>
      </c>
      <c r="E28" s="2599" t="s">
        <v>828</v>
      </c>
      <c r="F28" s="2598" t="s">
        <v>4001</v>
      </c>
      <c r="G28" s="2623">
        <v>5.2499999999999998E-2</v>
      </c>
      <c r="H28" s="2604">
        <v>0</v>
      </c>
      <c r="I28" s="2598">
        <v>0</v>
      </c>
      <c r="J28" s="2625">
        <v>41320</v>
      </c>
      <c r="K28" s="2606">
        <v>23214060.379999999</v>
      </c>
      <c r="L28" s="2602">
        <v>410698.07</v>
      </c>
    </row>
    <row r="29" spans="1:12" ht="11.25" customHeight="1">
      <c r="A29" s="2619" t="s">
        <v>4010</v>
      </c>
      <c r="B29" s="2454"/>
      <c r="C29" s="2598" t="s">
        <v>4003</v>
      </c>
      <c r="D29" s="2599" t="s">
        <v>4000</v>
      </c>
      <c r="E29" s="2599" t="s">
        <v>828</v>
      </c>
      <c r="F29" s="2598" t="s">
        <v>4001</v>
      </c>
      <c r="G29" s="2623">
        <v>6.2E-2</v>
      </c>
      <c r="H29" s="2604">
        <v>0</v>
      </c>
      <c r="I29" s="2598">
        <v>0</v>
      </c>
      <c r="J29" s="2625">
        <v>41284</v>
      </c>
      <c r="K29" s="2606">
        <v>22543247.699999999</v>
      </c>
      <c r="L29" s="2602">
        <v>1053047.6000000001</v>
      </c>
    </row>
    <row r="30" spans="1:12" ht="11.25" customHeight="1">
      <c r="A30" s="2619" t="s">
        <v>4011</v>
      </c>
      <c r="B30" s="2454"/>
      <c r="C30" s="2598" t="s">
        <v>3999</v>
      </c>
      <c r="D30" s="2599" t="s">
        <v>4000</v>
      </c>
      <c r="E30" s="2599" t="s">
        <v>828</v>
      </c>
      <c r="F30" s="2598" t="s">
        <v>4001</v>
      </c>
      <c r="G30" s="2623">
        <v>5.2499999999999998E-2</v>
      </c>
      <c r="H30" s="2604">
        <v>0</v>
      </c>
      <c r="I30" s="2598">
        <v>0</v>
      </c>
      <c r="J30" s="2625">
        <v>41323</v>
      </c>
      <c r="K30" s="2606">
        <v>21287764.440000001</v>
      </c>
      <c r="L30" s="2602">
        <v>382742.34</v>
      </c>
    </row>
    <row r="31" spans="1:12" ht="11.25" customHeight="1">
      <c r="A31" s="2619" t="s">
        <v>4012</v>
      </c>
      <c r="B31" s="2454"/>
      <c r="C31" s="2598" t="s">
        <v>4005</v>
      </c>
      <c r="D31" s="2599" t="s">
        <v>4000</v>
      </c>
      <c r="E31" s="2599" t="s">
        <v>828</v>
      </c>
      <c r="F31" s="2598" t="s">
        <v>4001</v>
      </c>
      <c r="G31" s="2627">
        <v>5.2749999999999998E-2</v>
      </c>
      <c r="H31" s="2604">
        <v>0</v>
      </c>
      <c r="I31" s="2598">
        <v>0</v>
      </c>
      <c r="J31" s="2625">
        <v>41366</v>
      </c>
      <c r="K31" s="2606">
        <v>20000000</v>
      </c>
      <c r="L31" s="2602">
        <v>436452.05</v>
      </c>
    </row>
    <row r="32" spans="1:12" ht="11.25" customHeight="1">
      <c r="A32" s="2619" t="s">
        <v>4013</v>
      </c>
      <c r="B32" s="2454"/>
      <c r="C32" s="2598" t="s">
        <v>3999</v>
      </c>
      <c r="D32" s="2599" t="s">
        <v>4000</v>
      </c>
      <c r="E32" s="2599" t="s">
        <v>828</v>
      </c>
      <c r="F32" s="2598" t="s">
        <v>4001</v>
      </c>
      <c r="G32" s="2623">
        <v>5.2499999999999998E-2</v>
      </c>
      <c r="H32" s="2604">
        <v>0</v>
      </c>
      <c r="I32" s="2598">
        <v>0</v>
      </c>
      <c r="J32" s="2625">
        <v>41335</v>
      </c>
      <c r="K32" s="2606">
        <v>20000000</v>
      </c>
      <c r="L32" s="2602">
        <v>345205.48</v>
      </c>
    </row>
    <row r="33" spans="1:12" ht="11.25" customHeight="1">
      <c r="A33" s="2619" t="s">
        <v>4014</v>
      </c>
      <c r="B33" s="2454"/>
      <c r="C33" s="2598" t="s">
        <v>4005</v>
      </c>
      <c r="D33" s="2599" t="s">
        <v>4000</v>
      </c>
      <c r="E33" s="2599" t="s">
        <v>828</v>
      </c>
      <c r="F33" s="2598" t="s">
        <v>4001</v>
      </c>
      <c r="G33" s="2623">
        <v>5.3499999999999999E-2</v>
      </c>
      <c r="H33" s="2604">
        <v>0</v>
      </c>
      <c r="I33" s="2598">
        <v>0</v>
      </c>
      <c r="J33" s="2625">
        <v>41398</v>
      </c>
      <c r="K33" s="2606">
        <v>20000000</v>
      </c>
      <c r="L33" s="2602">
        <v>442657.53</v>
      </c>
    </row>
    <row r="34" spans="1:12" ht="11.25" customHeight="1">
      <c r="A34" s="2619" t="s">
        <v>4015</v>
      </c>
      <c r="B34" s="2454"/>
      <c r="C34" s="2598" t="s">
        <v>3999</v>
      </c>
      <c r="D34" s="2599" t="s">
        <v>4000</v>
      </c>
      <c r="E34" s="2599" t="s">
        <v>828</v>
      </c>
      <c r="F34" s="2598" t="s">
        <v>4001</v>
      </c>
      <c r="G34" s="2623">
        <v>5.3499999999999999E-2</v>
      </c>
      <c r="H34" s="2604">
        <v>0</v>
      </c>
      <c r="I34" s="2598">
        <v>0</v>
      </c>
      <c r="J34" s="2625">
        <v>41368</v>
      </c>
      <c r="K34" s="2606">
        <v>20000000</v>
      </c>
      <c r="L34" s="2602">
        <v>354712.33</v>
      </c>
    </row>
    <row r="35" spans="1:12" ht="11.25" customHeight="1">
      <c r="A35" s="2628"/>
      <c r="B35" s="2454"/>
      <c r="C35" s="2598"/>
      <c r="D35" s="2599"/>
      <c r="E35" s="2599"/>
      <c r="F35" s="2599"/>
      <c r="G35" s="2623"/>
      <c r="H35" s="2604"/>
      <c r="I35" s="2598"/>
      <c r="J35" s="2607"/>
      <c r="K35" s="2606"/>
      <c r="L35" s="2602"/>
    </row>
    <row r="36" spans="1:12" ht="11.25" customHeight="1">
      <c r="A36" s="2595" t="s">
        <v>3940</v>
      </c>
      <c r="B36" s="2454"/>
      <c r="C36" s="2598"/>
      <c r="D36" s="2599"/>
      <c r="E36" s="2599"/>
      <c r="F36" s="2599"/>
      <c r="G36" s="2620"/>
      <c r="H36" s="2599"/>
      <c r="I36" s="2598"/>
      <c r="J36" s="2605"/>
      <c r="K36" s="2601"/>
      <c r="L36" s="2602"/>
    </row>
    <row r="37" spans="1:12" ht="11.25" customHeight="1">
      <c r="A37" s="2619">
        <v>9063930063</v>
      </c>
      <c r="B37" s="2454"/>
      <c r="C37" s="2598" t="s">
        <v>4016</v>
      </c>
      <c r="D37" s="2599" t="s">
        <v>4000</v>
      </c>
      <c r="E37" s="2599" t="s">
        <v>828</v>
      </c>
      <c r="F37" s="2598" t="s">
        <v>4001</v>
      </c>
      <c r="G37" s="2623">
        <v>1.4500000000000001E-2</v>
      </c>
      <c r="H37" s="2604">
        <v>0</v>
      </c>
      <c r="I37" s="2598">
        <v>0</v>
      </c>
      <c r="J37" s="2607" t="s">
        <v>4017</v>
      </c>
      <c r="K37" s="2606">
        <v>590000</v>
      </c>
      <c r="L37" s="2602">
        <v>703.15</v>
      </c>
    </row>
    <row r="38" spans="1:12" ht="11.25" customHeight="1">
      <c r="A38" s="2619">
        <v>2071845962</v>
      </c>
      <c r="B38" s="2454"/>
      <c r="C38" s="2598" t="s">
        <v>4002</v>
      </c>
      <c r="D38" s="2599" t="s">
        <v>4000</v>
      </c>
      <c r="E38" s="2599" t="s">
        <v>828</v>
      </c>
      <c r="F38" s="2598" t="s">
        <v>4001</v>
      </c>
      <c r="G38" s="2623">
        <v>5.1700000000000003E-2</v>
      </c>
      <c r="H38" s="2604">
        <v>0</v>
      </c>
      <c r="I38" s="2598">
        <v>0</v>
      </c>
      <c r="J38" s="2625">
        <v>41305</v>
      </c>
      <c r="K38" s="2606">
        <v>21417669.91</v>
      </c>
      <c r="L38" s="2602">
        <v>273031.28000000003</v>
      </c>
    </row>
    <row r="39" spans="1:12" ht="11.25" customHeight="1">
      <c r="A39" s="2619">
        <v>2071845970</v>
      </c>
      <c r="B39" s="2454"/>
      <c r="C39" s="2598" t="s">
        <v>4002</v>
      </c>
      <c r="D39" s="2599" t="s">
        <v>4000</v>
      </c>
      <c r="E39" s="2599" t="s">
        <v>828</v>
      </c>
      <c r="F39" s="2598" t="s">
        <v>4001</v>
      </c>
      <c r="G39" s="2623">
        <v>5.1700000000000003E-2</v>
      </c>
      <c r="H39" s="2604">
        <v>0</v>
      </c>
      <c r="I39" s="2598">
        <v>0</v>
      </c>
      <c r="J39" s="2625">
        <v>41305</v>
      </c>
      <c r="K39" s="2606">
        <v>21519484</v>
      </c>
      <c r="L39" s="2602">
        <v>274329.2</v>
      </c>
    </row>
    <row r="40" spans="1:12" ht="11.25" customHeight="1">
      <c r="A40" s="2626">
        <v>2071845938</v>
      </c>
      <c r="B40" s="2454"/>
      <c r="C40" s="2598" t="s">
        <v>4002</v>
      </c>
      <c r="D40" s="2599" t="s">
        <v>4000</v>
      </c>
      <c r="E40" s="2599" t="s">
        <v>828</v>
      </c>
      <c r="F40" s="2598" t="s">
        <v>4001</v>
      </c>
      <c r="G40" s="2623">
        <v>5.1700000000000003E-2</v>
      </c>
      <c r="H40" s="2604">
        <v>0</v>
      </c>
      <c r="I40" s="2598">
        <v>0</v>
      </c>
      <c r="J40" s="2625">
        <v>41305</v>
      </c>
      <c r="K40" s="2606">
        <v>21519484</v>
      </c>
      <c r="L40" s="2602">
        <v>274329.2</v>
      </c>
    </row>
    <row r="41" spans="1:12" ht="11.25" customHeight="1">
      <c r="A41" s="2626">
        <v>2071857802</v>
      </c>
      <c r="B41" s="2454"/>
      <c r="C41" s="2598" t="s">
        <v>4002</v>
      </c>
      <c r="D41" s="2599" t="s">
        <v>4000</v>
      </c>
      <c r="E41" s="2599" t="s">
        <v>828</v>
      </c>
      <c r="F41" s="2598" t="s">
        <v>4001</v>
      </c>
      <c r="G41" s="2623">
        <v>5.1999999999999998E-2</v>
      </c>
      <c r="H41" s="2604">
        <v>0</v>
      </c>
      <c r="I41" s="2598">
        <v>0</v>
      </c>
      <c r="J41" s="2625">
        <v>41312</v>
      </c>
      <c r="K41" s="2606">
        <v>22321300.609999999</v>
      </c>
      <c r="L41" s="2602">
        <v>292561.91999999998</v>
      </c>
    </row>
    <row r="42" spans="1:12" ht="11.25" customHeight="1">
      <c r="A42" s="2629">
        <v>2071913507</v>
      </c>
      <c r="B42" s="2454"/>
      <c r="C42" s="2598" t="s">
        <v>4002</v>
      </c>
      <c r="D42" s="2599" t="s">
        <v>4000</v>
      </c>
      <c r="E42" s="2599" t="s">
        <v>828</v>
      </c>
      <c r="F42" s="2598" t="s">
        <v>4001</v>
      </c>
      <c r="G42" s="2623">
        <v>5.1999999999999998E-2</v>
      </c>
      <c r="H42" s="2604">
        <v>0</v>
      </c>
      <c r="I42" s="2598">
        <v>0</v>
      </c>
      <c r="J42" s="2625">
        <v>41337</v>
      </c>
      <c r="K42" s="2606">
        <v>21542592.030000001</v>
      </c>
      <c r="L42" s="2602">
        <v>279286.43</v>
      </c>
    </row>
    <row r="43" spans="1:12" ht="11.25" customHeight="1">
      <c r="A43" s="2629">
        <v>2071913515</v>
      </c>
      <c r="B43" s="2454"/>
      <c r="C43" s="2598" t="s">
        <v>4002</v>
      </c>
      <c r="D43" s="2599" t="s">
        <v>4000</v>
      </c>
      <c r="E43" s="2599" t="s">
        <v>828</v>
      </c>
      <c r="F43" s="2598" t="s">
        <v>4001</v>
      </c>
      <c r="G43" s="2623">
        <v>5.1999999999999998E-2</v>
      </c>
      <c r="H43" s="2604">
        <v>0</v>
      </c>
      <c r="I43" s="2598">
        <v>0</v>
      </c>
      <c r="J43" s="2625">
        <v>41337</v>
      </c>
      <c r="K43" s="2606">
        <v>22070857.689999998</v>
      </c>
      <c r="L43" s="2602">
        <v>286135.06</v>
      </c>
    </row>
    <row r="44" spans="1:12" ht="11.25" customHeight="1">
      <c r="A44" s="2629">
        <v>2071913492</v>
      </c>
      <c r="B44" s="2454"/>
      <c r="C44" s="2598" t="s">
        <v>4002</v>
      </c>
      <c r="D44" s="2599" t="s">
        <v>4000</v>
      </c>
      <c r="E44" s="2599" t="s">
        <v>828</v>
      </c>
      <c r="F44" s="2598" t="s">
        <v>4001</v>
      </c>
      <c r="G44" s="2623">
        <v>5.1999999999999998E-2</v>
      </c>
      <c r="H44" s="2604">
        <v>0</v>
      </c>
      <c r="I44" s="2598">
        <v>0</v>
      </c>
      <c r="J44" s="2625">
        <v>41337</v>
      </c>
      <c r="K44" s="2606">
        <v>22160539.739999998</v>
      </c>
      <c r="L44" s="2602">
        <v>287297.74</v>
      </c>
    </row>
    <row r="45" spans="1:12" ht="11.25" customHeight="1">
      <c r="A45" s="2626">
        <v>2072535176</v>
      </c>
      <c r="B45" s="2454"/>
      <c r="C45" s="2598" t="s">
        <v>4002</v>
      </c>
      <c r="D45" s="2599" t="s">
        <v>4000</v>
      </c>
      <c r="E45" s="2599" t="s">
        <v>828</v>
      </c>
      <c r="F45" s="2598" t="s">
        <v>4001</v>
      </c>
      <c r="G45" s="2621">
        <v>5.28E-2</v>
      </c>
      <c r="H45" s="2604">
        <v>0</v>
      </c>
      <c r="I45" s="2598">
        <v>0</v>
      </c>
      <c r="J45" s="2625">
        <v>41351</v>
      </c>
      <c r="K45" s="2601">
        <v>25405157.699999999</v>
      </c>
      <c r="L45" s="2602">
        <v>330754.27</v>
      </c>
    </row>
    <row r="46" spans="1:12" ht="11.25" customHeight="1">
      <c r="A46" s="2626">
        <v>2072850762</v>
      </c>
      <c r="B46" s="2454"/>
      <c r="C46" s="2598" t="s">
        <v>4002</v>
      </c>
      <c r="D46" s="2599" t="s">
        <v>4000</v>
      </c>
      <c r="E46" s="2599" t="s">
        <v>828</v>
      </c>
      <c r="F46" s="2598" t="s">
        <v>4001</v>
      </c>
      <c r="G46" s="2621">
        <v>5.1700000000000003E-2</v>
      </c>
      <c r="H46" s="2604">
        <v>0</v>
      </c>
      <c r="I46" s="2598">
        <v>0</v>
      </c>
      <c r="J46" s="2625">
        <v>41309</v>
      </c>
      <c r="K46" s="2601">
        <v>22317596.809999999</v>
      </c>
      <c r="L46" s="2602">
        <v>287664.65000000002</v>
      </c>
    </row>
    <row r="47" spans="1:12" ht="11.25" customHeight="1">
      <c r="A47" s="2626">
        <v>2072523860</v>
      </c>
      <c r="B47" s="2454"/>
      <c r="C47" s="2598" t="s">
        <v>4002</v>
      </c>
      <c r="D47" s="2599" t="s">
        <v>4000</v>
      </c>
      <c r="E47" s="2599" t="s">
        <v>828</v>
      </c>
      <c r="F47" s="2598" t="s">
        <v>4001</v>
      </c>
      <c r="G47" s="2621">
        <v>5.2699999999999997E-2</v>
      </c>
      <c r="H47" s="2604">
        <v>0</v>
      </c>
      <c r="I47" s="2598">
        <v>0</v>
      </c>
      <c r="J47" s="2625">
        <v>41338</v>
      </c>
      <c r="K47" s="2601">
        <v>20000000</v>
      </c>
      <c r="L47" s="2602">
        <v>259890.41</v>
      </c>
    </row>
    <row r="48" spans="1:12" ht="11.25" customHeight="1">
      <c r="A48" s="2626">
        <v>2072922107</v>
      </c>
      <c r="B48" s="2454"/>
      <c r="C48" s="2598" t="s">
        <v>4002</v>
      </c>
      <c r="D48" s="2599" t="s">
        <v>4000</v>
      </c>
      <c r="E48" s="2599" t="s">
        <v>828</v>
      </c>
      <c r="F48" s="2598" t="s">
        <v>4001</v>
      </c>
      <c r="G48" s="2621">
        <v>5.2699999999999997E-2</v>
      </c>
      <c r="H48" s="2604">
        <v>0</v>
      </c>
      <c r="I48" s="2598">
        <v>0</v>
      </c>
      <c r="J48" s="2630">
        <v>41338</v>
      </c>
      <c r="K48" s="2606">
        <v>20000000</v>
      </c>
      <c r="L48" s="2602">
        <v>259890.41</v>
      </c>
    </row>
    <row r="49" spans="1:12" ht="11.25" customHeight="1">
      <c r="A49" s="2631">
        <v>2072931992</v>
      </c>
      <c r="B49" s="2454"/>
      <c r="C49" s="2598" t="s">
        <v>4018</v>
      </c>
      <c r="D49" s="2599" t="s">
        <v>4000</v>
      </c>
      <c r="E49" s="2599" t="s">
        <v>828</v>
      </c>
      <c r="F49" s="2598" t="s">
        <v>4001</v>
      </c>
      <c r="G49" s="2623">
        <v>3.5000000000000003E-2</v>
      </c>
      <c r="H49" s="2604">
        <v>0</v>
      </c>
      <c r="I49" s="2598">
        <v>0</v>
      </c>
      <c r="J49" s="2630">
        <v>41618</v>
      </c>
      <c r="K49" s="2606">
        <v>170000</v>
      </c>
      <c r="L49" s="2602">
        <v>5950</v>
      </c>
    </row>
    <row r="50" spans="1:12" ht="11.25" customHeight="1">
      <c r="A50" s="2631">
        <v>2072918859</v>
      </c>
      <c r="B50" s="2454"/>
      <c r="C50" s="2598" t="s">
        <v>3999</v>
      </c>
      <c r="D50" s="2599" t="s">
        <v>4000</v>
      </c>
      <c r="E50" s="2599" t="s">
        <v>828</v>
      </c>
      <c r="F50" s="2598" t="s">
        <v>4001</v>
      </c>
      <c r="G50" s="2623">
        <v>5.1999999999999998E-2</v>
      </c>
      <c r="H50" s="2604">
        <v>0</v>
      </c>
      <c r="I50" s="2598">
        <v>0</v>
      </c>
      <c r="J50" s="2630">
        <v>41367</v>
      </c>
      <c r="K50" s="2606">
        <v>2200000</v>
      </c>
      <c r="L50" s="2602">
        <v>37610.95890410959</v>
      </c>
    </row>
    <row r="51" spans="1:12" ht="11.25" customHeight="1">
      <c r="A51" s="2631">
        <v>2072943214</v>
      </c>
      <c r="B51" s="2454"/>
      <c r="C51" s="2598" t="s">
        <v>3999</v>
      </c>
      <c r="D51" s="2599" t="s">
        <v>4000</v>
      </c>
      <c r="E51" s="2599" t="s">
        <v>828</v>
      </c>
      <c r="F51" s="2598" t="s">
        <v>4001</v>
      </c>
      <c r="G51" s="2623">
        <v>5.1499999999999997E-2</v>
      </c>
      <c r="H51" s="2604">
        <v>0</v>
      </c>
      <c r="I51" s="2598">
        <v>0</v>
      </c>
      <c r="J51" s="2630">
        <v>41379</v>
      </c>
      <c r="K51" s="2606">
        <v>11150000</v>
      </c>
      <c r="L51" s="2602">
        <v>193505.95890410963</v>
      </c>
    </row>
    <row r="52" spans="1:12" ht="11.25" customHeight="1">
      <c r="A52" s="2631">
        <v>2072924989</v>
      </c>
      <c r="B52" s="2454"/>
      <c r="C52" s="2598" t="s">
        <v>3999</v>
      </c>
      <c r="D52" s="2599" t="s">
        <v>4000</v>
      </c>
      <c r="E52" s="2599" t="s">
        <v>828</v>
      </c>
      <c r="F52" s="2598" t="s">
        <v>4001</v>
      </c>
      <c r="G52" s="2623">
        <v>5.21E-2</v>
      </c>
      <c r="H52" s="2604">
        <v>0</v>
      </c>
      <c r="I52" s="2598">
        <v>0</v>
      </c>
      <c r="J52" s="2630">
        <v>41369</v>
      </c>
      <c r="K52" s="2606">
        <v>2100000</v>
      </c>
      <c r="L52" s="2602">
        <v>35970.410958904111</v>
      </c>
    </row>
    <row r="53" spans="1:12" ht="11.25" customHeight="1">
      <c r="A53" s="2631">
        <v>2072895968</v>
      </c>
      <c r="B53" s="2454"/>
      <c r="C53" s="2598" t="s">
        <v>3999</v>
      </c>
      <c r="D53" s="2599" t="s">
        <v>4000</v>
      </c>
      <c r="E53" s="2599" t="s">
        <v>828</v>
      </c>
      <c r="F53" s="2598" t="s">
        <v>4001</v>
      </c>
      <c r="G53" s="2623">
        <v>5.0900000000000001E-2</v>
      </c>
      <c r="H53" s="2604">
        <v>0</v>
      </c>
      <c r="I53" s="2598">
        <v>0</v>
      </c>
      <c r="J53" s="2630">
        <v>41358</v>
      </c>
      <c r="K53" s="2606">
        <v>4000000</v>
      </c>
      <c r="L53" s="2602">
        <v>68052.602739726033</v>
      </c>
    </row>
    <row r="54" spans="1:12" ht="11.25" customHeight="1">
      <c r="A54" s="2592"/>
      <c r="B54" s="2454"/>
      <c r="C54" s="2609"/>
      <c r="D54" s="2599"/>
      <c r="E54" s="2599"/>
      <c r="F54" s="2599"/>
      <c r="G54" s="2621"/>
      <c r="H54" s="2604"/>
      <c r="I54" s="2598"/>
      <c r="J54" s="2632"/>
      <c r="K54" s="2601"/>
      <c r="L54" s="2602"/>
    </row>
    <row r="55" spans="1:12" ht="11.25" customHeight="1">
      <c r="A55" s="2592" t="s">
        <v>4019</v>
      </c>
      <c r="B55" s="2454"/>
      <c r="C55" s="2633" t="s">
        <v>3941</v>
      </c>
      <c r="D55" s="2599" t="s">
        <v>4000</v>
      </c>
      <c r="E55" s="2634" t="s">
        <v>828</v>
      </c>
      <c r="F55" s="2598" t="s">
        <v>1688</v>
      </c>
      <c r="G55" s="2635"/>
      <c r="H55" s="2604">
        <v>0</v>
      </c>
      <c r="I55" s="2598">
        <v>0</v>
      </c>
      <c r="J55" s="2636" t="s">
        <v>4020</v>
      </c>
      <c r="K55" s="1901">
        <v>42737185.219999999</v>
      </c>
      <c r="L55" s="1907">
        <v>2700000</v>
      </c>
    </row>
    <row r="56" spans="1:12" ht="11.25" customHeight="1">
      <c r="A56" s="1904"/>
      <c r="B56" s="2454"/>
      <c r="C56" s="2637"/>
      <c r="D56" s="1905"/>
      <c r="E56" s="1905"/>
      <c r="F56" s="1905"/>
      <c r="G56" s="2635"/>
      <c r="H56" s="1839"/>
      <c r="I56" s="1840"/>
      <c r="J56" s="2636"/>
      <c r="K56" s="1901"/>
      <c r="L56" s="1907"/>
    </row>
    <row r="57" spans="1:12" ht="11.25" customHeight="1">
      <c r="A57" s="1941" t="s">
        <v>4021</v>
      </c>
      <c r="B57" s="2454"/>
      <c r="C57" s="2633" t="s">
        <v>3941</v>
      </c>
      <c r="D57" s="2599" t="s">
        <v>4000</v>
      </c>
      <c r="E57" s="2634" t="s">
        <v>828</v>
      </c>
      <c r="F57" s="2598" t="s">
        <v>1688</v>
      </c>
      <c r="G57" s="2635"/>
      <c r="H57" s="2604">
        <v>0</v>
      </c>
      <c r="I57" s="2598">
        <v>0</v>
      </c>
      <c r="J57" s="2636" t="s">
        <v>4020</v>
      </c>
      <c r="K57" s="1901">
        <v>42109106.789999999</v>
      </c>
      <c r="L57" s="1907">
        <v>2500000</v>
      </c>
    </row>
    <row r="58" spans="1:12" ht="11.25" customHeight="1">
      <c r="A58" s="1941"/>
      <c r="B58" s="2454"/>
      <c r="C58" s="2633"/>
      <c r="D58" s="2599"/>
      <c r="E58" s="2634"/>
      <c r="F58" s="2599"/>
      <c r="G58" s="2635"/>
      <c r="H58" s="2604"/>
      <c r="I58" s="2598"/>
      <c r="J58" s="2636"/>
      <c r="K58" s="1901"/>
      <c r="L58" s="1907"/>
    </row>
    <row r="59" spans="1:12" ht="11.25" customHeight="1">
      <c r="A59" s="1941" t="s">
        <v>4022</v>
      </c>
      <c r="B59" s="2454"/>
      <c r="C59" s="2633" t="s">
        <v>3942</v>
      </c>
      <c r="D59" s="2633" t="s">
        <v>3942</v>
      </c>
      <c r="E59" s="2634" t="s">
        <v>828</v>
      </c>
      <c r="F59" s="2598" t="s">
        <v>1688</v>
      </c>
      <c r="G59" s="2635"/>
      <c r="H59" s="2604">
        <v>0</v>
      </c>
      <c r="I59" s="2598">
        <v>0</v>
      </c>
      <c r="J59" s="2636" t="s">
        <v>3942</v>
      </c>
      <c r="K59" s="1901">
        <v>100601133.97</v>
      </c>
      <c r="L59" s="1907">
        <v>5000000</v>
      </c>
    </row>
    <row r="60" spans="1:12" ht="11.25" customHeight="1">
      <c r="A60" s="1941"/>
      <c r="B60" s="2454"/>
      <c r="C60" s="2633"/>
      <c r="D60" s="2599"/>
      <c r="E60" s="2634"/>
      <c r="F60" s="2599"/>
      <c r="G60" s="2635"/>
      <c r="H60" s="2604"/>
      <c r="I60" s="2598"/>
      <c r="J60" s="2636"/>
      <c r="K60" s="1901"/>
      <c r="L60" s="1907"/>
    </row>
    <row r="61" spans="1:12" ht="11.25" customHeight="1">
      <c r="A61" s="1941" t="s">
        <v>4023</v>
      </c>
      <c r="B61" s="2454"/>
      <c r="C61" s="2633" t="s">
        <v>3942</v>
      </c>
      <c r="D61" s="2633" t="s">
        <v>3942</v>
      </c>
      <c r="E61" s="2634" t="s">
        <v>828</v>
      </c>
      <c r="F61" s="2598" t="s">
        <v>1688</v>
      </c>
      <c r="G61" s="2635"/>
      <c r="H61" s="2604">
        <v>0</v>
      </c>
      <c r="I61" s="2598">
        <v>0</v>
      </c>
      <c r="J61" s="2636" t="s">
        <v>3942</v>
      </c>
      <c r="K61" s="1901">
        <v>82840731.879999995</v>
      </c>
      <c r="L61" s="1907">
        <v>3000000</v>
      </c>
    </row>
    <row r="62" spans="1:12" ht="11.25" customHeight="1">
      <c r="A62" s="1941"/>
      <c r="B62" s="2454"/>
      <c r="C62" s="2633"/>
      <c r="D62" s="2599"/>
      <c r="E62" s="2634"/>
      <c r="F62" s="2599"/>
      <c r="G62" s="2635"/>
      <c r="H62" s="2604"/>
      <c r="I62" s="2598"/>
      <c r="J62" s="2636"/>
      <c r="K62" s="1901"/>
      <c r="L62" s="1907"/>
    </row>
    <row r="63" spans="1:12" ht="11.25" customHeight="1">
      <c r="A63" s="1941" t="s">
        <v>4024</v>
      </c>
      <c r="B63" s="2454"/>
      <c r="C63" s="2633" t="s">
        <v>4025</v>
      </c>
      <c r="D63" s="2633" t="s">
        <v>4025</v>
      </c>
      <c r="E63" s="2634" t="s">
        <v>828</v>
      </c>
      <c r="F63" s="2598" t="s">
        <v>1688</v>
      </c>
      <c r="G63" s="2635"/>
      <c r="H63" s="2604">
        <v>0</v>
      </c>
      <c r="I63" s="2598">
        <v>0</v>
      </c>
      <c r="J63" s="2633" t="s">
        <v>4025</v>
      </c>
      <c r="K63" s="1901">
        <v>127840300.83</v>
      </c>
      <c r="L63" s="1907">
        <v>5000000</v>
      </c>
    </row>
    <row r="64" spans="1:12" ht="11.25" customHeight="1">
      <c r="A64" s="1941"/>
      <c r="B64" s="2454"/>
      <c r="C64" s="2598"/>
      <c r="D64" s="2599"/>
      <c r="E64" s="2599"/>
      <c r="F64" s="2599"/>
      <c r="G64" s="2599"/>
      <c r="H64" s="2604"/>
      <c r="I64" s="2599"/>
      <c r="J64" s="2605"/>
      <c r="K64" s="2601"/>
      <c r="L64" s="2602"/>
    </row>
    <row r="65" spans="1:12" ht="11.25" customHeight="1">
      <c r="A65" s="2592"/>
      <c r="B65" s="2454"/>
      <c r="C65" s="1943"/>
      <c r="D65" s="2597"/>
      <c r="E65" s="2597"/>
      <c r="F65" s="2597"/>
      <c r="G65" s="2597"/>
      <c r="H65" s="2597"/>
      <c r="I65" s="2597"/>
      <c r="J65" s="1906"/>
      <c r="K65" s="1901"/>
      <c r="L65" s="1907"/>
    </row>
    <row r="66" spans="1:12" ht="11.25" customHeight="1">
      <c r="A66" s="2596"/>
      <c r="B66" s="2454"/>
      <c r="C66" s="2598"/>
      <c r="D66" s="2599"/>
      <c r="E66" s="2599"/>
      <c r="F66" s="2598"/>
      <c r="G66" s="2608"/>
      <c r="H66" s="2604"/>
      <c r="I66" s="2598"/>
      <c r="J66" s="2607"/>
      <c r="K66" s="2606"/>
      <c r="L66" s="2602"/>
    </row>
    <row r="67" spans="1:12" ht="11.25" customHeight="1">
      <c r="A67" s="2592"/>
      <c r="B67" s="2454"/>
      <c r="C67" s="1943"/>
      <c r="D67" s="2597"/>
      <c r="E67" s="2597"/>
      <c r="F67" s="2597"/>
      <c r="G67" s="2597"/>
      <c r="H67" s="2597"/>
      <c r="I67" s="2597"/>
      <c r="J67" s="1906"/>
      <c r="K67" s="1901"/>
      <c r="L67" s="1907"/>
    </row>
    <row r="68" spans="1:12" ht="11.25" customHeight="1">
      <c r="A68" s="1904"/>
      <c r="B68" s="2454"/>
      <c r="C68" s="1840"/>
      <c r="D68" s="1905"/>
      <c r="E68" s="1905"/>
      <c r="F68" s="1905"/>
      <c r="G68" s="1905"/>
      <c r="H68" s="1905"/>
      <c r="I68" s="1905"/>
      <c r="J68" s="1906"/>
      <c r="K68" s="1901"/>
      <c r="L68" s="1907"/>
    </row>
    <row r="69" spans="1:12" ht="11.25" customHeight="1">
      <c r="A69" s="1904"/>
      <c r="B69" s="2454"/>
      <c r="C69" s="1840"/>
      <c r="D69" s="1905"/>
      <c r="E69" s="1905"/>
      <c r="F69" s="1905"/>
      <c r="G69" s="1905"/>
      <c r="H69" s="1905"/>
      <c r="I69" s="1905"/>
      <c r="J69" s="1906"/>
      <c r="K69" s="1901"/>
      <c r="L69" s="1907"/>
    </row>
    <row r="70" spans="1:12" ht="11.25" customHeight="1">
      <c r="A70" s="1904"/>
      <c r="B70" s="2454"/>
      <c r="C70" s="1840"/>
      <c r="D70" s="1905"/>
      <c r="E70" s="1905"/>
      <c r="F70" s="1905"/>
      <c r="G70" s="1905"/>
      <c r="H70" s="1905"/>
      <c r="I70" s="1905"/>
      <c r="J70" s="1906"/>
      <c r="K70" s="1901"/>
      <c r="L70" s="1907"/>
    </row>
    <row r="71" spans="1:12" ht="11.25" customHeight="1">
      <c r="A71" s="1904"/>
      <c r="B71" s="2454"/>
      <c r="C71" s="1840"/>
      <c r="D71" s="1905"/>
      <c r="E71" s="1905"/>
      <c r="F71" s="1905"/>
      <c r="G71" s="1905"/>
      <c r="H71" s="1905"/>
      <c r="I71" s="1905"/>
      <c r="J71" s="1906"/>
      <c r="K71" s="1901"/>
      <c r="L71" s="1907"/>
    </row>
    <row r="72" spans="1:12" ht="11.25" customHeight="1">
      <c r="A72" s="265" t="s">
        <v>177</v>
      </c>
      <c r="B72" s="2453"/>
      <c r="C72" s="1357"/>
      <c r="D72" s="1358"/>
      <c r="E72" s="1358"/>
      <c r="F72" s="1358"/>
      <c r="G72" s="1358"/>
      <c r="H72" s="1358"/>
      <c r="I72" s="1358"/>
      <c r="J72" s="1359"/>
      <c r="K72" s="720">
        <f>SUM(K5:K71)</f>
        <v>1108937734.53</v>
      </c>
      <c r="L72" s="744">
        <f>SUM(L5:L71)</f>
        <v>31011568.441015467</v>
      </c>
    </row>
    <row r="73" spans="1:12" ht="11.25" customHeight="1">
      <c r="A73" s="273"/>
      <c r="B73" s="2453"/>
      <c r="C73" s="182"/>
      <c r="D73" s="738"/>
      <c r="E73" s="738"/>
      <c r="F73" s="738"/>
      <c r="G73" s="738"/>
      <c r="H73" s="738"/>
      <c r="I73" s="738"/>
      <c r="J73" s="742"/>
      <c r="K73" s="712"/>
      <c r="L73" s="743"/>
    </row>
    <row r="74" spans="1:12" ht="11.25" customHeight="1">
      <c r="A74" s="249" t="s">
        <v>680</v>
      </c>
      <c r="B74" s="2453"/>
      <c r="C74" s="182"/>
      <c r="D74" s="738"/>
      <c r="E74" s="738"/>
      <c r="F74" s="738"/>
      <c r="G74" s="738"/>
      <c r="H74" s="738"/>
      <c r="I74" s="738"/>
      <c r="J74" s="742"/>
      <c r="K74" s="712"/>
      <c r="L74" s="743"/>
    </row>
    <row r="75" spans="1:12" ht="11.25" customHeight="1">
      <c r="A75" s="1904"/>
      <c r="B75" s="2454"/>
      <c r="C75" s="1840"/>
      <c r="D75" s="1905"/>
      <c r="E75" s="1905"/>
      <c r="F75" s="1905"/>
      <c r="G75" s="1905"/>
      <c r="H75" s="1905"/>
      <c r="I75" s="1905"/>
      <c r="J75" s="1906"/>
      <c r="K75" s="1901"/>
      <c r="L75" s="1907"/>
    </row>
    <row r="76" spans="1:12" ht="11.25" customHeight="1">
      <c r="A76" s="1904"/>
      <c r="B76" s="2454"/>
      <c r="C76" s="1840"/>
      <c r="D76" s="1905"/>
      <c r="E76" s="1905"/>
      <c r="F76" s="1905"/>
      <c r="G76" s="1905"/>
      <c r="H76" s="1905"/>
      <c r="I76" s="1905"/>
      <c r="J76" s="1906"/>
      <c r="K76" s="1901"/>
      <c r="L76" s="1907"/>
    </row>
    <row r="77" spans="1:12" ht="11.25" customHeight="1">
      <c r="A77" s="1904"/>
      <c r="B77" s="2454"/>
      <c r="C77" s="1840"/>
      <c r="D77" s="1905"/>
      <c r="E77" s="1905"/>
      <c r="F77" s="1905"/>
      <c r="G77" s="1905"/>
      <c r="H77" s="1905"/>
      <c r="I77" s="1905"/>
      <c r="J77" s="1906"/>
      <c r="K77" s="1901"/>
      <c r="L77" s="1907"/>
    </row>
    <row r="78" spans="1:12" ht="11.25" customHeight="1">
      <c r="A78" s="1904"/>
      <c r="B78" s="2454"/>
      <c r="C78" s="1840"/>
      <c r="D78" s="1905"/>
      <c r="E78" s="1905"/>
      <c r="F78" s="1905"/>
      <c r="G78" s="1905"/>
      <c r="H78" s="1905"/>
      <c r="I78" s="1905"/>
      <c r="J78" s="1906"/>
      <c r="K78" s="1901"/>
      <c r="L78" s="1907"/>
    </row>
    <row r="79" spans="1:12" ht="11.25" customHeight="1">
      <c r="A79" s="1904"/>
      <c r="B79" s="2454"/>
      <c r="C79" s="1840"/>
      <c r="D79" s="1905"/>
      <c r="E79" s="1905"/>
      <c r="F79" s="1905"/>
      <c r="G79" s="1905"/>
      <c r="H79" s="1905"/>
      <c r="I79" s="1905"/>
      <c r="J79" s="1906"/>
      <c r="K79" s="1901"/>
      <c r="L79" s="1907"/>
    </row>
    <row r="80" spans="1:12" ht="11.25" customHeight="1">
      <c r="A80" s="1904"/>
      <c r="B80" s="2454"/>
      <c r="C80" s="1840"/>
      <c r="D80" s="1905"/>
      <c r="E80" s="1905"/>
      <c r="F80" s="1905"/>
      <c r="G80" s="1905"/>
      <c r="H80" s="1905"/>
      <c r="I80" s="1905"/>
      <c r="J80" s="1906"/>
      <c r="K80" s="1901"/>
      <c r="L80" s="1907"/>
    </row>
    <row r="81" spans="1:18" ht="11.25" customHeight="1">
      <c r="A81" s="1904"/>
      <c r="B81" s="2454"/>
      <c r="C81" s="1840"/>
      <c r="D81" s="1905"/>
      <c r="E81" s="1905"/>
      <c r="F81" s="1905"/>
      <c r="G81" s="1905"/>
      <c r="H81" s="1905"/>
      <c r="I81" s="1905"/>
      <c r="J81" s="1906"/>
      <c r="K81" s="1901"/>
      <c r="L81" s="1907"/>
    </row>
    <row r="82" spans="1:18" ht="11.25" customHeight="1">
      <c r="A82" s="265" t="s">
        <v>176</v>
      </c>
      <c r="B82" s="2453"/>
      <c r="C82" s="1357"/>
      <c r="D82" s="1358"/>
      <c r="E82" s="1358"/>
      <c r="F82" s="1358"/>
      <c r="G82" s="1358"/>
      <c r="H82" s="1358"/>
      <c r="I82" s="1358"/>
      <c r="J82" s="1359"/>
      <c r="K82" s="719">
        <f>SUM(K73:K81)</f>
        <v>0</v>
      </c>
      <c r="L82" s="744">
        <f>SUM(L73:L81)</f>
        <v>0</v>
      </c>
    </row>
    <row r="83" spans="1:18" ht="5" customHeight="1">
      <c r="A83" s="273"/>
      <c r="B83" s="2453"/>
      <c r="C83" s="182"/>
      <c r="D83" s="738"/>
      <c r="E83" s="738"/>
      <c r="F83" s="738"/>
      <c r="G83" s="738"/>
      <c r="H83" s="738"/>
      <c r="I83" s="738"/>
      <c r="J83" s="742"/>
      <c r="K83" s="712"/>
      <c r="L83" s="743"/>
    </row>
    <row r="84" spans="1:18">
      <c r="A84" s="397" t="s">
        <v>565</v>
      </c>
      <c r="B84" s="2455">
        <v>1</v>
      </c>
      <c r="C84" s="382"/>
      <c r="D84" s="745"/>
      <c r="E84" s="745"/>
      <c r="F84" s="745"/>
      <c r="G84" s="745"/>
      <c r="H84" s="745"/>
      <c r="I84" s="745"/>
      <c r="J84" s="746"/>
      <c r="K84" s="730">
        <f>K72+K82</f>
        <v>1108937734.53</v>
      </c>
      <c r="L84" s="747">
        <f>L72+L82</f>
        <v>31011568.441015467</v>
      </c>
    </row>
    <row r="85" spans="1:18" ht="6" customHeight="1">
      <c r="A85" s="246"/>
      <c r="B85" s="430"/>
      <c r="C85" s="1080"/>
      <c r="D85" s="1356"/>
      <c r="E85" s="309"/>
      <c r="F85" s="309"/>
      <c r="G85" s="309"/>
      <c r="H85" s="309"/>
      <c r="I85" s="309"/>
      <c r="J85" s="309"/>
      <c r="K85" s="309"/>
      <c r="L85" s="309"/>
      <c r="P85" s="246"/>
      <c r="Q85" s="246"/>
      <c r="R85" s="246"/>
    </row>
    <row r="86" spans="1:18" s="709" customFormat="1">
      <c r="A86" s="1233" t="str">
        <f>head27a</f>
        <v>References</v>
      </c>
      <c r="B86" s="2456"/>
      <c r="C86" s="1080"/>
      <c r="D86" s="1080"/>
      <c r="E86" s="1080"/>
      <c r="F86" s="1080"/>
      <c r="G86" s="1080"/>
      <c r="H86" s="1080"/>
      <c r="I86" s="1080"/>
      <c r="J86" s="1080"/>
      <c r="K86" s="1080"/>
      <c r="L86" s="1080"/>
      <c r="P86" s="1062"/>
      <c r="Q86" s="1062"/>
      <c r="R86" s="1062"/>
    </row>
    <row r="87" spans="1:18" s="709" customFormat="1" ht="11.25" customHeight="1">
      <c r="A87" s="1195" t="s">
        <v>366</v>
      </c>
      <c r="B87" s="2456"/>
      <c r="C87" s="1042"/>
      <c r="D87" s="1041"/>
      <c r="E87" s="1041"/>
      <c r="F87" s="1041"/>
      <c r="G87" s="1041"/>
      <c r="H87" s="1041"/>
      <c r="I87" s="1041"/>
      <c r="J87" s="1042"/>
      <c r="K87" s="1042"/>
      <c r="L87" s="1042"/>
    </row>
    <row r="88" spans="1:18" s="709" customFormat="1" ht="11.25" customHeight="1">
      <c r="A88" s="1195" t="s">
        <v>928</v>
      </c>
      <c r="B88" s="2456"/>
      <c r="C88" s="1042"/>
      <c r="D88" s="1041"/>
      <c r="E88" s="1041"/>
      <c r="F88" s="1041"/>
      <c r="G88" s="1041"/>
      <c r="H88" s="1041"/>
      <c r="I88" s="1041"/>
      <c r="J88" s="1042"/>
      <c r="K88" s="1042"/>
      <c r="L88" s="1042"/>
    </row>
    <row r="89" spans="1:18" ht="11.25" customHeight="1">
      <c r="A89" s="1195" t="s">
        <v>2220</v>
      </c>
      <c r="B89" s="430"/>
      <c r="C89" s="309"/>
      <c r="D89" s="309"/>
      <c r="E89" s="309"/>
      <c r="F89" s="309"/>
      <c r="G89" s="309"/>
      <c r="H89" s="309"/>
      <c r="I89" s="309"/>
      <c r="J89" s="309"/>
      <c r="K89" s="309"/>
      <c r="L89" s="309"/>
    </row>
    <row r="90" spans="1:18" ht="11.25" customHeight="1">
      <c r="A90" s="437" t="s">
        <v>1524</v>
      </c>
      <c r="K90" s="748">
        <f>K84-'A6-FinPos'!J7-'A6-FinPos'!J16</f>
        <v>292540073.59999979</v>
      </c>
      <c r="L90" s="339"/>
    </row>
    <row r="91" spans="1:18" ht="11.25" customHeight="1"/>
    <row r="92" spans="1:18" ht="11.25" customHeight="1"/>
    <row r="93" spans="1:18" ht="11.25" customHeight="1"/>
    <row r="94" spans="1:18" ht="11.25" customHeight="1"/>
    <row r="95" spans="1:18" ht="11.25" customHeight="1"/>
    <row r="96" spans="1:18" ht="11.25" customHeight="1"/>
    <row r="97" spans="20:20" ht="11.25" customHeight="1">
      <c r="T97" s="370"/>
    </row>
    <row r="98" spans="20:20" ht="11.25" customHeight="1"/>
    <row r="99" spans="20:20" ht="11.25" customHeight="1"/>
    <row r="100" spans="20:20" ht="11.25" customHeight="1"/>
    <row r="101" spans="20:20" ht="11.25" customHeight="1"/>
    <row r="102" spans="20:20" ht="11.25" customHeight="1"/>
    <row r="103" spans="20:20" ht="11.25" customHeight="1"/>
    <row r="104" spans="20:20" ht="11.25" customHeight="1"/>
    <row r="105" spans="20:20" ht="11.25" customHeight="1"/>
    <row r="106" spans="20:20" ht="11.25" customHeight="1"/>
    <row r="107" spans="20:20" ht="11.25" customHeight="1"/>
    <row r="108" spans="20:20" ht="11.25" customHeight="1"/>
    <row r="109" spans="20:20" ht="11.25" customHeight="1"/>
    <row r="110" spans="20:20" ht="11.25" customHeight="1"/>
    <row r="111" spans="20:20" ht="11.25" customHeight="1"/>
    <row r="112" spans="20:20"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mergeCells count="2">
    <mergeCell ref="D2:D3"/>
    <mergeCell ref="J2:J3"/>
  </mergeCells>
  <phoneticPr fontId="5" type="noConversion"/>
  <printOptions horizontalCentered="1"/>
  <pageMargins left="0" right="0" top="0.24" bottom="0.16" header="0.21" footer="0.16"/>
  <headerFooter alignWithMargins="0"/>
  <legacy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enableFormatConditionsCalculation="0">
    <tabColor indexed="42"/>
  </sheetPr>
  <dimension ref="A1:AS72"/>
  <sheetViews>
    <sheetView showGridLines="0" workbookViewId="0">
      <pane xSplit="2" ySplit="3" topLeftCell="C13" activePane="bottomRight" state="frozen"/>
      <selection pane="topRight"/>
      <selection pane="bottomLeft"/>
      <selection pane="bottomRight" activeCell="I5" sqref="I5:K5"/>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2">
      <c r="A1" s="147" t="str">
        <f>muni&amp;" - "&amp;TableA17</f>
        <v>NW373 Rustenburg - Supporting Table SA17 Borrowing</v>
      </c>
      <c r="B1" s="147"/>
      <c r="C1" s="147"/>
      <c r="D1" s="147"/>
      <c r="E1" s="147"/>
      <c r="F1" s="147"/>
      <c r="G1" s="147"/>
      <c r="H1" s="147"/>
      <c r="I1" s="147"/>
      <c r="J1" s="147"/>
      <c r="K1" s="147"/>
    </row>
    <row r="2" spans="1:11" ht="28.5" customHeight="1">
      <c r="A2" s="996" t="s">
        <v>829</v>
      </c>
      <c r="B2" s="419" t="str">
        <f>head27</f>
        <v>Ref</v>
      </c>
      <c r="C2" s="150"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1" ht="20">
      <c r="A3" s="180" t="s">
        <v>667</v>
      </c>
      <c r="B3" s="990"/>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c r="A4" s="249" t="s">
        <v>178</v>
      </c>
      <c r="B4" s="182"/>
      <c r="C4" s="715"/>
      <c r="D4" s="715"/>
      <c r="E4" s="750"/>
      <c r="F4" s="712"/>
      <c r="G4" s="715"/>
      <c r="H4" s="713"/>
      <c r="I4" s="716"/>
      <c r="J4" s="715"/>
      <c r="K4" s="711"/>
    </row>
    <row r="5" spans="1:11" ht="12.75" customHeight="1">
      <c r="A5" s="250" t="s">
        <v>103</v>
      </c>
      <c r="B5" s="182"/>
      <c r="C5" s="1899">
        <v>100121731</v>
      </c>
      <c r="D5" s="1899">
        <v>87802540</v>
      </c>
      <c r="E5" s="1900">
        <v>80207375</v>
      </c>
      <c r="F5" s="1901">
        <v>85270904.870000005</v>
      </c>
      <c r="G5" s="1899">
        <v>81270904.870000005</v>
      </c>
      <c r="H5" s="1902">
        <v>81270904.870000005</v>
      </c>
      <c r="I5" s="1903">
        <v>607026083.24000001</v>
      </c>
      <c r="J5" s="1899">
        <v>607026083.24000001</v>
      </c>
      <c r="K5" s="1900">
        <v>607026083.24000001</v>
      </c>
    </row>
    <row r="6" spans="1:11" ht="12.75" customHeight="1">
      <c r="A6" s="250" t="s">
        <v>294</v>
      </c>
      <c r="B6" s="182"/>
      <c r="C6" s="1899"/>
      <c r="D6" s="1899"/>
      <c r="E6" s="1900"/>
      <c r="F6" s="1901"/>
      <c r="G6" s="1899"/>
      <c r="H6" s="1902"/>
      <c r="I6" s="1903"/>
      <c r="J6" s="1899"/>
      <c r="K6" s="1900"/>
    </row>
    <row r="7" spans="1:11" ht="12.75" customHeight="1">
      <c r="A7" s="250" t="s">
        <v>104</v>
      </c>
      <c r="B7" s="182"/>
      <c r="C7" s="1899"/>
      <c r="D7" s="1899"/>
      <c r="E7" s="1900"/>
      <c r="F7" s="1901"/>
      <c r="G7" s="1899"/>
      <c r="H7" s="1902"/>
      <c r="I7" s="1903"/>
      <c r="J7" s="1899"/>
      <c r="K7" s="1900"/>
    </row>
    <row r="8" spans="1:11" ht="12.75" customHeight="1">
      <c r="A8" s="250" t="s">
        <v>559</v>
      </c>
      <c r="B8" s="182"/>
      <c r="C8" s="1899"/>
      <c r="D8" s="1899"/>
      <c r="E8" s="1900"/>
      <c r="F8" s="1901"/>
      <c r="G8" s="1899"/>
      <c r="H8" s="1902"/>
      <c r="I8" s="1903"/>
      <c r="J8" s="1899"/>
      <c r="K8" s="1900"/>
    </row>
    <row r="9" spans="1:11" ht="12.75" customHeight="1">
      <c r="A9" s="250" t="s">
        <v>560</v>
      </c>
      <c r="B9" s="182"/>
      <c r="C9" s="1899"/>
      <c r="D9" s="1899"/>
      <c r="E9" s="1900"/>
      <c r="F9" s="1901"/>
      <c r="G9" s="1899"/>
      <c r="H9" s="1902"/>
      <c r="I9" s="1903"/>
      <c r="J9" s="1899"/>
      <c r="K9" s="1900"/>
    </row>
    <row r="10" spans="1:11" ht="12.75" customHeight="1">
      <c r="A10" s="250" t="s">
        <v>784</v>
      </c>
      <c r="B10" s="182"/>
      <c r="C10" s="1899"/>
      <c r="D10" s="1899"/>
      <c r="E10" s="1900"/>
      <c r="F10" s="1901"/>
      <c r="G10" s="1899"/>
      <c r="H10" s="1902"/>
      <c r="I10" s="1903"/>
      <c r="J10" s="1899"/>
      <c r="K10" s="1900"/>
    </row>
    <row r="11" spans="1:11" ht="12.75" customHeight="1">
      <c r="A11" s="250" t="s">
        <v>106</v>
      </c>
      <c r="B11" s="182"/>
      <c r="C11" s="1899"/>
      <c r="D11" s="1899"/>
      <c r="E11" s="1900"/>
      <c r="F11" s="1901"/>
      <c r="G11" s="1899"/>
      <c r="H11" s="1902"/>
      <c r="I11" s="1903"/>
      <c r="J11" s="1899"/>
      <c r="K11" s="1900"/>
    </row>
    <row r="12" spans="1:11" ht="12.75" customHeight="1">
      <c r="A12" s="250" t="s">
        <v>107</v>
      </c>
      <c r="B12" s="182"/>
      <c r="C12" s="1899"/>
      <c r="D12" s="1899"/>
      <c r="E12" s="1900"/>
      <c r="F12" s="1901"/>
      <c r="G12" s="1899"/>
      <c r="H12" s="1902"/>
      <c r="I12" s="1903"/>
      <c r="J12" s="1899"/>
      <c r="K12" s="1900"/>
    </row>
    <row r="13" spans="1:11" ht="12.75" customHeight="1">
      <c r="A13" s="250" t="s">
        <v>108</v>
      </c>
      <c r="B13" s="182"/>
      <c r="C13" s="1899"/>
      <c r="D13" s="1899"/>
      <c r="E13" s="1900"/>
      <c r="F13" s="1901"/>
      <c r="G13" s="1899"/>
      <c r="H13" s="1902"/>
      <c r="I13" s="1903"/>
      <c r="J13" s="1899"/>
      <c r="K13" s="1900"/>
    </row>
    <row r="14" spans="1:11" ht="12.75" customHeight="1">
      <c r="A14" s="250" t="s">
        <v>109</v>
      </c>
      <c r="B14" s="182"/>
      <c r="C14" s="1899"/>
      <c r="D14" s="1899"/>
      <c r="E14" s="1900"/>
      <c r="F14" s="1901"/>
      <c r="G14" s="1899"/>
      <c r="H14" s="1902"/>
      <c r="I14" s="1903"/>
      <c r="J14" s="1899"/>
      <c r="K14" s="1900"/>
    </row>
    <row r="15" spans="1:11" ht="12.75" customHeight="1">
      <c r="A15" s="250" t="s">
        <v>785</v>
      </c>
      <c r="B15" s="182"/>
      <c r="C15" s="1899"/>
      <c r="D15" s="1899"/>
      <c r="E15" s="1900"/>
      <c r="F15" s="1901"/>
      <c r="G15" s="1899"/>
      <c r="H15" s="1902"/>
      <c r="I15" s="1903"/>
      <c r="J15" s="1899"/>
      <c r="K15" s="1900"/>
    </row>
    <row r="16" spans="1:11" ht="12.75" customHeight="1">
      <c r="A16" s="250" t="s">
        <v>110</v>
      </c>
      <c r="B16" s="182"/>
      <c r="C16" s="1899"/>
      <c r="D16" s="1899"/>
      <c r="E16" s="1900"/>
      <c r="F16" s="1901"/>
      <c r="G16" s="1899"/>
      <c r="H16" s="1902"/>
      <c r="I16" s="1903"/>
      <c r="J16" s="1899"/>
      <c r="K16" s="1900"/>
    </row>
    <row r="17" spans="1:11" ht="12.75" customHeight="1">
      <c r="A17" s="265" t="s">
        <v>177</v>
      </c>
      <c r="B17" s="182">
        <v>1</v>
      </c>
      <c r="C17" s="717">
        <f>SUM(C5:C16)</f>
        <v>100121731</v>
      </c>
      <c r="D17" s="717">
        <f t="shared" ref="D17:K17" si="0">SUM(D5:D16)</f>
        <v>87802540</v>
      </c>
      <c r="E17" s="718">
        <f t="shared" si="0"/>
        <v>80207375</v>
      </c>
      <c r="F17" s="719">
        <f t="shared" si="0"/>
        <v>85270904.870000005</v>
      </c>
      <c r="G17" s="717">
        <f t="shared" si="0"/>
        <v>81270904.870000005</v>
      </c>
      <c r="H17" s="720">
        <f t="shared" si="0"/>
        <v>81270904.870000005</v>
      </c>
      <c r="I17" s="721">
        <f t="shared" si="0"/>
        <v>607026083.24000001</v>
      </c>
      <c r="J17" s="717">
        <f t="shared" si="0"/>
        <v>607026083.24000001</v>
      </c>
      <c r="K17" s="718">
        <f t="shared" si="0"/>
        <v>607026083.24000001</v>
      </c>
    </row>
    <row r="18" spans="1:11" ht="12.75" customHeight="1">
      <c r="A18" s="265"/>
      <c r="B18" s="182"/>
      <c r="C18" s="751"/>
      <c r="D18" s="751"/>
      <c r="E18" s="752"/>
      <c r="F18" s="753"/>
      <c r="G18" s="751"/>
      <c r="H18" s="754"/>
      <c r="I18" s="755"/>
      <c r="J18" s="751"/>
      <c r="K18" s="752"/>
    </row>
    <row r="19" spans="1:11" ht="12.75" customHeight="1">
      <c r="A19" s="249" t="s">
        <v>680</v>
      </c>
      <c r="B19" s="182"/>
      <c r="C19" s="715"/>
      <c r="D19" s="715"/>
      <c r="E19" s="711"/>
      <c r="F19" s="712"/>
      <c r="G19" s="715"/>
      <c r="H19" s="713"/>
      <c r="I19" s="716"/>
      <c r="J19" s="715"/>
      <c r="K19" s="711"/>
    </row>
    <row r="20" spans="1:11" ht="12.75" customHeight="1">
      <c r="A20" s="250" t="str">
        <f t="shared" ref="A20:A31" si="1">A5</f>
        <v>Long-Term Loans (annuity/reducing balance)</v>
      </c>
      <c r="B20" s="182"/>
      <c r="C20" s="1899"/>
      <c r="D20" s="1899"/>
      <c r="E20" s="1900"/>
      <c r="F20" s="1901"/>
      <c r="G20" s="1899"/>
      <c r="H20" s="1902"/>
      <c r="I20" s="1903"/>
      <c r="J20" s="1899"/>
      <c r="K20" s="1900"/>
    </row>
    <row r="21" spans="1:11" ht="12.75" customHeight="1">
      <c r="A21" s="250" t="str">
        <f t="shared" si="1"/>
        <v>Long-Term Loans (non-annuity)</v>
      </c>
      <c r="B21" s="182"/>
      <c r="C21" s="1899"/>
      <c r="D21" s="1899"/>
      <c r="E21" s="1900"/>
      <c r="F21" s="1901"/>
      <c r="G21" s="1899"/>
      <c r="H21" s="1902"/>
      <c r="I21" s="1903"/>
      <c r="J21" s="1899"/>
      <c r="K21" s="1900"/>
    </row>
    <row r="22" spans="1:11" ht="12.75" customHeight="1">
      <c r="A22" s="250" t="str">
        <f t="shared" si="1"/>
        <v>Local registered stock</v>
      </c>
      <c r="B22" s="182"/>
      <c r="C22" s="1899"/>
      <c r="D22" s="1899"/>
      <c r="E22" s="1900"/>
      <c r="F22" s="1901"/>
      <c r="G22" s="1899"/>
      <c r="H22" s="1902"/>
      <c r="I22" s="1903"/>
      <c r="J22" s="1899"/>
      <c r="K22" s="1900"/>
    </row>
    <row r="23" spans="1:11" ht="12.75" customHeight="1">
      <c r="A23" s="250" t="str">
        <f t="shared" si="1"/>
        <v>Instalment Credit</v>
      </c>
      <c r="B23" s="182"/>
      <c r="C23" s="1899"/>
      <c r="D23" s="1899"/>
      <c r="E23" s="1900"/>
      <c r="F23" s="1901"/>
      <c r="G23" s="1899"/>
      <c r="H23" s="1902"/>
      <c r="I23" s="1903"/>
      <c r="J23" s="1899"/>
      <c r="K23" s="1900"/>
    </row>
    <row r="24" spans="1:11" ht="12.75" customHeight="1">
      <c r="A24" s="250" t="str">
        <f t="shared" si="1"/>
        <v>Financial Leases</v>
      </c>
      <c r="B24" s="182"/>
      <c r="C24" s="1899"/>
      <c r="D24" s="1899"/>
      <c r="E24" s="1900"/>
      <c r="F24" s="1901"/>
      <c r="G24" s="1899"/>
      <c r="H24" s="1902"/>
      <c r="I24" s="1903"/>
      <c r="J24" s="1899"/>
      <c r="K24" s="1900"/>
    </row>
    <row r="25" spans="1:11" ht="12.75" customHeight="1">
      <c r="A25" s="250" t="str">
        <f t="shared" si="1"/>
        <v>PPP liabilities</v>
      </c>
      <c r="B25" s="182"/>
      <c r="C25" s="1899"/>
      <c r="D25" s="1899"/>
      <c r="E25" s="1900"/>
      <c r="F25" s="1901"/>
      <c r="G25" s="1899"/>
      <c r="H25" s="1902"/>
      <c r="I25" s="1903"/>
      <c r="J25" s="1899"/>
      <c r="K25" s="1900"/>
    </row>
    <row r="26" spans="1:11" ht="12.75" customHeight="1">
      <c r="A26" s="250" t="str">
        <f t="shared" si="1"/>
        <v>Finance Granted By Cap Equipment Supplier</v>
      </c>
      <c r="B26" s="182"/>
      <c r="C26" s="1899"/>
      <c r="D26" s="1899"/>
      <c r="E26" s="1900"/>
      <c r="F26" s="1901"/>
      <c r="G26" s="1899"/>
      <c r="H26" s="1902"/>
      <c r="I26" s="1903"/>
      <c r="J26" s="1899"/>
      <c r="K26" s="1900"/>
    </row>
    <row r="27" spans="1:11" ht="12.75" customHeight="1">
      <c r="A27" s="250" t="str">
        <f t="shared" si="1"/>
        <v>Marketable Bonds</v>
      </c>
      <c r="B27" s="182"/>
      <c r="C27" s="1899"/>
      <c r="D27" s="1899"/>
      <c r="E27" s="1900"/>
      <c r="F27" s="1901"/>
      <c r="G27" s="1899"/>
      <c r="H27" s="1902"/>
      <c r="I27" s="1903"/>
      <c r="J27" s="1899"/>
      <c r="K27" s="1900"/>
    </row>
    <row r="28" spans="1:11" ht="12.75" customHeight="1">
      <c r="A28" s="250" t="str">
        <f t="shared" si="1"/>
        <v>Non-Marketable Bonds</v>
      </c>
      <c r="B28" s="182"/>
      <c r="C28" s="1899"/>
      <c r="D28" s="1899"/>
      <c r="E28" s="1900"/>
      <c r="F28" s="1901"/>
      <c r="G28" s="1899"/>
      <c r="H28" s="1902"/>
      <c r="I28" s="1903"/>
      <c r="J28" s="1899"/>
      <c r="K28" s="1900"/>
    </row>
    <row r="29" spans="1:11" ht="12.75" customHeight="1">
      <c r="A29" s="250" t="str">
        <f t="shared" si="1"/>
        <v>Bankers Acceptances</v>
      </c>
      <c r="B29" s="182"/>
      <c r="C29" s="1899"/>
      <c r="D29" s="1899"/>
      <c r="E29" s="1900"/>
      <c r="F29" s="1901"/>
      <c r="G29" s="1899"/>
      <c r="H29" s="1902"/>
      <c r="I29" s="1903"/>
      <c r="J29" s="1899"/>
      <c r="K29" s="1900"/>
    </row>
    <row r="30" spans="1:11" ht="12.75" customHeight="1">
      <c r="A30" s="250" t="str">
        <f t="shared" si="1"/>
        <v>Financial derivatives</v>
      </c>
      <c r="B30" s="182"/>
      <c r="C30" s="1899"/>
      <c r="D30" s="1899"/>
      <c r="E30" s="1900"/>
      <c r="F30" s="1901"/>
      <c r="G30" s="1899"/>
      <c r="H30" s="1902"/>
      <c r="I30" s="1903"/>
      <c r="J30" s="1899"/>
      <c r="K30" s="1900"/>
    </row>
    <row r="31" spans="1:11" ht="12.75" customHeight="1">
      <c r="A31" s="250" t="str">
        <f t="shared" si="1"/>
        <v>Other Securities</v>
      </c>
      <c r="B31" s="182"/>
      <c r="C31" s="1899"/>
      <c r="D31" s="1899"/>
      <c r="E31" s="1900"/>
      <c r="F31" s="1901"/>
      <c r="G31" s="1899"/>
      <c r="H31" s="1902"/>
      <c r="I31" s="1903"/>
      <c r="J31" s="1899"/>
      <c r="K31" s="1900"/>
    </row>
    <row r="32" spans="1:11" ht="12.75" customHeight="1">
      <c r="A32" s="265" t="s">
        <v>176</v>
      </c>
      <c r="B32" s="182">
        <v>1</v>
      </c>
      <c r="C32" s="717">
        <f>SUM(C20:C31)</f>
        <v>0</v>
      </c>
      <c r="D32" s="717">
        <f t="shared" ref="D32:K32" si="2">SUM(D20:D31)</f>
        <v>0</v>
      </c>
      <c r="E32" s="718">
        <f t="shared" si="2"/>
        <v>0</v>
      </c>
      <c r="F32" s="719">
        <f t="shared" si="2"/>
        <v>0</v>
      </c>
      <c r="G32" s="717">
        <f t="shared" si="2"/>
        <v>0</v>
      </c>
      <c r="H32" s="720">
        <f t="shared" si="2"/>
        <v>0</v>
      </c>
      <c r="I32" s="721">
        <f t="shared" si="2"/>
        <v>0</v>
      </c>
      <c r="J32" s="717">
        <f t="shared" si="2"/>
        <v>0</v>
      </c>
      <c r="K32" s="718">
        <f t="shared" si="2"/>
        <v>0</v>
      </c>
    </row>
    <row r="33" spans="1:45" ht="12.75" customHeight="1">
      <c r="A33" s="273"/>
      <c r="B33" s="182"/>
      <c r="C33" s="715"/>
      <c r="D33" s="715"/>
      <c r="E33" s="711"/>
      <c r="F33" s="712"/>
      <c r="G33" s="715"/>
      <c r="H33" s="713"/>
      <c r="I33" s="716"/>
      <c r="J33" s="715"/>
      <c r="K33" s="711"/>
    </row>
    <row r="34" spans="1:45" ht="12.75" customHeight="1">
      <c r="A34" s="281" t="s">
        <v>1368</v>
      </c>
      <c r="B34" s="225">
        <v>1</v>
      </c>
      <c r="C34" s="728">
        <f>C17+C32</f>
        <v>100121731</v>
      </c>
      <c r="D34" s="728">
        <f t="shared" ref="D34:K34" si="3">D17+D32</f>
        <v>87802540</v>
      </c>
      <c r="E34" s="729">
        <f t="shared" si="3"/>
        <v>80207375</v>
      </c>
      <c r="F34" s="730">
        <f t="shared" si="3"/>
        <v>85270904.870000005</v>
      </c>
      <c r="G34" s="728">
        <f t="shared" si="3"/>
        <v>81270904.870000005</v>
      </c>
      <c r="H34" s="731">
        <f t="shared" si="3"/>
        <v>81270904.870000005</v>
      </c>
      <c r="I34" s="732">
        <f t="shared" si="3"/>
        <v>607026083.24000001</v>
      </c>
      <c r="J34" s="728">
        <f t="shared" si="3"/>
        <v>607026083.24000001</v>
      </c>
      <c r="K34" s="729">
        <f t="shared" si="3"/>
        <v>607026083.24000001</v>
      </c>
    </row>
    <row r="35" spans="1:45" ht="12.75" customHeight="1">
      <c r="A35" s="1560"/>
      <c r="B35" s="652"/>
      <c r="C35" s="754"/>
      <c r="D35" s="754"/>
      <c r="E35" s="754"/>
      <c r="F35" s="754"/>
      <c r="G35" s="754"/>
      <c r="H35" s="754"/>
      <c r="I35" s="754"/>
      <c r="J35" s="754"/>
      <c r="K35" s="754"/>
    </row>
    <row r="36" spans="1:45" ht="18.75" customHeight="1">
      <c r="A36" s="996" t="s">
        <v>2203</v>
      </c>
      <c r="B36" s="419"/>
      <c r="C36" s="632"/>
      <c r="D36" s="632"/>
      <c r="E36" s="927"/>
      <c r="F36" s="2122"/>
      <c r="G36" s="419"/>
      <c r="H36" s="997"/>
      <c r="I36" s="2423"/>
      <c r="J36" s="2421"/>
      <c r="K36" s="2422"/>
      <c r="L36" s="246"/>
      <c r="M36" s="246"/>
      <c r="N36" s="246"/>
    </row>
    <row r="37" spans="1:45" ht="12.75" customHeight="1">
      <c r="A37" s="249" t="s">
        <v>178</v>
      </c>
      <c r="B37" s="182"/>
      <c r="C37" s="715"/>
      <c r="D37" s="715"/>
      <c r="E37" s="750"/>
      <c r="F37" s="716"/>
      <c r="G37" s="715"/>
      <c r="H37" s="743"/>
      <c r="I37" s="2420"/>
      <c r="J37" s="715"/>
      <c r="K37" s="743"/>
    </row>
    <row r="38" spans="1:45" ht="11.25" customHeight="1">
      <c r="A38" s="250" t="s">
        <v>103</v>
      </c>
      <c r="B38" s="182"/>
      <c r="C38" s="1899"/>
      <c r="D38" s="1899"/>
      <c r="E38" s="1900"/>
      <c r="F38" s="1901"/>
      <c r="G38" s="1899"/>
      <c r="H38" s="1902"/>
      <c r="I38" s="1903"/>
      <c r="J38" s="1899"/>
      <c r="K38" s="1900"/>
      <c r="L38" s="370"/>
    </row>
    <row r="39" spans="1:45" ht="11.25" customHeight="1">
      <c r="A39" s="250" t="s">
        <v>294</v>
      </c>
      <c r="B39" s="182"/>
      <c r="C39" s="1899"/>
      <c r="D39" s="1899"/>
      <c r="E39" s="1900"/>
      <c r="F39" s="1901"/>
      <c r="G39" s="1899"/>
      <c r="H39" s="1902"/>
      <c r="I39" s="1903"/>
      <c r="J39" s="1899"/>
      <c r="K39" s="1900"/>
    </row>
    <row r="40" spans="1:45" ht="11.25" customHeight="1">
      <c r="A40" s="250" t="s">
        <v>104</v>
      </c>
      <c r="B40" s="182"/>
      <c r="C40" s="1899"/>
      <c r="D40" s="1899"/>
      <c r="E40" s="1900"/>
      <c r="F40" s="1901"/>
      <c r="G40" s="1899"/>
      <c r="H40" s="1902"/>
      <c r="I40" s="1903"/>
      <c r="J40" s="1899"/>
      <c r="K40" s="1900"/>
    </row>
    <row r="41" spans="1:45" ht="11.25" customHeight="1">
      <c r="A41" s="250" t="s">
        <v>559</v>
      </c>
      <c r="B41" s="182"/>
      <c r="C41" s="1899"/>
      <c r="D41" s="1899"/>
      <c r="E41" s="1900"/>
      <c r="F41" s="1901"/>
      <c r="G41" s="1899"/>
      <c r="H41" s="1902"/>
      <c r="I41" s="1903"/>
      <c r="J41" s="1899"/>
      <c r="K41" s="1900"/>
      <c r="AQ41" s="149">
        <v>439005000</v>
      </c>
      <c r="AS41" s="149">
        <v>539442200</v>
      </c>
    </row>
    <row r="42" spans="1:45" ht="11.25" customHeight="1">
      <c r="A42" s="250" t="s">
        <v>560</v>
      </c>
      <c r="B42" s="182"/>
      <c r="C42" s="1899"/>
      <c r="D42" s="1899"/>
      <c r="E42" s="1900"/>
      <c r="F42" s="1901"/>
      <c r="G42" s="1899"/>
      <c r="H42" s="1902"/>
      <c r="I42" s="1903"/>
      <c r="J42" s="1899"/>
      <c r="K42" s="1900"/>
    </row>
    <row r="43" spans="1:45" ht="11.25" customHeight="1">
      <c r="A43" s="250" t="s">
        <v>784</v>
      </c>
      <c r="B43" s="182"/>
      <c r="C43" s="1899"/>
      <c r="D43" s="1899"/>
      <c r="E43" s="1900"/>
      <c r="F43" s="1901"/>
      <c r="G43" s="1899"/>
      <c r="H43" s="1902"/>
      <c r="I43" s="1903"/>
      <c r="J43" s="1899"/>
      <c r="K43" s="1900"/>
      <c r="W43" s="149">
        <v>0</v>
      </c>
      <c r="Y43" s="149">
        <v>0</v>
      </c>
      <c r="AB43" s="149">
        <v>0</v>
      </c>
      <c r="AD43" s="149">
        <v>0</v>
      </c>
      <c r="AG43" s="149">
        <v>0</v>
      </c>
      <c r="AI43" s="149">
        <v>0</v>
      </c>
      <c r="AL43" s="149">
        <v>0</v>
      </c>
      <c r="AN43" s="149">
        <v>0</v>
      </c>
      <c r="AQ43" s="149">
        <v>1834701353</v>
      </c>
      <c r="AS43" s="149">
        <v>1241876995</v>
      </c>
    </row>
    <row r="44" spans="1:45" ht="11.25" customHeight="1">
      <c r="A44" s="250" t="s">
        <v>106</v>
      </c>
      <c r="B44" s="182"/>
      <c r="C44" s="1899"/>
      <c r="D44" s="1899"/>
      <c r="E44" s="1900"/>
      <c r="F44" s="1901"/>
      <c r="G44" s="1899"/>
      <c r="H44" s="1902"/>
      <c r="I44" s="1903"/>
      <c r="J44" s="1899"/>
      <c r="K44" s="1900"/>
      <c r="AQ44" s="149">
        <v>839041298</v>
      </c>
      <c r="AS44" s="149">
        <v>440387617</v>
      </c>
    </row>
    <row r="45" spans="1:45" ht="11.25" customHeight="1">
      <c r="A45" s="250" t="s">
        <v>107</v>
      </c>
      <c r="B45" s="182"/>
      <c r="C45" s="1899"/>
      <c r="D45" s="1899"/>
      <c r="E45" s="1900"/>
      <c r="F45" s="1901"/>
      <c r="G45" s="1899"/>
      <c r="H45" s="1902"/>
      <c r="I45" s="1903"/>
      <c r="J45" s="1899"/>
      <c r="K45" s="1900"/>
      <c r="AQ45" s="149">
        <v>976543638</v>
      </c>
      <c r="AS45" s="149">
        <v>782372961</v>
      </c>
    </row>
    <row r="46" spans="1:45" ht="11.25" customHeight="1">
      <c r="A46" s="250" t="s">
        <v>108</v>
      </c>
      <c r="B46" s="182"/>
      <c r="C46" s="1899"/>
      <c r="D46" s="1899"/>
      <c r="E46" s="1900"/>
      <c r="F46" s="1901"/>
      <c r="G46" s="1899"/>
      <c r="H46" s="1902"/>
      <c r="I46" s="1903"/>
      <c r="J46" s="1899"/>
      <c r="K46" s="1900"/>
      <c r="AQ46" s="149">
        <v>19116417</v>
      </c>
      <c r="AS46" s="149">
        <v>19116417</v>
      </c>
    </row>
    <row r="47" spans="1:45" ht="11.25" customHeight="1">
      <c r="A47" s="250" t="s">
        <v>109</v>
      </c>
      <c r="B47" s="182"/>
      <c r="C47" s="1899"/>
      <c r="D47" s="1899"/>
      <c r="E47" s="1900"/>
      <c r="F47" s="1901"/>
      <c r="G47" s="1899"/>
      <c r="H47" s="1902"/>
      <c r="I47" s="1903"/>
      <c r="J47" s="1899"/>
      <c r="K47" s="1900"/>
      <c r="AQ47" s="149">
        <v>2273706353</v>
      </c>
      <c r="AS47" s="149">
        <v>1781319195</v>
      </c>
    </row>
    <row r="48" spans="1:45" ht="11.25" customHeight="1">
      <c r="A48" s="250" t="s">
        <v>785</v>
      </c>
      <c r="B48" s="182"/>
      <c r="C48" s="1899"/>
      <c r="D48" s="1899"/>
      <c r="E48" s="1900"/>
      <c r="F48" s="1901"/>
      <c r="G48" s="1899"/>
      <c r="H48" s="1902"/>
      <c r="I48" s="1903"/>
      <c r="J48" s="1899"/>
      <c r="K48" s="1900"/>
      <c r="AQ48" s="149">
        <v>180259232</v>
      </c>
      <c r="AS48" s="149">
        <v>140396729</v>
      </c>
    </row>
    <row r="49" spans="1:45" ht="11.25" customHeight="1">
      <c r="A49" s="250" t="s">
        <v>110</v>
      </c>
      <c r="B49" s="182"/>
      <c r="C49" s="1899"/>
      <c r="D49" s="1899"/>
      <c r="E49" s="1900"/>
      <c r="F49" s="1901"/>
      <c r="G49" s="1899"/>
      <c r="H49" s="1902"/>
      <c r="I49" s="1903"/>
      <c r="J49" s="1899"/>
      <c r="K49" s="1900"/>
      <c r="AQ49" s="149">
        <v>125005000</v>
      </c>
      <c r="AS49" s="149">
        <v>100442200</v>
      </c>
    </row>
    <row r="50" spans="1:45" ht="11.25" customHeight="1">
      <c r="A50" s="265" t="s">
        <v>177</v>
      </c>
      <c r="B50" s="182">
        <v>1</v>
      </c>
      <c r="C50" s="717">
        <f>SUM(C38:C49)</f>
        <v>0</v>
      </c>
      <c r="D50" s="717">
        <f t="shared" ref="D50:K50" si="4">SUM(D38:D49)</f>
        <v>0</v>
      </c>
      <c r="E50" s="718">
        <f t="shared" si="4"/>
        <v>0</v>
      </c>
      <c r="F50" s="719">
        <f t="shared" si="4"/>
        <v>0</v>
      </c>
      <c r="G50" s="717">
        <f t="shared" si="4"/>
        <v>0</v>
      </c>
      <c r="H50" s="720">
        <f t="shared" si="4"/>
        <v>0</v>
      </c>
      <c r="I50" s="721">
        <f t="shared" si="4"/>
        <v>0</v>
      </c>
      <c r="J50" s="717">
        <f t="shared" si="4"/>
        <v>0</v>
      </c>
      <c r="K50" s="718">
        <f t="shared" si="4"/>
        <v>0</v>
      </c>
      <c r="AQ50" s="149">
        <v>40341797</v>
      </c>
      <c r="AS50" s="149">
        <v>38954529</v>
      </c>
    </row>
    <row r="51" spans="1:45" ht="11.25" customHeight="1">
      <c r="A51" s="265"/>
      <c r="B51" s="182"/>
      <c r="C51" s="751"/>
      <c r="D51" s="751"/>
      <c r="E51" s="752"/>
      <c r="F51" s="753"/>
      <c r="G51" s="751"/>
      <c r="H51" s="754"/>
      <c r="I51" s="755"/>
      <c r="J51" s="751"/>
      <c r="K51" s="752"/>
      <c r="AQ51" s="149">
        <v>14912435</v>
      </c>
      <c r="AS51" s="149">
        <v>1000000</v>
      </c>
    </row>
    <row r="52" spans="1:45" ht="11.25" customHeight="1">
      <c r="A52" s="249" t="s">
        <v>680</v>
      </c>
      <c r="B52" s="182"/>
      <c r="C52" s="715"/>
      <c r="D52" s="715"/>
      <c r="E52" s="711"/>
      <c r="F52" s="712"/>
      <c r="G52" s="715"/>
      <c r="H52" s="713"/>
      <c r="I52" s="716"/>
      <c r="J52" s="715"/>
      <c r="K52" s="711"/>
    </row>
    <row r="53" spans="1:45" ht="11.25" customHeight="1">
      <c r="A53" s="250" t="str">
        <f t="shared" ref="A53:A64" si="5">A38</f>
        <v>Long-Term Loans (annuity/reducing balance)</v>
      </c>
      <c r="B53" s="182"/>
      <c r="C53" s="1899"/>
      <c r="D53" s="1899"/>
      <c r="E53" s="1900"/>
      <c r="F53" s="1901"/>
      <c r="G53" s="1899"/>
      <c r="H53" s="1902"/>
      <c r="I53" s="1903"/>
      <c r="J53" s="1899"/>
      <c r="K53" s="1900"/>
    </row>
    <row r="54" spans="1:45" ht="11.25" customHeight="1">
      <c r="A54" s="250" t="str">
        <f t="shared" si="5"/>
        <v>Long-Term Loans (non-annuity)</v>
      </c>
      <c r="B54" s="182"/>
      <c r="C54" s="1899"/>
      <c r="D54" s="1899"/>
      <c r="E54" s="1900"/>
      <c r="F54" s="1901"/>
      <c r="G54" s="1899"/>
      <c r="H54" s="1902"/>
      <c r="I54" s="1903"/>
      <c r="J54" s="1899"/>
      <c r="K54" s="1900"/>
    </row>
    <row r="55" spans="1:45" ht="11.25" customHeight="1">
      <c r="A55" s="250" t="str">
        <f t="shared" si="5"/>
        <v>Local registered stock</v>
      </c>
      <c r="B55" s="182"/>
      <c r="C55" s="1899"/>
      <c r="D55" s="1899"/>
      <c r="E55" s="1900"/>
      <c r="F55" s="1901"/>
      <c r="G55" s="1899"/>
      <c r="H55" s="1902"/>
      <c r="I55" s="1903"/>
      <c r="J55" s="1899"/>
      <c r="K55" s="1900"/>
    </row>
    <row r="56" spans="1:45" ht="11.25" customHeight="1">
      <c r="A56" s="250" t="str">
        <f t="shared" si="5"/>
        <v>Instalment Credit</v>
      </c>
      <c r="B56" s="182"/>
      <c r="C56" s="1899"/>
      <c r="D56" s="1899"/>
      <c r="E56" s="1900"/>
      <c r="F56" s="1901"/>
      <c r="G56" s="1899"/>
      <c r="H56" s="1902"/>
      <c r="I56" s="1903"/>
      <c r="J56" s="1899"/>
      <c r="K56" s="1900"/>
    </row>
    <row r="57" spans="1:45" ht="11.25" customHeight="1">
      <c r="A57" s="250" t="str">
        <f t="shared" si="5"/>
        <v>Financial Leases</v>
      </c>
      <c r="B57" s="182"/>
      <c r="C57" s="1899"/>
      <c r="D57" s="1899"/>
      <c r="E57" s="1900"/>
      <c r="F57" s="1901"/>
      <c r="G57" s="1899"/>
      <c r="H57" s="1902"/>
      <c r="I57" s="1903"/>
      <c r="J57" s="1899"/>
      <c r="K57" s="1900"/>
    </row>
    <row r="58" spans="1:45" ht="11.25" customHeight="1">
      <c r="A58" s="250" t="str">
        <f t="shared" si="5"/>
        <v>PPP liabilities</v>
      </c>
      <c r="B58" s="182"/>
      <c r="C58" s="1899"/>
      <c r="D58" s="1899"/>
      <c r="E58" s="1900"/>
      <c r="F58" s="1901"/>
      <c r="G58" s="1899"/>
      <c r="H58" s="1902"/>
      <c r="I58" s="1903"/>
      <c r="J58" s="1899"/>
      <c r="K58" s="1900"/>
    </row>
    <row r="59" spans="1:45" ht="11.25" customHeight="1">
      <c r="A59" s="250" t="str">
        <f t="shared" si="5"/>
        <v>Finance Granted By Cap Equipment Supplier</v>
      </c>
      <c r="B59" s="182"/>
      <c r="C59" s="1899"/>
      <c r="D59" s="1899"/>
      <c r="E59" s="1900"/>
      <c r="F59" s="1901"/>
      <c r="G59" s="1899"/>
      <c r="H59" s="1902"/>
      <c r="I59" s="1903"/>
      <c r="J59" s="1899"/>
      <c r="K59" s="1900"/>
    </row>
    <row r="60" spans="1:45" ht="11.25" customHeight="1">
      <c r="A60" s="250" t="str">
        <f t="shared" si="5"/>
        <v>Marketable Bonds</v>
      </c>
      <c r="B60" s="182"/>
      <c r="C60" s="1899"/>
      <c r="D60" s="1899"/>
      <c r="E60" s="1900"/>
      <c r="F60" s="1901"/>
      <c r="G60" s="1899"/>
      <c r="H60" s="1902"/>
      <c r="I60" s="1903"/>
      <c r="J60" s="1899"/>
      <c r="K60" s="1900"/>
    </row>
    <row r="61" spans="1:45" ht="11.25" customHeight="1">
      <c r="A61" s="250" t="str">
        <f t="shared" si="5"/>
        <v>Non-Marketable Bonds</v>
      </c>
      <c r="B61" s="182"/>
      <c r="C61" s="1899"/>
      <c r="D61" s="1899"/>
      <c r="E61" s="1900"/>
      <c r="F61" s="1901"/>
      <c r="G61" s="1899"/>
      <c r="H61" s="1902"/>
      <c r="I61" s="1903"/>
      <c r="J61" s="1899"/>
      <c r="K61" s="1900"/>
    </row>
    <row r="62" spans="1:45" ht="11.25" customHeight="1">
      <c r="A62" s="250" t="str">
        <f t="shared" si="5"/>
        <v>Bankers Acceptances</v>
      </c>
      <c r="B62" s="182"/>
      <c r="C62" s="1899"/>
      <c r="D62" s="1899"/>
      <c r="E62" s="1900"/>
      <c r="F62" s="1901"/>
      <c r="G62" s="1899"/>
      <c r="H62" s="1902"/>
      <c r="I62" s="1903"/>
      <c r="J62" s="1899"/>
      <c r="K62" s="1900"/>
    </row>
    <row r="63" spans="1:45" ht="11.25" customHeight="1">
      <c r="A63" s="250" t="str">
        <f t="shared" si="5"/>
        <v>Financial derivatives</v>
      </c>
      <c r="B63" s="182"/>
      <c r="C63" s="1899"/>
      <c r="D63" s="1899"/>
      <c r="E63" s="1900"/>
      <c r="F63" s="1901"/>
      <c r="G63" s="1899"/>
      <c r="H63" s="1902"/>
      <c r="I63" s="1903"/>
      <c r="J63" s="1899"/>
      <c r="K63" s="1900"/>
    </row>
    <row r="64" spans="1:45" ht="11.25" customHeight="1">
      <c r="A64" s="250" t="str">
        <f t="shared" si="5"/>
        <v>Other Securities</v>
      </c>
      <c r="B64" s="182"/>
      <c r="C64" s="1899"/>
      <c r="D64" s="1899"/>
      <c r="E64" s="1900"/>
      <c r="F64" s="1901"/>
      <c r="G64" s="1899"/>
      <c r="H64" s="1902"/>
      <c r="I64" s="1903"/>
      <c r="J64" s="1899"/>
      <c r="K64" s="1900"/>
    </row>
    <row r="65" spans="1:11" ht="11.25" customHeight="1">
      <c r="A65" s="265" t="s">
        <v>176</v>
      </c>
      <c r="B65" s="182">
        <v>1</v>
      </c>
      <c r="C65" s="717">
        <f>SUM(C53:C64)</f>
        <v>0</v>
      </c>
      <c r="D65" s="717">
        <f t="shared" ref="D65:K65" si="6">SUM(D53:D64)</f>
        <v>0</v>
      </c>
      <c r="E65" s="718">
        <f t="shared" si="6"/>
        <v>0</v>
      </c>
      <c r="F65" s="719">
        <f t="shared" si="6"/>
        <v>0</v>
      </c>
      <c r="G65" s="717">
        <f t="shared" si="6"/>
        <v>0</v>
      </c>
      <c r="H65" s="720">
        <f t="shared" si="6"/>
        <v>0</v>
      </c>
      <c r="I65" s="721">
        <f t="shared" si="6"/>
        <v>0</v>
      </c>
      <c r="J65" s="717">
        <f t="shared" si="6"/>
        <v>0</v>
      </c>
      <c r="K65" s="718">
        <f t="shared" si="6"/>
        <v>0</v>
      </c>
    </row>
    <row r="66" spans="1:11" ht="11.25" customHeight="1">
      <c r="A66" s="273"/>
      <c r="B66" s="182"/>
      <c r="C66" s="715"/>
      <c r="D66" s="715"/>
      <c r="E66" s="711"/>
      <c r="F66" s="712"/>
      <c r="G66" s="715"/>
      <c r="H66" s="713"/>
      <c r="I66" s="716"/>
      <c r="J66" s="715"/>
      <c r="K66" s="711"/>
    </row>
    <row r="67" spans="1:11" ht="11.25" customHeight="1">
      <c r="A67" s="281" t="s">
        <v>2204</v>
      </c>
      <c r="B67" s="225">
        <v>1</v>
      </c>
      <c r="C67" s="728">
        <f>C50+C65</f>
        <v>0</v>
      </c>
      <c r="D67" s="728">
        <f t="shared" ref="D67:K67" si="7">D50+D65</f>
        <v>0</v>
      </c>
      <c r="E67" s="729">
        <f t="shared" si="7"/>
        <v>0</v>
      </c>
      <c r="F67" s="730">
        <f t="shared" si="7"/>
        <v>0</v>
      </c>
      <c r="G67" s="728">
        <f t="shared" si="7"/>
        <v>0</v>
      </c>
      <c r="H67" s="731">
        <f t="shared" si="7"/>
        <v>0</v>
      </c>
      <c r="I67" s="732">
        <f t="shared" si="7"/>
        <v>0</v>
      </c>
      <c r="J67" s="728">
        <f t="shared" si="7"/>
        <v>0</v>
      </c>
      <c r="K67" s="729">
        <f t="shared" si="7"/>
        <v>0</v>
      </c>
    </row>
    <row r="68" spans="1:11" ht="11.25" customHeight="1">
      <c r="A68" s="246"/>
      <c r="B68" s="236"/>
      <c r="C68" s="309"/>
      <c r="D68" s="309"/>
      <c r="E68" s="309"/>
      <c r="F68" s="309"/>
      <c r="G68" s="309"/>
      <c r="H68" s="309"/>
      <c r="I68" s="309"/>
      <c r="J68" s="309"/>
      <c r="K68" s="309"/>
    </row>
    <row r="69" spans="1:11" ht="11.25" customHeight="1">
      <c r="A69" s="235" t="str">
        <f>head27a</f>
        <v>References</v>
      </c>
      <c r="B69" s="236"/>
      <c r="C69" s="309"/>
      <c r="D69" s="309"/>
      <c r="E69" s="309"/>
      <c r="F69" s="309"/>
      <c r="G69" s="309"/>
      <c r="H69" s="309"/>
      <c r="I69" s="309"/>
      <c r="J69" s="309"/>
      <c r="K69" s="309"/>
    </row>
    <row r="70" spans="1:11" ht="11.25" customHeight="1">
      <c r="A70" s="287" t="s">
        <v>1280</v>
      </c>
      <c r="B70" s="236"/>
      <c r="C70" s="241"/>
      <c r="D70" s="240"/>
      <c r="E70" s="241"/>
      <c r="F70" s="241"/>
      <c r="G70" s="241"/>
      <c r="H70" s="241"/>
      <c r="I70" s="241"/>
      <c r="J70" s="241"/>
      <c r="K70" s="241"/>
    </row>
    <row r="71" spans="1:11" ht="11.25" customHeight="1">
      <c r="A71" s="288" t="s">
        <v>558</v>
      </c>
      <c r="B71" s="236"/>
      <c r="C71" s="438">
        <f>C34-'A6-FinPos'!C37</f>
        <v>0</v>
      </c>
      <c r="D71" s="438">
        <f>D34-'A6-FinPos'!D37</f>
        <v>0</v>
      </c>
      <c r="E71" s="438">
        <f>E34-'A6-FinPos'!E37</f>
        <v>0</v>
      </c>
      <c r="F71" s="438">
        <f>F34-'A6-FinPos'!F37</f>
        <v>0</v>
      </c>
      <c r="G71" s="438">
        <f>G34-'A6-FinPos'!G37</f>
        <v>0</v>
      </c>
      <c r="H71" s="438">
        <f>H34-'A6-FinPos'!H37</f>
        <v>0</v>
      </c>
      <c r="I71" s="438">
        <f>I34-'A6-FinPos'!J37</f>
        <v>0</v>
      </c>
      <c r="J71" s="438">
        <f>J34-'A6-FinPos'!K37</f>
        <v>0</v>
      </c>
      <c r="K71" s="438">
        <f>K34-'A6-FinPos'!L37</f>
        <v>0</v>
      </c>
    </row>
    <row r="72" spans="1:11" ht="11.25" customHeight="1">
      <c r="F72" s="310"/>
    </row>
  </sheetData>
  <sheetProtection sheet="1" objects="1" scenarios="1"/>
  <mergeCells count="2">
    <mergeCell ref="F2:H2"/>
    <mergeCell ref="I2:K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enableFormatConditionsCalculation="0">
    <tabColor indexed="42"/>
  </sheetPr>
  <dimension ref="A1:O91"/>
  <sheetViews>
    <sheetView showGridLines="0" workbookViewId="0">
      <pane xSplit="2" ySplit="3" topLeftCell="C34" activePane="bottomRight" state="frozen"/>
      <selection pane="topRight"/>
      <selection pane="bottomLeft"/>
      <selection pane="bottomRight" activeCell="K48" sqref="J48:K48"/>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3.5" customHeight="1">
      <c r="A1" s="147" t="str">
        <f>muni&amp;" - "&amp; TableA18</f>
        <v>NW373 Rustenburg - Supporting Table SA18 Transfers and grant receipts</v>
      </c>
      <c r="B1" s="147"/>
      <c r="C1" s="147"/>
      <c r="D1" s="147"/>
      <c r="E1" s="147"/>
      <c r="F1" s="147"/>
      <c r="G1" s="147"/>
      <c r="H1" s="147"/>
      <c r="I1" s="147"/>
      <c r="J1" s="147"/>
      <c r="K1" s="147"/>
    </row>
    <row r="2" spans="1:11" ht="28.5" customHeight="1">
      <c r="A2" s="985" t="str">
        <f>desc</f>
        <v>Description</v>
      </c>
      <c r="B2" s="419" t="str">
        <f>head27</f>
        <v>Ref</v>
      </c>
      <c r="C2" s="150" t="str">
        <f>head1b</f>
        <v>2009/10</v>
      </c>
      <c r="D2" s="756" t="str">
        <f>head1A</f>
        <v>2010/11</v>
      </c>
      <c r="E2" s="146" t="str">
        <f>Head1</f>
        <v>2011/12</v>
      </c>
      <c r="F2" s="2765" t="str">
        <f>Head2</f>
        <v>Current Year 2012/13</v>
      </c>
      <c r="G2" s="2766"/>
      <c r="H2" s="2770"/>
      <c r="I2" s="2762" t="str">
        <f>Head3</f>
        <v>2013/14 Medium Term Revenue &amp; Expenditure Framework</v>
      </c>
      <c r="J2" s="2763"/>
      <c r="K2" s="2764"/>
    </row>
    <row r="3" spans="1:11" ht="20">
      <c r="A3" s="180" t="s">
        <v>667</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265" t="s">
        <v>1281</v>
      </c>
      <c r="B4" s="749" t="s">
        <v>1536</v>
      </c>
      <c r="C4" s="757"/>
      <c r="D4" s="757"/>
      <c r="E4" s="758"/>
      <c r="F4" s="759"/>
      <c r="G4" s="757"/>
      <c r="H4" s="760"/>
      <c r="I4" s="761"/>
      <c r="J4" s="757"/>
      <c r="K4" s="758"/>
    </row>
    <row r="5" spans="1:11" ht="5" customHeight="1">
      <c r="A5" s="249"/>
      <c r="B5" s="182"/>
      <c r="C5" s="751"/>
      <c r="D5" s="751"/>
      <c r="E5" s="752"/>
      <c r="F5" s="753"/>
      <c r="G5" s="751"/>
      <c r="H5" s="754"/>
      <c r="I5" s="755"/>
      <c r="J5" s="751"/>
      <c r="K5" s="752"/>
    </row>
    <row r="6" spans="1:11" ht="11.25" customHeight="1">
      <c r="A6" s="249" t="s">
        <v>361</v>
      </c>
      <c r="B6" s="182"/>
      <c r="C6" s="751"/>
      <c r="D6" s="751"/>
      <c r="E6" s="752"/>
      <c r="F6" s="753"/>
      <c r="G6" s="751"/>
      <c r="H6" s="754"/>
      <c r="I6" s="755"/>
      <c r="J6" s="751"/>
      <c r="K6" s="752"/>
    </row>
    <row r="7" spans="1:11" ht="18" customHeight="1">
      <c r="A7" s="373" t="s">
        <v>1027</v>
      </c>
      <c r="B7" s="182"/>
      <c r="C7" s="751">
        <f>SUM(C8:C18)</f>
        <v>276783301</v>
      </c>
      <c r="D7" s="751">
        <f t="shared" ref="D7:K7" si="0">SUM(D8:D18)</f>
        <v>284683263</v>
      </c>
      <c r="E7" s="752">
        <f t="shared" si="0"/>
        <v>265913160</v>
      </c>
      <c r="F7" s="753">
        <f t="shared" si="0"/>
        <v>278740139</v>
      </c>
      <c r="G7" s="751">
        <f t="shared" si="0"/>
        <v>290882383</v>
      </c>
      <c r="H7" s="754">
        <f t="shared" si="0"/>
        <v>290882383</v>
      </c>
      <c r="I7" s="755">
        <f t="shared" si="0"/>
        <v>334184900</v>
      </c>
      <c r="J7" s="751">
        <f t="shared" si="0"/>
        <v>383870885</v>
      </c>
      <c r="K7" s="752">
        <f t="shared" si="0"/>
        <v>453305021</v>
      </c>
    </row>
    <row r="8" spans="1:11" ht="11.25" customHeight="1">
      <c r="A8" s="1272" t="s">
        <v>1941</v>
      </c>
      <c r="B8" s="182" t="str">
        <f t="shared" ref="B8:B13" si="1">IF(A8="  Levy replacement",3,"")</f>
        <v/>
      </c>
      <c r="C8" s="1913">
        <v>164274187</v>
      </c>
      <c r="D8" s="1900">
        <v>206739954</v>
      </c>
      <c r="E8" s="1913">
        <v>231669000</v>
      </c>
      <c r="F8" s="1913">
        <v>256520000</v>
      </c>
      <c r="G8" s="2686">
        <v>274824000</v>
      </c>
      <c r="H8" s="2687">
        <v>274824000</v>
      </c>
      <c r="I8" s="1913">
        <v>285427000</v>
      </c>
      <c r="J8" s="1909">
        <v>335130000</v>
      </c>
      <c r="K8" s="1910">
        <v>402725000</v>
      </c>
    </row>
    <row r="9" spans="1:11" ht="11.25" customHeight="1">
      <c r="A9" s="1908" t="s">
        <v>1939</v>
      </c>
      <c r="B9" s="182" t="str">
        <f t="shared" si="1"/>
        <v/>
      </c>
      <c r="C9" s="1903">
        <v>750000</v>
      </c>
      <c r="D9" s="1900">
        <v>1000000</v>
      </c>
      <c r="E9" s="1903">
        <v>1150000</v>
      </c>
      <c r="F9" s="1903">
        <v>1500000</v>
      </c>
      <c r="G9" s="2688">
        <v>1500000</v>
      </c>
      <c r="H9" s="2689">
        <v>1500000</v>
      </c>
      <c r="I9" s="1903">
        <v>1550000</v>
      </c>
      <c r="J9" s="1899">
        <v>1600000</v>
      </c>
      <c r="K9" s="1900">
        <v>1650000</v>
      </c>
    </row>
    <row r="10" spans="1:11" ht="11.25" customHeight="1">
      <c r="A10" s="1908" t="s">
        <v>1938</v>
      </c>
      <c r="B10" s="182" t="str">
        <f t="shared" si="1"/>
        <v/>
      </c>
      <c r="C10" s="1903">
        <v>734250</v>
      </c>
      <c r="D10" s="1900">
        <v>750000</v>
      </c>
      <c r="E10" s="1903">
        <v>790000</v>
      </c>
      <c r="F10" s="1903">
        <v>800000</v>
      </c>
      <c r="G10" s="2688">
        <v>900000</v>
      </c>
      <c r="H10" s="2689">
        <v>900000</v>
      </c>
      <c r="I10" s="1903">
        <v>890000</v>
      </c>
      <c r="J10" s="1899">
        <v>934000</v>
      </c>
      <c r="K10" s="1900">
        <v>967000</v>
      </c>
    </row>
    <row r="11" spans="1:11" ht="11.25" customHeight="1">
      <c r="A11" s="1908" t="s">
        <v>1918</v>
      </c>
      <c r="B11" s="182" t="str">
        <f t="shared" si="1"/>
        <v/>
      </c>
      <c r="C11" s="1903">
        <v>1143750</v>
      </c>
      <c r="D11" s="1900">
        <v>1050000</v>
      </c>
      <c r="E11" s="1901">
        <v>606000</v>
      </c>
      <c r="F11" s="1903">
        <v>3564000</v>
      </c>
      <c r="G11" s="2688">
        <v>5000000</v>
      </c>
      <c r="H11" s="2689">
        <v>5000000</v>
      </c>
      <c r="I11" s="1903">
        <v>300000</v>
      </c>
      <c r="J11" s="1899">
        <v>300000</v>
      </c>
      <c r="K11" s="1900">
        <v>300000</v>
      </c>
    </row>
    <row r="12" spans="1:11" ht="11.25" customHeight="1">
      <c r="A12" s="1908" t="s">
        <v>1922</v>
      </c>
      <c r="B12" s="182" t="str">
        <f t="shared" si="1"/>
        <v/>
      </c>
      <c r="C12" s="1903">
        <v>18889185</v>
      </c>
      <c r="D12" s="1900">
        <v>0</v>
      </c>
      <c r="E12" s="1901">
        <v>0</v>
      </c>
      <c r="F12" s="1903">
        <v>0</v>
      </c>
      <c r="G12" s="2688">
        <v>0</v>
      </c>
      <c r="H12" s="2689">
        <v>0</v>
      </c>
      <c r="I12" s="1903">
        <v>0</v>
      </c>
      <c r="J12" s="1899">
        <v>0</v>
      </c>
      <c r="K12" s="1900">
        <v>0</v>
      </c>
    </row>
    <row r="13" spans="1:11" ht="11.25" customHeight="1">
      <c r="A13" s="1908" t="s">
        <v>1928</v>
      </c>
      <c r="B13" s="182" t="str">
        <f t="shared" si="1"/>
        <v/>
      </c>
      <c r="C13" s="1899">
        <v>3000000</v>
      </c>
      <c r="D13" s="1900">
        <v>4000000</v>
      </c>
      <c r="E13" s="1901">
        <v>9000000</v>
      </c>
      <c r="F13" s="1903">
        <v>0</v>
      </c>
      <c r="G13" s="2688">
        <v>0</v>
      </c>
      <c r="H13" s="2689">
        <v>0</v>
      </c>
      <c r="I13" s="1903">
        <v>5722000</v>
      </c>
      <c r="J13" s="1899">
        <v>5000000</v>
      </c>
      <c r="K13" s="1900">
        <v>5000000</v>
      </c>
    </row>
    <row r="14" spans="1:11" ht="11.25" customHeight="1">
      <c r="A14" s="1908" t="s">
        <v>4400</v>
      </c>
      <c r="B14" s="182"/>
      <c r="C14" s="1899"/>
      <c r="D14" s="1900"/>
      <c r="E14" s="1901"/>
      <c r="F14" s="1903"/>
      <c r="G14" s="2688"/>
      <c r="H14" s="2689"/>
      <c r="I14" s="1903">
        <v>0</v>
      </c>
      <c r="J14" s="1899">
        <v>0</v>
      </c>
      <c r="K14" s="1900">
        <v>0</v>
      </c>
    </row>
    <row r="15" spans="1:11" ht="11.25" customHeight="1">
      <c r="A15" s="1908" t="s">
        <v>4401</v>
      </c>
      <c r="B15" s="182"/>
      <c r="C15" s="1899"/>
      <c r="D15" s="1900"/>
      <c r="E15" s="1901"/>
      <c r="F15" s="1903"/>
      <c r="G15" s="2688"/>
      <c r="H15" s="2689"/>
      <c r="I15" s="1903">
        <v>0</v>
      </c>
      <c r="J15" s="1899">
        <v>0</v>
      </c>
      <c r="K15" s="1900">
        <v>0</v>
      </c>
    </row>
    <row r="16" spans="1:11" ht="11.25" customHeight="1">
      <c r="A16" s="1908" t="s">
        <v>4402</v>
      </c>
      <c r="B16" s="182"/>
      <c r="C16" s="1899"/>
      <c r="D16" s="1900"/>
      <c r="E16" s="1901"/>
      <c r="F16" s="1903"/>
      <c r="G16" s="2688"/>
      <c r="H16" s="2689"/>
      <c r="I16" s="1903">
        <v>7990000</v>
      </c>
      <c r="J16" s="1899">
        <v>0</v>
      </c>
      <c r="K16" s="1900">
        <v>0</v>
      </c>
    </row>
    <row r="17" spans="1:12" ht="11.25" customHeight="1">
      <c r="A17" s="1908" t="s">
        <v>4403</v>
      </c>
      <c r="B17" s="182"/>
      <c r="C17" s="1899"/>
      <c r="D17" s="1900"/>
      <c r="E17" s="1901"/>
      <c r="F17" s="1903"/>
      <c r="G17" s="2688"/>
      <c r="H17" s="2689"/>
      <c r="I17" s="1903">
        <v>26440826</v>
      </c>
      <c r="J17" s="1899">
        <v>17332665</v>
      </c>
      <c r="K17" s="1900">
        <v>18014772</v>
      </c>
    </row>
    <row r="18" spans="1:12" ht="18" customHeight="1">
      <c r="A18" s="1908" t="s">
        <v>4404</v>
      </c>
      <c r="B18" s="182"/>
      <c r="C18" s="1914">
        <v>87991929</v>
      </c>
      <c r="D18" s="1915">
        <v>71143309</v>
      </c>
      <c r="E18" s="1916">
        <v>22698160</v>
      </c>
      <c r="F18" s="1918">
        <v>16356139</v>
      </c>
      <c r="G18" s="2690">
        <v>8658383</v>
      </c>
      <c r="H18" s="2691">
        <v>8658383</v>
      </c>
      <c r="I18" s="1918">
        <v>5865074</v>
      </c>
      <c r="J18" s="1914">
        <v>23574220</v>
      </c>
      <c r="K18" s="1915">
        <v>24648249</v>
      </c>
    </row>
    <row r="19" spans="1:12" ht="18" customHeight="1">
      <c r="A19" s="373" t="s">
        <v>1028</v>
      </c>
      <c r="B19" s="182"/>
      <c r="C19" s="751">
        <f>SUM(C20:C25)</f>
        <v>13352611</v>
      </c>
      <c r="D19" s="751">
        <f t="shared" ref="D19:K19" si="2">SUM(D20:D25)</f>
        <v>5392668</v>
      </c>
      <c r="E19" s="752">
        <f t="shared" si="2"/>
        <v>676000</v>
      </c>
      <c r="F19" s="753">
        <f t="shared" si="2"/>
        <v>1598000</v>
      </c>
      <c r="G19" s="751">
        <f t="shared" si="2"/>
        <v>0</v>
      </c>
      <c r="H19" s="754">
        <f t="shared" si="2"/>
        <v>0</v>
      </c>
      <c r="I19" s="755">
        <f t="shared" si="2"/>
        <v>4175000</v>
      </c>
      <c r="J19" s="751">
        <f t="shared" si="2"/>
        <v>1830000</v>
      </c>
      <c r="K19" s="752">
        <f t="shared" si="2"/>
        <v>1885000</v>
      </c>
      <c r="L19" s="370"/>
    </row>
    <row r="20" spans="1:12" ht="11.25" customHeight="1">
      <c r="A20" s="1908" t="s">
        <v>1942</v>
      </c>
      <c r="B20" s="182" t="str">
        <f>IF(A20="  Housing",4,"")</f>
        <v/>
      </c>
      <c r="C20" s="1911">
        <v>252184</v>
      </c>
      <c r="D20" s="1911">
        <v>450000</v>
      </c>
      <c r="E20" s="1910"/>
      <c r="F20" s="1913">
        <v>300000</v>
      </c>
      <c r="G20" s="1909">
        <v>0</v>
      </c>
      <c r="H20" s="1912">
        <v>0</v>
      </c>
      <c r="I20" s="1913">
        <v>0</v>
      </c>
      <c r="J20" s="1909">
        <v>0</v>
      </c>
      <c r="K20" s="1910">
        <v>0</v>
      </c>
      <c r="L20" s="370"/>
    </row>
    <row r="21" spans="1:12" ht="11.25" customHeight="1">
      <c r="A21" s="1908" t="s">
        <v>1935</v>
      </c>
      <c r="B21" s="182" t="str">
        <f>IF(A21="  Housing",4,"")</f>
        <v/>
      </c>
      <c r="C21" s="1901">
        <v>8600427</v>
      </c>
      <c r="D21" s="1901">
        <v>1200000</v>
      </c>
      <c r="E21" s="1900">
        <v>676000</v>
      </c>
      <c r="F21" s="1903">
        <v>248000</v>
      </c>
      <c r="G21" s="1899">
        <v>0</v>
      </c>
      <c r="H21" s="1902">
        <v>0</v>
      </c>
      <c r="I21" s="1903">
        <v>670000</v>
      </c>
      <c r="J21" s="1899">
        <v>670000</v>
      </c>
      <c r="K21" s="1900">
        <v>670000</v>
      </c>
      <c r="L21" s="370"/>
    </row>
    <row r="22" spans="1:12" ht="11.25" customHeight="1">
      <c r="A22" s="1908" t="s">
        <v>1718</v>
      </c>
      <c r="B22" s="182" t="str">
        <f>IF(A22="  Housing",4,"")</f>
        <v/>
      </c>
      <c r="C22" s="1899">
        <v>0</v>
      </c>
      <c r="D22" s="1899">
        <v>3603444</v>
      </c>
      <c r="E22" s="1900">
        <v>0</v>
      </c>
      <c r="F22" s="1901"/>
      <c r="G22" s="1899">
        <v>0</v>
      </c>
      <c r="H22" s="1902">
        <v>0</v>
      </c>
      <c r="I22" s="1903">
        <v>0</v>
      </c>
      <c r="J22" s="1899">
        <v>0</v>
      </c>
      <c r="K22" s="1900">
        <v>0</v>
      </c>
      <c r="L22" s="370"/>
    </row>
    <row r="23" spans="1:12" ht="11.25" customHeight="1">
      <c r="A23" s="1908" t="s">
        <v>4405</v>
      </c>
      <c r="B23" s="182" t="str">
        <f>IF(A23="  Housing",4,"")</f>
        <v/>
      </c>
      <c r="C23" s="1899"/>
      <c r="D23" s="1899"/>
      <c r="E23" s="1900"/>
      <c r="F23" s="1901"/>
      <c r="G23" s="1899"/>
      <c r="H23" s="1902"/>
      <c r="I23" s="1903"/>
      <c r="J23" s="1899"/>
      <c r="K23" s="1900"/>
      <c r="L23" s="370"/>
    </row>
    <row r="24" spans="1:12" ht="11.25" customHeight="1">
      <c r="A24" s="1908" t="s">
        <v>4406</v>
      </c>
      <c r="B24" s="182"/>
      <c r="C24" s="1899"/>
      <c r="D24" s="1899"/>
      <c r="E24" s="1900"/>
      <c r="F24" s="1901"/>
      <c r="G24" s="1899"/>
      <c r="H24" s="1902"/>
      <c r="I24" s="1903"/>
      <c r="J24" s="1899"/>
      <c r="K24" s="1900"/>
      <c r="L24" s="370"/>
    </row>
    <row r="25" spans="1:12" ht="11.25" customHeight="1">
      <c r="A25" s="2579" t="s">
        <v>4407</v>
      </c>
      <c r="B25" s="182"/>
      <c r="C25" s="1914">
        <v>4500000</v>
      </c>
      <c r="D25" s="1914">
        <v>139224</v>
      </c>
      <c r="E25" s="1915">
        <v>0</v>
      </c>
      <c r="F25" s="1918">
        <v>1050000</v>
      </c>
      <c r="G25" s="1914">
        <v>0</v>
      </c>
      <c r="H25" s="1917">
        <v>0</v>
      </c>
      <c r="I25" s="1918">
        <v>3505000</v>
      </c>
      <c r="J25" s="1914">
        <v>1160000</v>
      </c>
      <c r="K25" s="1915">
        <v>1215000</v>
      </c>
      <c r="L25" s="370"/>
    </row>
    <row r="26" spans="1:12" ht="18" customHeight="1">
      <c r="A26" s="373" t="s">
        <v>1064</v>
      </c>
      <c r="B26" s="182"/>
      <c r="C26" s="751">
        <f>SUM(C27:C28)</f>
        <v>0</v>
      </c>
      <c r="D26" s="751">
        <f t="shared" ref="D26:K26" si="3">SUM(D27:D28)</f>
        <v>0</v>
      </c>
      <c r="E26" s="752">
        <f t="shared" si="3"/>
        <v>0</v>
      </c>
      <c r="F26" s="753">
        <f t="shared" si="3"/>
        <v>0</v>
      </c>
      <c r="G26" s="751">
        <f t="shared" si="3"/>
        <v>0</v>
      </c>
      <c r="H26" s="754">
        <f t="shared" si="3"/>
        <v>0</v>
      </c>
      <c r="I26" s="755">
        <f t="shared" si="3"/>
        <v>0</v>
      </c>
      <c r="J26" s="751">
        <f t="shared" si="3"/>
        <v>0</v>
      </c>
      <c r="K26" s="752">
        <f t="shared" si="3"/>
        <v>0</v>
      </c>
      <c r="L26" s="370"/>
    </row>
    <row r="27" spans="1:12" ht="11.25" customHeight="1">
      <c r="A27" s="1919" t="s">
        <v>2468</v>
      </c>
      <c r="B27" s="182"/>
      <c r="C27" s="1909"/>
      <c r="D27" s="1909"/>
      <c r="E27" s="1910"/>
      <c r="F27" s="1911"/>
      <c r="G27" s="1909"/>
      <c r="H27" s="1912"/>
      <c r="I27" s="1913"/>
      <c r="J27" s="1909"/>
      <c r="K27" s="1910"/>
      <c r="L27" s="370"/>
    </row>
    <row r="28" spans="1:12" ht="11.25" customHeight="1">
      <c r="A28" s="1919"/>
      <c r="B28" s="182"/>
      <c r="C28" s="1914"/>
      <c r="D28" s="1914"/>
      <c r="E28" s="1915"/>
      <c r="F28" s="1916"/>
      <c r="G28" s="1914"/>
      <c r="H28" s="1917"/>
      <c r="I28" s="1918"/>
      <c r="J28" s="1914"/>
      <c r="K28" s="1915"/>
      <c r="L28" s="370"/>
    </row>
    <row r="29" spans="1:12" ht="18" customHeight="1">
      <c r="A29" s="373" t="s">
        <v>589</v>
      </c>
      <c r="B29" s="182"/>
      <c r="C29" s="751">
        <f>SUM(C30:C31)</f>
        <v>2462648</v>
      </c>
      <c r="D29" s="751">
        <f t="shared" ref="D29:K29" si="4">SUM(D30:D31)</f>
        <v>12969756</v>
      </c>
      <c r="E29" s="752">
        <f t="shared" si="4"/>
        <v>10500</v>
      </c>
      <c r="F29" s="753">
        <f t="shared" si="4"/>
        <v>0</v>
      </c>
      <c r="G29" s="751">
        <f t="shared" si="4"/>
        <v>0</v>
      </c>
      <c r="H29" s="754">
        <f t="shared" si="4"/>
        <v>0</v>
      </c>
      <c r="I29" s="755">
        <f t="shared" si="4"/>
        <v>0</v>
      </c>
      <c r="J29" s="751">
        <f t="shared" si="4"/>
        <v>0</v>
      </c>
      <c r="K29" s="752">
        <f t="shared" si="4"/>
        <v>0</v>
      </c>
      <c r="L29" s="370"/>
    </row>
    <row r="30" spans="1:12" ht="11.25" customHeight="1">
      <c r="A30" s="1919" t="s">
        <v>2469</v>
      </c>
      <c r="B30" s="182"/>
      <c r="C30" s="1911">
        <v>10000</v>
      </c>
      <c r="D30" s="1910"/>
      <c r="E30" s="1913">
        <v>10500</v>
      </c>
      <c r="F30" s="1913">
        <v>0</v>
      </c>
      <c r="G30" s="1909"/>
      <c r="H30" s="1912"/>
      <c r="I30" s="1913" t="s">
        <v>2471</v>
      </c>
      <c r="J30" s="1909">
        <v>0</v>
      </c>
      <c r="K30" s="1910">
        <v>0</v>
      </c>
      <c r="L30" s="370"/>
    </row>
    <row r="31" spans="1:12" ht="11.25" customHeight="1">
      <c r="A31" s="1919" t="s">
        <v>2470</v>
      </c>
      <c r="B31" s="182"/>
      <c r="C31" s="1914">
        <v>2452648</v>
      </c>
      <c r="D31" s="1915">
        <f>834805+12134951</f>
        <v>12969756</v>
      </c>
      <c r="E31" s="1916"/>
      <c r="F31" s="1916">
        <v>0</v>
      </c>
      <c r="G31" s="1914"/>
      <c r="H31" s="1917"/>
      <c r="I31" s="1918"/>
      <c r="J31" s="1914"/>
      <c r="K31" s="1915"/>
      <c r="L31" s="370"/>
    </row>
    <row r="32" spans="1:12" s="769" customFormat="1" ht="15.75" customHeight="1">
      <c r="A32" s="762" t="s">
        <v>362</v>
      </c>
      <c r="B32" s="763">
        <v>5</v>
      </c>
      <c r="C32" s="764">
        <f>C7+C19+C26+C29</f>
        <v>292598560</v>
      </c>
      <c r="D32" s="764">
        <f t="shared" ref="D32:K32" si="5">D7+D19+D26+D29</f>
        <v>303045687</v>
      </c>
      <c r="E32" s="765">
        <f t="shared" si="5"/>
        <v>266599660</v>
      </c>
      <c r="F32" s="766">
        <f t="shared" si="5"/>
        <v>280338139</v>
      </c>
      <c r="G32" s="764">
        <f t="shared" si="5"/>
        <v>290882383</v>
      </c>
      <c r="H32" s="767">
        <f t="shared" si="5"/>
        <v>290882383</v>
      </c>
      <c r="I32" s="768">
        <f t="shared" si="5"/>
        <v>338359900</v>
      </c>
      <c r="J32" s="764">
        <f t="shared" si="5"/>
        <v>385700885</v>
      </c>
      <c r="K32" s="765">
        <f t="shared" si="5"/>
        <v>455190021</v>
      </c>
      <c r="L32" s="891"/>
    </row>
    <row r="33" spans="1:15" ht="5" customHeight="1">
      <c r="A33" s="273"/>
      <c r="B33" s="182"/>
      <c r="C33" s="715"/>
      <c r="D33" s="715"/>
      <c r="E33" s="711"/>
      <c r="F33" s="712"/>
      <c r="G33" s="715"/>
      <c r="H33" s="713"/>
      <c r="I33" s="716"/>
      <c r="J33" s="715"/>
      <c r="K33" s="711"/>
      <c r="L33" s="370"/>
    </row>
    <row r="34" spans="1:15" ht="11.25" customHeight="1">
      <c r="A34" s="249" t="s">
        <v>363</v>
      </c>
      <c r="B34" s="182"/>
      <c r="C34" s="715"/>
      <c r="D34" s="715"/>
      <c r="E34" s="711"/>
      <c r="F34" s="712"/>
      <c r="G34" s="715"/>
      <c r="H34" s="713"/>
      <c r="I34" s="716"/>
      <c r="J34" s="715"/>
      <c r="K34" s="711"/>
      <c r="L34" s="370"/>
    </row>
    <row r="35" spans="1:15" ht="18" customHeight="1">
      <c r="A35" s="373" t="str">
        <f>A7</f>
        <v>National Government:</v>
      </c>
      <c r="B35" s="182"/>
      <c r="C35" s="751">
        <f>SUM(C36:C41)</f>
        <v>230675000</v>
      </c>
      <c r="D35" s="751">
        <f t="shared" ref="D35:K35" si="6">SUM(D36:D41)</f>
        <v>229277931</v>
      </c>
      <c r="E35" s="752">
        <f t="shared" si="6"/>
        <v>220494000</v>
      </c>
      <c r="F35" s="753">
        <f t="shared" si="6"/>
        <v>359990840</v>
      </c>
      <c r="G35" s="751">
        <f t="shared" si="6"/>
        <v>399041178</v>
      </c>
      <c r="H35" s="754">
        <f t="shared" si="6"/>
        <v>399041178</v>
      </c>
      <c r="I35" s="755">
        <f t="shared" si="6"/>
        <v>660987100</v>
      </c>
      <c r="J35" s="751">
        <f t="shared" si="6"/>
        <v>788153780</v>
      </c>
      <c r="K35" s="752">
        <f t="shared" si="6"/>
        <v>855189751</v>
      </c>
      <c r="L35" s="370"/>
    </row>
    <row r="36" spans="1:15" ht="11.25" customHeight="1">
      <c r="A36" s="1908" t="s">
        <v>1937</v>
      </c>
      <c r="B36" s="182"/>
      <c r="C36" s="1913">
        <v>98018000</v>
      </c>
      <c r="D36" s="1909">
        <v>118853173</v>
      </c>
      <c r="E36" s="1910">
        <v>138809000</v>
      </c>
      <c r="F36" s="1911">
        <v>163590840</v>
      </c>
      <c r="G36" s="1912">
        <v>214641178</v>
      </c>
      <c r="H36" s="1912">
        <v>214641178</v>
      </c>
      <c r="I36" s="1909">
        <v>187427926</v>
      </c>
      <c r="J36" s="1910">
        <v>190486445</v>
      </c>
      <c r="K36" s="1910">
        <v>203204523</v>
      </c>
      <c r="L36" s="370"/>
    </row>
    <row r="37" spans="1:15" ht="11.25" customHeight="1">
      <c r="A37" s="1908" t="s">
        <v>1936</v>
      </c>
      <c r="B37" s="182"/>
      <c r="C37" s="1903">
        <v>108657000</v>
      </c>
      <c r="D37" s="1899">
        <v>79084758</v>
      </c>
      <c r="E37" s="1900">
        <v>69575000</v>
      </c>
      <c r="F37" s="1901">
        <v>178000000</v>
      </c>
      <c r="G37" s="1902">
        <v>178000000</v>
      </c>
      <c r="H37" s="1902">
        <v>178000000</v>
      </c>
      <c r="I37" s="1899">
        <v>473559174</v>
      </c>
      <c r="J37" s="1900">
        <v>582667335</v>
      </c>
      <c r="K37" s="1900">
        <v>631985228</v>
      </c>
      <c r="L37" s="370"/>
    </row>
    <row r="38" spans="1:15" ht="11.25" customHeight="1">
      <c r="A38" s="1908" t="s">
        <v>1923</v>
      </c>
      <c r="B38" s="182"/>
      <c r="C38" s="1903">
        <v>0</v>
      </c>
      <c r="D38" s="1899">
        <v>0</v>
      </c>
      <c r="E38" s="1900">
        <v>110000</v>
      </c>
      <c r="F38" s="1901">
        <v>4000000</v>
      </c>
      <c r="G38" s="1902">
        <v>-4000000</v>
      </c>
      <c r="H38" s="1902">
        <v>-4000000</v>
      </c>
      <c r="I38" s="1899">
        <v>0</v>
      </c>
      <c r="J38" s="1900">
        <v>0</v>
      </c>
      <c r="K38" s="1900">
        <v>0</v>
      </c>
      <c r="L38" s="370"/>
    </row>
    <row r="39" spans="1:15" ht="11.25" customHeight="1">
      <c r="A39" s="1908"/>
      <c r="B39" s="182"/>
      <c r="C39" s="1903"/>
      <c r="D39" s="1899"/>
      <c r="E39" s="1900"/>
      <c r="F39" s="1901"/>
      <c r="G39" s="1899"/>
      <c r="H39" s="1902"/>
      <c r="I39" s="1899"/>
      <c r="J39" s="1900"/>
      <c r="K39" s="1900"/>
      <c r="L39" s="370"/>
    </row>
    <row r="40" spans="1:15" ht="11.25" customHeight="1">
      <c r="A40" s="1908"/>
      <c r="B40" s="182"/>
      <c r="C40" s="1903"/>
      <c r="D40" s="1899"/>
      <c r="E40" s="1900"/>
      <c r="F40" s="1901"/>
      <c r="G40" s="1899"/>
      <c r="H40" s="1902"/>
      <c r="I40" s="1899"/>
      <c r="J40" s="1900"/>
      <c r="K40" s="1900"/>
      <c r="L40" s="370"/>
    </row>
    <row r="41" spans="1:15" ht="11.25" customHeight="1">
      <c r="A41" s="1908" t="s">
        <v>2492</v>
      </c>
      <c r="B41" s="182"/>
      <c r="C41" s="1918">
        <v>24000000</v>
      </c>
      <c r="D41" s="1914">
        <v>31340000</v>
      </c>
      <c r="E41" s="1915">
        <v>12000000</v>
      </c>
      <c r="F41" s="1916">
        <v>14400000</v>
      </c>
      <c r="G41" s="1914">
        <v>10400000</v>
      </c>
      <c r="H41" s="1917">
        <v>10400000</v>
      </c>
      <c r="I41" s="1914">
        <v>0</v>
      </c>
      <c r="J41" s="1915">
        <v>15000000</v>
      </c>
      <c r="K41" s="1915">
        <v>20000000</v>
      </c>
      <c r="L41" s="370"/>
    </row>
    <row r="42" spans="1:15" ht="18" customHeight="1">
      <c r="A42" s="770" t="str">
        <f>A19</f>
        <v>Provincial Government:</v>
      </c>
      <c r="B42" s="182"/>
      <c r="C42" s="751">
        <f>SUM(C43)</f>
        <v>4500000</v>
      </c>
      <c r="D42" s="751">
        <f t="shared" ref="D42:K42" si="7">SUM(D43)</f>
        <v>8811377</v>
      </c>
      <c r="E42" s="752">
        <f t="shared" si="7"/>
        <v>0</v>
      </c>
      <c r="F42" s="753">
        <f t="shared" si="7"/>
        <v>422000</v>
      </c>
      <c r="G42" s="751">
        <f t="shared" si="7"/>
        <v>431000</v>
      </c>
      <c r="H42" s="754">
        <f t="shared" si="7"/>
        <v>431000</v>
      </c>
      <c r="I42" s="755">
        <f t="shared" si="7"/>
        <v>967500</v>
      </c>
      <c r="J42" s="751">
        <f t="shared" si="7"/>
        <v>349500</v>
      </c>
      <c r="K42" s="752">
        <f t="shared" si="7"/>
        <v>170000</v>
      </c>
      <c r="L42" s="370"/>
      <c r="O42" s="370"/>
    </row>
    <row r="43" spans="1:15">
      <c r="A43" s="1920" t="s">
        <v>2493</v>
      </c>
      <c r="B43" s="182"/>
      <c r="C43" s="1921">
        <v>4500000</v>
      </c>
      <c r="D43" s="1921">
        <v>8811377</v>
      </c>
      <c r="E43" s="1922">
        <v>0</v>
      </c>
      <c r="F43" s="1923">
        <v>422000</v>
      </c>
      <c r="G43" s="1921">
        <v>431000</v>
      </c>
      <c r="H43" s="1924">
        <v>431000</v>
      </c>
      <c r="I43" s="1055">
        <v>967500</v>
      </c>
      <c r="J43" s="1053">
        <v>349500</v>
      </c>
      <c r="K43" s="1054">
        <v>170000</v>
      </c>
      <c r="L43" s="370"/>
    </row>
    <row r="44" spans="1:15" ht="18" customHeight="1">
      <c r="A44" s="373" t="str">
        <f>A26</f>
        <v>District Municipality:</v>
      </c>
      <c r="B44" s="182"/>
      <c r="C44" s="751">
        <f t="shared" ref="C44:K44" si="8">SUM(C45:C46)</f>
        <v>0</v>
      </c>
      <c r="D44" s="751">
        <f t="shared" si="8"/>
        <v>794618</v>
      </c>
      <c r="E44" s="752">
        <f t="shared" si="8"/>
        <v>618732</v>
      </c>
      <c r="F44" s="753">
        <f t="shared" si="8"/>
        <v>4500000</v>
      </c>
      <c r="G44" s="751">
        <f t="shared" si="8"/>
        <v>5746850</v>
      </c>
      <c r="H44" s="754">
        <f t="shared" si="8"/>
        <v>5746850</v>
      </c>
      <c r="I44" s="755">
        <f t="shared" si="8"/>
        <v>0</v>
      </c>
      <c r="J44" s="751">
        <f t="shared" si="8"/>
        <v>0</v>
      </c>
      <c r="K44" s="752">
        <f t="shared" si="8"/>
        <v>0</v>
      </c>
      <c r="L44" s="370"/>
    </row>
    <row r="45" spans="1:15" ht="11.25" customHeight="1">
      <c r="A45" s="1919" t="str">
        <f>A27</f>
        <v>Bojanala District Municipality</v>
      </c>
      <c r="B45" s="182"/>
      <c r="C45" s="1909">
        <v>0</v>
      </c>
      <c r="D45" s="1909">
        <v>794618</v>
      </c>
      <c r="E45" s="1910">
        <v>618732</v>
      </c>
      <c r="F45" s="1911">
        <v>4500000</v>
      </c>
      <c r="G45" s="1909">
        <v>5746850</v>
      </c>
      <c r="H45" s="1912">
        <v>5746850</v>
      </c>
      <c r="I45" s="1913">
        <v>0</v>
      </c>
      <c r="J45" s="1909">
        <v>0</v>
      </c>
      <c r="K45" s="1910">
        <v>0</v>
      </c>
      <c r="L45" s="370"/>
    </row>
    <row r="46" spans="1:15" ht="11.25" customHeight="1">
      <c r="A46" s="1919"/>
      <c r="B46" s="182"/>
      <c r="C46" s="1914"/>
      <c r="D46" s="1914"/>
      <c r="E46" s="1915"/>
      <c r="F46" s="1916"/>
      <c r="G46" s="1914"/>
      <c r="H46" s="1917"/>
      <c r="I46" s="1918"/>
      <c r="J46" s="1914"/>
      <c r="K46" s="1915"/>
      <c r="L46" s="370"/>
    </row>
    <row r="47" spans="1:15" ht="18" customHeight="1">
      <c r="A47" s="373" t="str">
        <f>A29</f>
        <v>Other grant providers:</v>
      </c>
      <c r="B47" s="182"/>
      <c r="C47" s="751">
        <f>SUM(C48:C49)</f>
        <v>1431209</v>
      </c>
      <c r="D47" s="751">
        <f t="shared" ref="D47:K47" si="9">SUM(D48:D49)</f>
        <v>704000</v>
      </c>
      <c r="E47" s="752">
        <f t="shared" si="9"/>
        <v>504000</v>
      </c>
      <c r="F47" s="753">
        <f t="shared" si="9"/>
        <v>0</v>
      </c>
      <c r="G47" s="751">
        <f t="shared" si="9"/>
        <v>0</v>
      </c>
      <c r="H47" s="754">
        <f t="shared" si="9"/>
        <v>0</v>
      </c>
      <c r="I47" s="755">
        <f t="shared" si="9"/>
        <v>0</v>
      </c>
      <c r="J47" s="751">
        <f t="shared" si="9"/>
        <v>0</v>
      </c>
      <c r="K47" s="752">
        <f t="shared" si="9"/>
        <v>0</v>
      </c>
      <c r="L47" s="370"/>
    </row>
    <row r="48" spans="1:15" ht="11.25" customHeight="1">
      <c r="A48" s="1919" t="s">
        <v>3943</v>
      </c>
      <c r="B48" s="182"/>
      <c r="C48" s="1909">
        <v>0</v>
      </c>
      <c r="D48" s="1909">
        <v>0</v>
      </c>
      <c r="E48" s="1910">
        <v>0</v>
      </c>
      <c r="F48" s="1911">
        <v>0</v>
      </c>
      <c r="G48" s="1909"/>
      <c r="H48" s="1912"/>
      <c r="I48" s="1913">
        <v>0</v>
      </c>
      <c r="J48" s="1909"/>
      <c r="K48" s="1910"/>
      <c r="L48" s="370"/>
    </row>
    <row r="49" spans="1:12" ht="11.25" customHeight="1">
      <c r="A49" s="1919" t="s">
        <v>2494</v>
      </c>
      <c r="B49" s="182"/>
      <c r="C49" s="1914">
        <v>1431209</v>
      </c>
      <c r="D49" s="1914">
        <v>704000</v>
      </c>
      <c r="E49" s="1915">
        <v>504000</v>
      </c>
      <c r="F49" s="1916">
        <v>0</v>
      </c>
      <c r="G49" s="1914"/>
      <c r="H49" s="1917"/>
      <c r="I49" s="1918"/>
      <c r="J49" s="1914"/>
      <c r="K49" s="1915"/>
      <c r="L49" s="370"/>
    </row>
    <row r="50" spans="1:12" ht="15.75" customHeight="1">
      <c r="A50" s="771" t="s">
        <v>364</v>
      </c>
      <c r="B50" s="772">
        <v>5</v>
      </c>
      <c r="C50" s="751">
        <f t="shared" ref="C50:K50" si="10">C35+C42+C44+C47</f>
        <v>236606209</v>
      </c>
      <c r="D50" s="751">
        <f t="shared" si="10"/>
        <v>239587926</v>
      </c>
      <c r="E50" s="752">
        <f t="shared" si="10"/>
        <v>221616732</v>
      </c>
      <c r="F50" s="753">
        <f t="shared" si="10"/>
        <v>364912840</v>
      </c>
      <c r="G50" s="751">
        <f t="shared" si="10"/>
        <v>405219028</v>
      </c>
      <c r="H50" s="754">
        <f t="shared" si="10"/>
        <v>405219028</v>
      </c>
      <c r="I50" s="755">
        <f t="shared" si="10"/>
        <v>661954600</v>
      </c>
      <c r="J50" s="751">
        <f t="shared" si="10"/>
        <v>788503280</v>
      </c>
      <c r="K50" s="752">
        <f t="shared" si="10"/>
        <v>855359751</v>
      </c>
      <c r="L50" s="370"/>
    </row>
    <row r="51" spans="1:12" s="769" customFormat="1" ht="16.5" customHeight="1">
      <c r="A51" s="773" t="s">
        <v>365</v>
      </c>
      <c r="B51" s="774"/>
      <c r="C51" s="775">
        <f t="shared" ref="C51:K51" si="11">C32+C50</f>
        <v>529204769</v>
      </c>
      <c r="D51" s="775">
        <f t="shared" si="11"/>
        <v>542633613</v>
      </c>
      <c r="E51" s="776">
        <f t="shared" si="11"/>
        <v>488216392</v>
      </c>
      <c r="F51" s="777">
        <f t="shared" si="11"/>
        <v>645250979</v>
      </c>
      <c r="G51" s="775">
        <f t="shared" si="11"/>
        <v>696101411</v>
      </c>
      <c r="H51" s="778">
        <f t="shared" si="11"/>
        <v>696101411</v>
      </c>
      <c r="I51" s="779">
        <f t="shared" si="11"/>
        <v>1000314500</v>
      </c>
      <c r="J51" s="775">
        <f t="shared" si="11"/>
        <v>1174204165</v>
      </c>
      <c r="K51" s="776">
        <f t="shared" si="11"/>
        <v>1310549772</v>
      </c>
      <c r="L51" s="891"/>
    </row>
    <row r="52" spans="1:12" s="709" customFormat="1">
      <c r="A52" s="1233" t="str">
        <f>head27a</f>
        <v>References</v>
      </c>
      <c r="B52" s="1038"/>
      <c r="C52" s="1042"/>
      <c r="D52" s="1042"/>
      <c r="E52" s="1042"/>
      <c r="F52" s="1042"/>
      <c r="G52" s="1042"/>
      <c r="H52" s="1042"/>
      <c r="I52" s="1042"/>
      <c r="J52" s="1042"/>
      <c r="K52" s="1042"/>
      <c r="L52" s="1087"/>
    </row>
    <row r="53" spans="1:12" s="709" customFormat="1" ht="11.25" customHeight="1">
      <c r="A53" s="1198" t="s">
        <v>306</v>
      </c>
      <c r="B53" s="1038"/>
      <c r="C53" s="1041"/>
      <c r="D53" s="1041"/>
      <c r="E53" s="1042"/>
      <c r="F53" s="1042"/>
      <c r="G53" s="1042"/>
      <c r="H53" s="1042"/>
      <c r="I53" s="1042"/>
      <c r="J53" s="1042"/>
      <c r="K53" s="1042"/>
    </row>
    <row r="54" spans="1:12" s="709" customFormat="1" ht="11.25" customHeight="1">
      <c r="A54" s="1195" t="s">
        <v>1405</v>
      </c>
      <c r="B54" s="1038"/>
      <c r="C54" s="1041"/>
      <c r="D54" s="1041"/>
      <c r="E54" s="1042"/>
      <c r="F54" s="1042"/>
      <c r="G54" s="1042"/>
      <c r="H54" s="1042"/>
      <c r="I54" s="1042"/>
      <c r="J54" s="1042"/>
      <c r="K54" s="1042"/>
    </row>
    <row r="55" spans="1:12" s="709" customFormat="1" ht="11.25" customHeight="1">
      <c r="A55" s="1195" t="s">
        <v>588</v>
      </c>
      <c r="B55" s="1038"/>
      <c r="C55" s="1041"/>
      <c r="D55" s="1041"/>
      <c r="E55" s="1042"/>
      <c r="F55" s="1042"/>
      <c r="G55" s="1042"/>
      <c r="H55" s="1042"/>
      <c r="I55" s="1042"/>
      <c r="J55" s="1042"/>
      <c r="K55" s="1042"/>
    </row>
    <row r="56" spans="1:12" s="709" customFormat="1" ht="11.25" customHeight="1">
      <c r="A56" s="1198" t="s">
        <v>1369</v>
      </c>
      <c r="B56" s="1038"/>
      <c r="C56" s="1041"/>
      <c r="D56" s="1041"/>
      <c r="E56" s="1042"/>
      <c r="F56" s="1042"/>
      <c r="G56" s="1042"/>
      <c r="H56" s="1042"/>
      <c r="I56" s="1042"/>
      <c r="J56" s="1042"/>
      <c r="K56" s="1042"/>
    </row>
    <row r="57" spans="1:12" s="709" customFormat="1" ht="11.25" customHeight="1">
      <c r="A57" s="1410" t="s">
        <v>304</v>
      </c>
      <c r="B57" s="1043"/>
      <c r="C57" s="1080"/>
      <c r="D57" s="1081"/>
      <c r="E57" s="1080"/>
      <c r="F57" s="1081"/>
      <c r="G57" s="1080"/>
      <c r="H57" s="1080"/>
      <c r="I57" s="1080"/>
      <c r="J57" s="1080"/>
      <c r="K57" s="1080"/>
    </row>
    <row r="58" spans="1:12" s="709" customFormat="1" ht="11.25" customHeight="1">
      <c r="A58" s="1410" t="s">
        <v>909</v>
      </c>
      <c r="B58" s="1048"/>
    </row>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sheetData>
  <mergeCells count="2">
    <mergeCell ref="F2:H2"/>
    <mergeCell ref="I2:K2"/>
  </mergeCells>
  <phoneticPr fontId="5" type="noConversion"/>
  <dataValidations xWindow="42844" yWindow="125" count="4">
    <dataValidation type="list" showInputMessage="1" showErrorMessage="1" prompt="Select transfer/grant description" sqref="A9:A17">
      <formula1>GrantNatOpex</formula1>
    </dataValidation>
    <dataValidation type="list" showInputMessage="1" showErrorMessage="1" prompt="Select transfer/grant description" sqref="A20:A24">
      <formula1>GrantProvOpex</formula1>
    </dataValidation>
    <dataValidation type="list" showInputMessage="1" showErrorMessage="1" prompt="Select transfer/grant description" sqref="A36:A40">
      <formula1>GrantNatCapex</formula1>
    </dataValidation>
    <dataValidation showInputMessage="1" showErrorMessage="1" prompt="Select transfer/grant description" sqref="A8"/>
  </dataValidations>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enableFormatConditionsCalculation="0">
    <tabColor indexed="42"/>
  </sheetPr>
  <dimension ref="A1:O85"/>
  <sheetViews>
    <sheetView showGridLines="0" workbookViewId="0">
      <pane xSplit="2" ySplit="3" topLeftCell="C37" activePane="bottomRight" state="frozen"/>
      <selection pane="topRight"/>
      <selection pane="bottomLeft"/>
      <selection pane="bottomRight" activeCell="I43" sqref="I43:K43"/>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3.5" customHeight="1">
      <c r="A1" s="147" t="str">
        <f>muni&amp;" - "&amp; TableA19</f>
        <v>NW373 Rustenburg - Supporting Table SA19 Expenditure on transfers and grant programme</v>
      </c>
      <c r="B1" s="147"/>
      <c r="C1" s="147"/>
      <c r="D1" s="147"/>
      <c r="E1" s="147"/>
      <c r="F1" s="147"/>
      <c r="G1" s="147"/>
      <c r="H1" s="147"/>
      <c r="I1" s="147"/>
      <c r="J1" s="147"/>
      <c r="K1" s="147"/>
    </row>
    <row r="2" spans="1:11" ht="28.5" customHeight="1">
      <c r="A2" s="985" t="str">
        <f>desc</f>
        <v>Description</v>
      </c>
      <c r="B2" s="419" t="str">
        <f>head27</f>
        <v>Ref</v>
      </c>
      <c r="C2" s="150" t="str">
        <f>head1b</f>
        <v>2009/10</v>
      </c>
      <c r="D2" s="756" t="str">
        <f>head1A</f>
        <v>2010/11</v>
      </c>
      <c r="E2" s="146" t="str">
        <f>Head1</f>
        <v>2011/12</v>
      </c>
      <c r="F2" s="2765" t="str">
        <f>Head2</f>
        <v>Current Year 2012/13</v>
      </c>
      <c r="G2" s="2766"/>
      <c r="H2" s="2770"/>
      <c r="I2" s="2762" t="str">
        <f>Head3</f>
        <v>2013/14 Medium Term Revenue &amp; Expenditure Framework</v>
      </c>
      <c r="J2" s="2763"/>
      <c r="K2" s="2764"/>
    </row>
    <row r="3" spans="1:11" ht="20">
      <c r="A3" s="180" t="s">
        <v>667</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265" t="s">
        <v>307</v>
      </c>
      <c r="B4" s="749">
        <v>1</v>
      </c>
      <c r="C4" s="757"/>
      <c r="D4" s="757"/>
      <c r="E4" s="758"/>
      <c r="F4" s="759"/>
      <c r="G4" s="757"/>
      <c r="H4" s="760"/>
      <c r="I4" s="761"/>
      <c r="J4" s="757"/>
      <c r="K4" s="758"/>
    </row>
    <row r="5" spans="1:11" ht="5" customHeight="1">
      <c r="A5" s="249"/>
      <c r="B5" s="182"/>
      <c r="C5" s="751"/>
      <c r="D5" s="751"/>
      <c r="E5" s="752"/>
      <c r="F5" s="753"/>
      <c r="G5" s="751"/>
      <c r="H5" s="754"/>
      <c r="I5" s="755"/>
      <c r="J5" s="751"/>
      <c r="K5" s="752"/>
    </row>
    <row r="6" spans="1:11" ht="11.25" customHeight="1">
      <c r="A6" s="249" t="s">
        <v>357</v>
      </c>
      <c r="B6" s="182"/>
      <c r="C6" s="751"/>
      <c r="D6" s="751"/>
      <c r="E6" s="752"/>
      <c r="F6" s="753"/>
      <c r="G6" s="751"/>
      <c r="H6" s="754"/>
      <c r="I6" s="755"/>
      <c r="J6" s="751"/>
      <c r="K6" s="752"/>
    </row>
    <row r="7" spans="1:11" ht="18" customHeight="1">
      <c r="A7" s="373" t="str">
        <f>'SA18'!A7</f>
        <v>National Government:</v>
      </c>
      <c r="B7" s="182"/>
      <c r="C7" s="751">
        <f>SUM(C8:C18)</f>
        <v>276783301</v>
      </c>
      <c r="D7" s="751">
        <f t="shared" ref="D7:K7" si="0">SUM(D8:D18)</f>
        <v>284683263</v>
      </c>
      <c r="E7" s="752">
        <f t="shared" si="0"/>
        <v>265913160</v>
      </c>
      <c r="F7" s="753">
        <f t="shared" si="0"/>
        <v>278740139</v>
      </c>
      <c r="G7" s="751">
        <f t="shared" si="0"/>
        <v>290882383</v>
      </c>
      <c r="H7" s="754">
        <f t="shared" si="0"/>
        <v>290882383</v>
      </c>
      <c r="I7" s="755">
        <f t="shared" si="0"/>
        <v>340049800</v>
      </c>
      <c r="J7" s="751">
        <f t="shared" si="0"/>
        <v>383870885</v>
      </c>
      <c r="K7" s="752">
        <f t="shared" si="0"/>
        <v>453305021</v>
      </c>
    </row>
    <row r="8" spans="1:11" ht="11.25" customHeight="1">
      <c r="A8" s="368" t="str">
        <f>IF('SA18'!A8="","",'SA18'!A8)</f>
        <v>Local Government Equitable Share</v>
      </c>
      <c r="B8" s="182"/>
      <c r="C8" s="1913">
        <v>164274187</v>
      </c>
      <c r="D8" s="1900">
        <v>206739954</v>
      </c>
      <c r="E8" s="1913">
        <v>231669000</v>
      </c>
      <c r="F8" s="1913">
        <v>256520000</v>
      </c>
      <c r="G8" s="2692">
        <v>274824000</v>
      </c>
      <c r="H8" s="2693">
        <v>274824000</v>
      </c>
      <c r="I8" s="1913">
        <v>291291900</v>
      </c>
      <c r="J8" s="1909">
        <v>335130000</v>
      </c>
      <c r="K8" s="1910">
        <v>402725000</v>
      </c>
    </row>
    <row r="9" spans="1:11" ht="11.25" customHeight="1">
      <c r="A9" s="368" t="str">
        <f>IF('SA18'!A9="","",'SA18'!A9)</f>
        <v xml:space="preserve">Finance Management </v>
      </c>
      <c r="B9" s="182"/>
      <c r="C9" s="1903">
        <v>750000</v>
      </c>
      <c r="D9" s="1900">
        <v>1000000</v>
      </c>
      <c r="E9" s="1903">
        <v>1150000</v>
      </c>
      <c r="F9" s="1903">
        <v>1500000</v>
      </c>
      <c r="G9" s="2694">
        <v>1500000</v>
      </c>
      <c r="H9" s="2695">
        <v>1500000</v>
      </c>
      <c r="I9" s="1903">
        <v>1550000</v>
      </c>
      <c r="J9" s="1899">
        <v>1600000</v>
      </c>
      <c r="K9" s="1900">
        <v>1650000</v>
      </c>
    </row>
    <row r="10" spans="1:11" ht="11.25" customHeight="1">
      <c r="A10" s="368" t="str">
        <f>IF('SA18'!A10="","",'SA18'!A10)</f>
        <v>Municipal Systems Improvement</v>
      </c>
      <c r="B10" s="182"/>
      <c r="C10" s="1903">
        <v>734250</v>
      </c>
      <c r="D10" s="1900">
        <v>750000</v>
      </c>
      <c r="E10" s="1903">
        <v>790000</v>
      </c>
      <c r="F10" s="1903">
        <v>800000</v>
      </c>
      <c r="G10" s="2694">
        <v>900000</v>
      </c>
      <c r="H10" s="2695">
        <v>900000</v>
      </c>
      <c r="I10" s="1903">
        <v>890000</v>
      </c>
      <c r="J10" s="1899">
        <v>934000</v>
      </c>
      <c r="K10" s="1900">
        <v>967000</v>
      </c>
    </row>
    <row r="11" spans="1:11" ht="11.25" customHeight="1">
      <c r="A11" s="368" t="str">
        <f>IF('SA18'!A11="","",'SA18'!A11)</f>
        <v xml:space="preserve">Water Services Operating Subsidy </v>
      </c>
      <c r="B11" s="182"/>
      <c r="C11" s="1903">
        <v>1143750</v>
      </c>
      <c r="D11" s="1900">
        <v>1050000</v>
      </c>
      <c r="E11" s="1901">
        <v>606000</v>
      </c>
      <c r="F11" s="1903">
        <v>3564000</v>
      </c>
      <c r="G11" s="2694">
        <v>5000000</v>
      </c>
      <c r="H11" s="2695">
        <v>5000000</v>
      </c>
      <c r="I11" s="1903">
        <v>300000</v>
      </c>
      <c r="J11" s="1899">
        <v>300000</v>
      </c>
      <c r="K11" s="1900">
        <v>300000</v>
      </c>
    </row>
    <row r="12" spans="1:11" ht="11.25" customHeight="1">
      <c r="A12" s="368" t="str">
        <f>IF('SA18'!A12="","",'SA18'!A12)</f>
        <v>2010 FIFA World Cup Operating</v>
      </c>
      <c r="B12" s="182"/>
      <c r="C12" s="1903">
        <v>18889185</v>
      </c>
      <c r="D12" s="1900">
        <v>0</v>
      </c>
      <c r="E12" s="1901">
        <v>0</v>
      </c>
      <c r="F12" s="1903">
        <v>0</v>
      </c>
      <c r="G12" s="2694">
        <v>0</v>
      </c>
      <c r="H12" s="2695">
        <v>0</v>
      </c>
      <c r="I12" s="1903">
        <v>0</v>
      </c>
      <c r="J12" s="1899">
        <v>0</v>
      </c>
      <c r="K12" s="1900">
        <v>0</v>
      </c>
    </row>
    <row r="13" spans="1:11" ht="11.25" customHeight="1">
      <c r="A13" s="368" t="str">
        <f>IF('SA18'!A13="","",'SA18'!A13)</f>
        <v>Electricity Demand Side Management</v>
      </c>
      <c r="B13" s="182"/>
      <c r="C13" s="1899">
        <v>3000000</v>
      </c>
      <c r="D13" s="1900">
        <v>4000000</v>
      </c>
      <c r="E13" s="1901">
        <v>9000000</v>
      </c>
      <c r="F13" s="1903">
        <v>0</v>
      </c>
      <c r="G13" s="2694">
        <v>0</v>
      </c>
      <c r="H13" s="2695">
        <v>0</v>
      </c>
      <c r="I13" s="1903">
        <v>5722000</v>
      </c>
      <c r="J13" s="1899">
        <v>5000000</v>
      </c>
      <c r="K13" s="1900">
        <v>5000000</v>
      </c>
    </row>
    <row r="14" spans="1:11" ht="11.25" customHeight="1">
      <c r="A14" s="368" t="s">
        <v>4400</v>
      </c>
      <c r="B14" s="182"/>
      <c r="C14" s="1899"/>
      <c r="D14" s="1900"/>
      <c r="E14" s="1901"/>
      <c r="F14" s="1903"/>
      <c r="G14" s="2694"/>
      <c r="H14" s="2695"/>
      <c r="I14" s="1903">
        <v>0</v>
      </c>
      <c r="J14" s="1899">
        <v>0</v>
      </c>
      <c r="K14" s="1900">
        <v>0</v>
      </c>
    </row>
    <row r="15" spans="1:11" ht="11.25" customHeight="1">
      <c r="A15" s="368" t="s">
        <v>4401</v>
      </c>
      <c r="B15" s="182"/>
      <c r="C15" s="1899"/>
      <c r="D15" s="1900"/>
      <c r="E15" s="1901"/>
      <c r="F15" s="1903"/>
      <c r="G15" s="2694"/>
      <c r="H15" s="2695"/>
      <c r="I15" s="1903">
        <v>0</v>
      </c>
      <c r="J15" s="1899">
        <v>0</v>
      </c>
      <c r="K15" s="1900">
        <v>0</v>
      </c>
    </row>
    <row r="16" spans="1:11" ht="11.25" customHeight="1">
      <c r="A16" s="368" t="s">
        <v>4402</v>
      </c>
      <c r="B16" s="182"/>
      <c r="C16" s="1899"/>
      <c r="D16" s="1900"/>
      <c r="E16" s="1901"/>
      <c r="F16" s="1903"/>
      <c r="G16" s="2694"/>
      <c r="H16" s="2695"/>
      <c r="I16" s="1903">
        <v>7990000</v>
      </c>
      <c r="J16" s="1899">
        <v>0</v>
      </c>
      <c r="K16" s="1900">
        <v>0</v>
      </c>
    </row>
    <row r="17" spans="1:12" ht="11.25" customHeight="1">
      <c r="A17" s="368" t="s">
        <v>4403</v>
      </c>
      <c r="B17" s="182"/>
      <c r="C17" s="1899"/>
      <c r="D17" s="1900"/>
      <c r="E17" s="1901"/>
      <c r="F17" s="1903"/>
      <c r="G17" s="2694"/>
      <c r="H17" s="2695"/>
      <c r="I17" s="1903">
        <v>26440826</v>
      </c>
      <c r="J17" s="1899">
        <v>17332665</v>
      </c>
      <c r="K17" s="1900">
        <v>18014772</v>
      </c>
    </row>
    <row r="18" spans="1:12" ht="11.25" customHeight="1">
      <c r="A18" s="1908" t="str">
        <f>[6]SA18!A18</f>
        <v>PMU</v>
      </c>
      <c r="B18" s="182"/>
      <c r="C18" s="1914">
        <v>87991929</v>
      </c>
      <c r="D18" s="1915">
        <v>71143309</v>
      </c>
      <c r="E18" s="1916">
        <v>22698160</v>
      </c>
      <c r="F18" s="1918">
        <v>16356139</v>
      </c>
      <c r="G18" s="2696">
        <v>8658383</v>
      </c>
      <c r="H18" s="2697">
        <v>8658383</v>
      </c>
      <c r="I18" s="1918">
        <v>5865074</v>
      </c>
      <c r="J18" s="1914">
        <v>23574220</v>
      </c>
      <c r="K18" s="1915">
        <v>24648249</v>
      </c>
    </row>
    <row r="19" spans="1:12" ht="18" customHeight="1">
      <c r="A19" s="373" t="str">
        <f>'SA18'!A19</f>
        <v>Provincial Government:</v>
      </c>
      <c r="B19" s="182"/>
      <c r="C19" s="751">
        <f>SUM(C20:C25)</f>
        <v>5392668</v>
      </c>
      <c r="D19" s="751">
        <f t="shared" ref="D19:K19" si="1">SUM(D20:D25)</f>
        <v>676000</v>
      </c>
      <c r="E19" s="752">
        <f t="shared" si="1"/>
        <v>1598000</v>
      </c>
      <c r="F19" s="753">
        <f t="shared" si="1"/>
        <v>4175000</v>
      </c>
      <c r="G19" s="751">
        <f t="shared" si="1"/>
        <v>1830000</v>
      </c>
      <c r="H19" s="754">
        <f t="shared" si="1"/>
        <v>1830000</v>
      </c>
      <c r="I19" s="755">
        <f t="shared" si="1"/>
        <v>1830000</v>
      </c>
      <c r="J19" s="751">
        <f t="shared" si="1"/>
        <v>1885000</v>
      </c>
      <c r="K19" s="752">
        <f t="shared" si="1"/>
        <v>1885000</v>
      </c>
    </row>
    <row r="20" spans="1:12" ht="11.25" customHeight="1">
      <c r="A20" s="368" t="str">
        <f>IF('SA18'!A20="","",'SA18'!A20)</f>
        <v>Health subsidy</v>
      </c>
      <c r="B20" s="182"/>
      <c r="C20" s="1911">
        <v>450000</v>
      </c>
      <c r="D20" s="1910"/>
      <c r="E20" s="1913">
        <v>300000</v>
      </c>
      <c r="F20" s="1913">
        <v>0</v>
      </c>
      <c r="G20" s="2698">
        <v>0</v>
      </c>
      <c r="H20" s="2699">
        <v>0</v>
      </c>
      <c r="I20" s="1913"/>
      <c r="J20" s="1909"/>
      <c r="K20" s="1910"/>
    </row>
    <row r="21" spans="1:12" ht="11.25" customHeight="1">
      <c r="A21" s="368" t="str">
        <f>IF('SA18'!A21="","",'SA18'!A21)</f>
        <v>Sport and Recreation</v>
      </c>
      <c r="B21" s="182"/>
      <c r="C21" s="1901">
        <v>1200000</v>
      </c>
      <c r="D21" s="1900">
        <v>676000</v>
      </c>
      <c r="E21" s="1903">
        <v>248000</v>
      </c>
      <c r="F21" s="1903">
        <v>670000</v>
      </c>
      <c r="G21" s="2700">
        <v>670000</v>
      </c>
      <c r="H21" s="2701">
        <v>670000</v>
      </c>
      <c r="I21" s="1903">
        <v>670000</v>
      </c>
      <c r="J21" s="1899">
        <v>670000</v>
      </c>
      <c r="K21" s="1900">
        <v>670000</v>
      </c>
    </row>
    <row r="22" spans="1:12" ht="11.25" customHeight="1">
      <c r="A22" s="368" t="str">
        <f>IF('SA18'!A22="","",'SA18'!A22)</f>
        <v>Housing</v>
      </c>
      <c r="B22" s="182"/>
      <c r="C22" s="1899">
        <v>3603444</v>
      </c>
      <c r="D22" s="1900">
        <v>0</v>
      </c>
      <c r="E22" s="1901"/>
      <c r="F22" s="1903">
        <v>0</v>
      </c>
      <c r="G22" s="2700">
        <v>0</v>
      </c>
      <c r="H22" s="2701">
        <v>0</v>
      </c>
      <c r="I22" s="1903"/>
      <c r="J22" s="1899"/>
      <c r="K22" s="1900"/>
    </row>
    <row r="23" spans="1:12" ht="11.25" customHeight="1">
      <c r="A23" s="368" t="str">
        <f>IF('SA18'!A23="","",'SA18'!A23)</f>
        <v>Skills Levy</v>
      </c>
      <c r="B23" s="182"/>
      <c r="C23" s="1899"/>
      <c r="D23" s="1900"/>
      <c r="E23" s="1901"/>
      <c r="F23" s="1903"/>
      <c r="G23" s="2700"/>
      <c r="H23" s="2701"/>
      <c r="I23" s="1903">
        <v>1000000</v>
      </c>
      <c r="J23" s="1899">
        <v>165000</v>
      </c>
      <c r="K23" s="1900">
        <v>165000</v>
      </c>
    </row>
    <row r="24" spans="1:12" ht="11.25" customHeight="1">
      <c r="A24" s="368" t="s">
        <v>4406</v>
      </c>
      <c r="B24" s="182"/>
      <c r="C24" s="1899"/>
      <c r="D24" s="1900"/>
      <c r="E24" s="1901"/>
      <c r="F24" s="1903"/>
      <c r="G24" s="2700"/>
      <c r="H24" s="2701"/>
      <c r="I24" s="1903">
        <v>160000</v>
      </c>
      <c r="J24" s="1899">
        <v>1050000</v>
      </c>
      <c r="K24" s="1900">
        <v>1050000</v>
      </c>
    </row>
    <row r="25" spans="1:12" ht="11.25" customHeight="1">
      <c r="A25" s="1908" t="str">
        <f>'SA18'!A25</f>
        <v>NDMS(FIRE)</v>
      </c>
      <c r="B25" s="182"/>
      <c r="C25" s="1914">
        <v>139224</v>
      </c>
      <c r="D25" s="1915">
        <v>0</v>
      </c>
      <c r="E25" s="1918">
        <v>1050000</v>
      </c>
      <c r="F25" s="1918">
        <v>3505000</v>
      </c>
      <c r="G25" s="2702">
        <v>1160000</v>
      </c>
      <c r="H25" s="2703">
        <v>1160000</v>
      </c>
      <c r="I25" s="1918">
        <v>0</v>
      </c>
      <c r="J25" s="1914">
        <v>0</v>
      </c>
      <c r="K25" s="1915">
        <v>0</v>
      </c>
      <c r="L25" s="370"/>
    </row>
    <row r="26" spans="1:12" ht="18" customHeight="1">
      <c r="A26" s="373" t="str">
        <f>'SA18'!A26</f>
        <v>District Municipality:</v>
      </c>
      <c r="B26" s="182"/>
      <c r="C26" s="751">
        <f>SUM(C27:C28)</f>
        <v>0</v>
      </c>
      <c r="D26" s="751">
        <f t="shared" ref="D26:K26" si="2">SUM(D27:D28)</f>
        <v>0</v>
      </c>
      <c r="E26" s="752">
        <f t="shared" si="2"/>
        <v>0</v>
      </c>
      <c r="F26" s="753">
        <f t="shared" si="2"/>
        <v>0</v>
      </c>
      <c r="G26" s="751">
        <f t="shared" si="2"/>
        <v>0</v>
      </c>
      <c r="H26" s="754">
        <f t="shared" si="2"/>
        <v>0</v>
      </c>
      <c r="I26" s="755">
        <f t="shared" si="2"/>
        <v>0</v>
      </c>
      <c r="J26" s="751">
        <f t="shared" si="2"/>
        <v>0</v>
      </c>
      <c r="K26" s="752">
        <f t="shared" si="2"/>
        <v>0</v>
      </c>
      <c r="L26" s="370"/>
    </row>
    <row r="27" spans="1:12" ht="11.25" customHeight="1">
      <c r="A27" s="1919" t="str">
        <f>'SA18'!A27</f>
        <v>Bojanala District Municipality</v>
      </c>
      <c r="B27" s="182"/>
      <c r="C27" s="1909"/>
      <c r="D27" s="1909"/>
      <c r="E27" s="1910"/>
      <c r="F27" s="1911"/>
      <c r="G27" s="1909"/>
      <c r="H27" s="1912"/>
      <c r="I27" s="1913">
        <v>0</v>
      </c>
      <c r="J27" s="1909">
        <v>0</v>
      </c>
      <c r="K27" s="1910">
        <v>0</v>
      </c>
      <c r="L27" s="370"/>
    </row>
    <row r="28" spans="1:12" ht="11.25" customHeight="1">
      <c r="A28" s="1919"/>
      <c r="B28" s="182"/>
      <c r="C28" s="1914"/>
      <c r="D28" s="1914"/>
      <c r="E28" s="1915"/>
      <c r="F28" s="1916"/>
      <c r="G28" s="1914"/>
      <c r="H28" s="1917"/>
      <c r="I28" s="1918"/>
      <c r="J28" s="1914"/>
      <c r="K28" s="1915"/>
      <c r="L28" s="370"/>
    </row>
    <row r="29" spans="1:12" ht="18" customHeight="1">
      <c r="A29" s="373" t="str">
        <f>'SA18'!A29</f>
        <v>Other grant providers:</v>
      </c>
      <c r="B29" s="182"/>
      <c r="C29" s="751">
        <f>SUM(C30:C31)</f>
        <v>2462648</v>
      </c>
      <c r="D29" s="751">
        <f t="shared" ref="D29:K29" si="3">SUM(D30:D31)</f>
        <v>12969756</v>
      </c>
      <c r="E29" s="752">
        <f t="shared" si="3"/>
        <v>10500</v>
      </c>
      <c r="F29" s="753">
        <f t="shared" si="3"/>
        <v>0</v>
      </c>
      <c r="G29" s="751">
        <f t="shared" si="3"/>
        <v>0</v>
      </c>
      <c r="H29" s="754">
        <f t="shared" si="3"/>
        <v>0</v>
      </c>
      <c r="I29" s="755">
        <f t="shared" si="3"/>
        <v>0</v>
      </c>
      <c r="J29" s="751">
        <f t="shared" si="3"/>
        <v>0</v>
      </c>
      <c r="K29" s="752">
        <f t="shared" si="3"/>
        <v>0</v>
      </c>
      <c r="L29" s="370"/>
    </row>
    <row r="30" spans="1:12" ht="11.25" customHeight="1">
      <c r="A30" s="1919" t="str">
        <f>'SA18'!A30</f>
        <v>Standard Bank donation</v>
      </c>
      <c r="B30" s="182"/>
      <c r="C30" s="1911">
        <v>10000</v>
      </c>
      <c r="D30" s="1910"/>
      <c r="E30" s="1913">
        <v>10500</v>
      </c>
      <c r="F30" s="1911"/>
      <c r="G30" s="1909"/>
      <c r="H30" s="1912"/>
      <c r="I30" s="1913">
        <v>0</v>
      </c>
      <c r="J30" s="1909">
        <v>0</v>
      </c>
      <c r="K30" s="1910">
        <v>0</v>
      </c>
      <c r="L30" s="370"/>
    </row>
    <row r="31" spans="1:12" ht="11.25" customHeight="1">
      <c r="A31" s="1919" t="s">
        <v>293</v>
      </c>
      <c r="B31" s="182"/>
      <c r="C31" s="1914">
        <v>2452648</v>
      </c>
      <c r="D31" s="1915">
        <f>834805+12134951</f>
        <v>12969756</v>
      </c>
      <c r="E31" s="1916"/>
      <c r="F31" s="1916"/>
      <c r="G31" s="1914"/>
      <c r="H31" s="1917"/>
      <c r="I31" s="1918"/>
      <c r="J31" s="1914"/>
      <c r="K31" s="1915"/>
      <c r="L31" s="370"/>
    </row>
    <row r="32" spans="1:12" s="769" customFormat="1" ht="15.75" customHeight="1">
      <c r="A32" s="762" t="s">
        <v>358</v>
      </c>
      <c r="B32" s="763"/>
      <c r="C32" s="764">
        <f t="shared" ref="C32:K32" si="4">C7+C19+C26+C29</f>
        <v>284638617</v>
      </c>
      <c r="D32" s="764">
        <f t="shared" si="4"/>
        <v>298329019</v>
      </c>
      <c r="E32" s="765">
        <f t="shared" si="4"/>
        <v>267521660</v>
      </c>
      <c r="F32" s="766">
        <f t="shared" si="4"/>
        <v>282915139</v>
      </c>
      <c r="G32" s="764">
        <f t="shared" si="4"/>
        <v>292712383</v>
      </c>
      <c r="H32" s="767">
        <f t="shared" si="4"/>
        <v>292712383</v>
      </c>
      <c r="I32" s="768">
        <f t="shared" si="4"/>
        <v>341879800</v>
      </c>
      <c r="J32" s="764">
        <f t="shared" si="4"/>
        <v>385755885</v>
      </c>
      <c r="K32" s="765">
        <f t="shared" si="4"/>
        <v>455190021</v>
      </c>
      <c r="L32" s="891"/>
    </row>
    <row r="33" spans="1:15" ht="5" customHeight="1">
      <c r="A33" s="273"/>
      <c r="B33" s="182"/>
      <c r="C33" s="715"/>
      <c r="D33" s="715"/>
      <c r="E33" s="711"/>
      <c r="F33" s="712"/>
      <c r="G33" s="715"/>
      <c r="H33" s="713"/>
      <c r="I33" s="716"/>
      <c r="J33" s="715"/>
      <c r="K33" s="711"/>
      <c r="L33" s="370"/>
    </row>
    <row r="34" spans="1:15" ht="11.25" customHeight="1">
      <c r="A34" s="249" t="s">
        <v>359</v>
      </c>
      <c r="B34" s="182"/>
      <c r="C34" s="715"/>
      <c r="D34" s="715"/>
      <c r="E34" s="711"/>
      <c r="F34" s="712"/>
      <c r="G34" s="715"/>
      <c r="H34" s="713"/>
      <c r="I34" s="716"/>
      <c r="J34" s="715"/>
      <c r="K34" s="711"/>
      <c r="L34" s="370"/>
    </row>
    <row r="35" spans="1:15" ht="18" customHeight="1">
      <c r="A35" s="373" t="str">
        <f>'SA18'!A35</f>
        <v>National Government:</v>
      </c>
      <c r="B35" s="182"/>
      <c r="C35" s="751">
        <f>SUM(C36:C41)</f>
        <v>252163364</v>
      </c>
      <c r="D35" s="751">
        <f t="shared" ref="D35:K35" si="5">SUM(D36:D41)</f>
        <v>141309864</v>
      </c>
      <c r="E35" s="752">
        <f t="shared" si="5"/>
        <v>139649602</v>
      </c>
      <c r="F35" s="753">
        <f t="shared" si="5"/>
        <v>359990840</v>
      </c>
      <c r="G35" s="751">
        <f t="shared" si="5"/>
        <v>399041178</v>
      </c>
      <c r="H35" s="754">
        <f t="shared" si="5"/>
        <v>399041178</v>
      </c>
      <c r="I35" s="755">
        <f t="shared" si="5"/>
        <v>660987100</v>
      </c>
      <c r="J35" s="751">
        <f t="shared" si="5"/>
        <v>788153780</v>
      </c>
      <c r="K35" s="752">
        <f t="shared" si="5"/>
        <v>855189751</v>
      </c>
      <c r="L35" s="370"/>
    </row>
    <row r="36" spans="1:15" ht="11.25" customHeight="1">
      <c r="A36" s="368" t="str">
        <f>IF('SA18'!A36="","",'SA18'!A36)</f>
        <v xml:space="preserve"> Municipal Infrastructure Grant (MIG)</v>
      </c>
      <c r="B36" s="182"/>
      <c r="C36" s="1909">
        <v>117127242</v>
      </c>
      <c r="D36" s="1909">
        <v>102512683</v>
      </c>
      <c r="E36" s="1910">
        <v>127531944</v>
      </c>
      <c r="F36" s="1911">
        <v>163590840</v>
      </c>
      <c r="G36" s="1912">
        <v>214641178</v>
      </c>
      <c r="H36" s="1912">
        <v>214641178</v>
      </c>
      <c r="I36" s="1909">
        <v>187427926</v>
      </c>
      <c r="J36" s="1910">
        <v>190486445</v>
      </c>
      <c r="K36" s="1910">
        <v>203204523</v>
      </c>
      <c r="L36" s="370"/>
    </row>
    <row r="37" spans="1:15" ht="11.25" customHeight="1">
      <c r="A37" s="368" t="str">
        <f>IF('SA18'!A37="","",'SA18'!A37)</f>
        <v xml:space="preserve"> Public Transport and Systems</v>
      </c>
      <c r="B37" s="182"/>
      <c r="C37" s="1899">
        <v>117282393</v>
      </c>
      <c r="D37" s="1899">
        <v>0</v>
      </c>
      <c r="E37" s="1900">
        <v>0</v>
      </c>
      <c r="F37" s="1901">
        <v>178000000</v>
      </c>
      <c r="G37" s="1902">
        <v>178000000</v>
      </c>
      <c r="H37" s="1902">
        <v>178000000</v>
      </c>
      <c r="I37" s="1899">
        <v>473559174</v>
      </c>
      <c r="J37" s="1900">
        <v>582667335</v>
      </c>
      <c r="K37" s="1900">
        <v>631985228</v>
      </c>
      <c r="L37" s="370"/>
    </row>
    <row r="38" spans="1:15" ht="11.25" customHeight="1">
      <c r="A38" s="368" t="str">
        <f>IF('SA18'!A38="","",'SA18'!A38)</f>
        <v>Neighbourhood Development Partnership</v>
      </c>
      <c r="B38" s="182"/>
      <c r="C38" s="1899">
        <v>0</v>
      </c>
      <c r="D38" s="1899">
        <v>0</v>
      </c>
      <c r="E38" s="1900">
        <v>51703</v>
      </c>
      <c r="F38" s="1901">
        <v>4000000</v>
      </c>
      <c r="G38" s="1902">
        <v>-4000000</v>
      </c>
      <c r="H38" s="1902">
        <v>-4000000</v>
      </c>
      <c r="I38" s="1899">
        <v>0</v>
      </c>
      <c r="J38" s="1900">
        <v>0</v>
      </c>
      <c r="K38" s="1900">
        <v>0</v>
      </c>
      <c r="L38" s="370"/>
    </row>
    <row r="39" spans="1:15" ht="11.25" customHeight="1">
      <c r="A39" s="368" t="str">
        <f>IF('SA18'!A39="","",'SA18'!A39)</f>
        <v/>
      </c>
      <c r="B39" s="182"/>
      <c r="C39" s="1899"/>
      <c r="D39" s="1899"/>
      <c r="E39" s="1900"/>
      <c r="F39" s="1901"/>
      <c r="G39" s="1899"/>
      <c r="H39" s="1902"/>
      <c r="I39" s="1899"/>
      <c r="J39" s="1900"/>
      <c r="K39" s="1900"/>
      <c r="L39" s="370"/>
    </row>
    <row r="40" spans="1:15" ht="11.25" customHeight="1">
      <c r="A40" s="368" t="str">
        <f>IF('SA18'!A40="","",'SA18'!A40)</f>
        <v/>
      </c>
      <c r="B40" s="182"/>
      <c r="C40" s="1899"/>
      <c r="D40" s="1899"/>
      <c r="E40" s="1900"/>
      <c r="F40" s="1901"/>
      <c r="G40" s="1899"/>
      <c r="H40" s="1902"/>
      <c r="I40" s="1899"/>
      <c r="J40" s="1900"/>
      <c r="K40" s="1900"/>
      <c r="L40" s="370"/>
    </row>
    <row r="41" spans="1:15" ht="11.25" customHeight="1">
      <c r="A41" s="1908" t="str">
        <f>'SA18'!A41</f>
        <v>Department of Energy</v>
      </c>
      <c r="B41" s="182"/>
      <c r="C41" s="1914">
        <v>17753729</v>
      </c>
      <c r="D41" s="1914">
        <v>38797181</v>
      </c>
      <c r="E41" s="1915">
        <f>11994227+71728</f>
        <v>12065955</v>
      </c>
      <c r="F41" s="1916">
        <v>14400000</v>
      </c>
      <c r="G41" s="1914">
        <v>10400000</v>
      </c>
      <c r="H41" s="1917">
        <v>10400000</v>
      </c>
      <c r="I41" s="1914">
        <v>0</v>
      </c>
      <c r="J41" s="1915">
        <v>15000000</v>
      </c>
      <c r="K41" s="1915">
        <v>20000000</v>
      </c>
      <c r="L41" s="370"/>
    </row>
    <row r="42" spans="1:15" ht="18" customHeight="1">
      <c r="A42" s="770" t="str">
        <f>'SA18'!A42</f>
        <v>Provincial Government:</v>
      </c>
      <c r="B42" s="182"/>
      <c r="C42" s="751">
        <f>SUM(C43)</f>
        <v>0</v>
      </c>
      <c r="D42" s="751">
        <f t="shared" ref="D42:K42" si="6">SUM(D43)</f>
        <v>9335712</v>
      </c>
      <c r="E42" s="752">
        <f t="shared" si="6"/>
        <v>4324233</v>
      </c>
      <c r="F42" s="753">
        <f t="shared" si="6"/>
        <v>422000</v>
      </c>
      <c r="G42" s="751">
        <f t="shared" si="6"/>
        <v>431000</v>
      </c>
      <c r="H42" s="754">
        <f t="shared" si="6"/>
        <v>431000</v>
      </c>
      <c r="I42" s="755">
        <f t="shared" si="6"/>
        <v>967500</v>
      </c>
      <c r="J42" s="751">
        <f t="shared" si="6"/>
        <v>349500</v>
      </c>
      <c r="K42" s="752">
        <f t="shared" si="6"/>
        <v>170000</v>
      </c>
      <c r="L42" s="370"/>
      <c r="O42" s="370"/>
    </row>
    <row r="43" spans="1:15">
      <c r="A43" s="1920" t="str">
        <f>'SA18'!A43</f>
        <v>Department of Arts,Sports &amp; Culture &amp; DPLG</v>
      </c>
      <c r="B43" s="182"/>
      <c r="C43" s="1921">
        <v>0</v>
      </c>
      <c r="D43" s="1921">
        <v>9335712</v>
      </c>
      <c r="E43" s="1922">
        <v>4324233</v>
      </c>
      <c r="F43" s="1923">
        <v>422000</v>
      </c>
      <c r="G43" s="1921">
        <v>431000</v>
      </c>
      <c r="H43" s="1924">
        <v>431000</v>
      </c>
      <c r="I43" s="1055">
        <v>967500</v>
      </c>
      <c r="J43" s="1053">
        <v>349500</v>
      </c>
      <c r="K43" s="1054">
        <v>170000</v>
      </c>
      <c r="L43" s="370"/>
    </row>
    <row r="44" spans="1:15" ht="18" customHeight="1">
      <c r="A44" s="373" t="str">
        <f>'SA18'!A44</f>
        <v>District Municipality:</v>
      </c>
      <c r="B44" s="182"/>
      <c r="C44" s="751">
        <f>SUM(C45:C46)</f>
        <v>3351950</v>
      </c>
      <c r="D44" s="751">
        <f t="shared" ref="D44:K44" si="7">SUM(D45:D46)</f>
        <v>0</v>
      </c>
      <c r="E44" s="752">
        <f t="shared" si="7"/>
        <v>0</v>
      </c>
      <c r="F44" s="753">
        <f t="shared" si="7"/>
        <v>4500000</v>
      </c>
      <c r="G44" s="751">
        <f t="shared" si="7"/>
        <v>5746850</v>
      </c>
      <c r="H44" s="754">
        <f t="shared" si="7"/>
        <v>5746850</v>
      </c>
      <c r="I44" s="755">
        <f t="shared" si="7"/>
        <v>0</v>
      </c>
      <c r="J44" s="751">
        <f t="shared" si="7"/>
        <v>0</v>
      </c>
      <c r="K44" s="752">
        <f t="shared" si="7"/>
        <v>0</v>
      </c>
      <c r="L44" s="370"/>
    </row>
    <row r="45" spans="1:15" ht="11.25" customHeight="1">
      <c r="A45" s="1919" t="str">
        <f>'SA18'!A45</f>
        <v>Bojanala District Municipality</v>
      </c>
      <c r="B45" s="182"/>
      <c r="C45" s="1909">
        <v>3351950</v>
      </c>
      <c r="D45" s="1909">
        <v>0</v>
      </c>
      <c r="E45" s="1910">
        <v>0</v>
      </c>
      <c r="F45" s="1911">
        <v>4500000</v>
      </c>
      <c r="G45" s="1909">
        <v>5746850</v>
      </c>
      <c r="H45" s="1912">
        <v>5746850</v>
      </c>
      <c r="I45" s="1913">
        <v>0</v>
      </c>
      <c r="J45" s="1909">
        <v>0</v>
      </c>
      <c r="K45" s="1910">
        <v>0</v>
      </c>
      <c r="L45" s="370"/>
    </row>
    <row r="46" spans="1:15" ht="11.25" customHeight="1">
      <c r="A46" s="1919"/>
      <c r="B46" s="182"/>
      <c r="C46" s="1914"/>
      <c r="D46" s="1914"/>
      <c r="E46" s="1915"/>
      <c r="F46" s="1916"/>
      <c r="G46" s="1914"/>
      <c r="H46" s="1917"/>
      <c r="I46" s="1918"/>
      <c r="J46" s="1914"/>
      <c r="K46" s="1915"/>
      <c r="L46" s="370"/>
    </row>
    <row r="47" spans="1:15" ht="18" customHeight="1">
      <c r="A47" s="373" t="str">
        <f>'SA18'!A47</f>
        <v>Other grant providers:</v>
      </c>
      <c r="B47" s="182"/>
      <c r="C47" s="751">
        <f>SUM(C48:C49)</f>
        <v>0</v>
      </c>
      <c r="D47" s="751">
        <f t="shared" ref="D47:K47" si="8">SUM(D48:D49)</f>
        <v>18000</v>
      </c>
      <c r="E47" s="752">
        <f t="shared" si="8"/>
        <v>996229</v>
      </c>
      <c r="F47" s="753">
        <f t="shared" si="8"/>
        <v>0</v>
      </c>
      <c r="G47" s="751">
        <f t="shared" si="8"/>
        <v>0</v>
      </c>
      <c r="H47" s="754">
        <f t="shared" si="8"/>
        <v>0</v>
      </c>
      <c r="I47" s="755">
        <f t="shared" si="8"/>
        <v>0</v>
      </c>
      <c r="J47" s="751">
        <f t="shared" si="8"/>
        <v>0</v>
      </c>
      <c r="K47" s="752">
        <f t="shared" si="8"/>
        <v>0</v>
      </c>
      <c r="L47" s="370"/>
    </row>
    <row r="48" spans="1:15" ht="11.25" customHeight="1">
      <c r="A48" s="1919" t="str">
        <f>'SA18'!A48</f>
        <v>Loan</v>
      </c>
      <c r="B48" s="182"/>
      <c r="C48" s="1909">
        <v>0</v>
      </c>
      <c r="D48" s="1909">
        <v>0</v>
      </c>
      <c r="E48" s="1910">
        <v>0</v>
      </c>
      <c r="F48" s="1911">
        <v>0</v>
      </c>
      <c r="G48" s="1909"/>
      <c r="H48" s="1912"/>
      <c r="I48" s="1913">
        <v>0</v>
      </c>
      <c r="J48" s="1909"/>
      <c r="K48" s="1910"/>
      <c r="L48" s="370"/>
    </row>
    <row r="49" spans="1:12" ht="11.25" customHeight="1">
      <c r="A49" s="1919" t="s">
        <v>2495</v>
      </c>
      <c r="B49" s="182"/>
      <c r="C49" s="1914">
        <v>0</v>
      </c>
      <c r="D49" s="1914">
        <v>18000</v>
      </c>
      <c r="E49" s="1915">
        <v>996229</v>
      </c>
      <c r="F49" s="1916">
        <v>0</v>
      </c>
      <c r="G49" s="1914"/>
      <c r="H49" s="1917"/>
      <c r="I49" s="1918">
        <v>0</v>
      </c>
      <c r="J49" s="1914">
        <v>0</v>
      </c>
      <c r="K49" s="1915">
        <v>0</v>
      </c>
      <c r="L49" s="370"/>
    </row>
    <row r="50" spans="1:12" ht="15.75" customHeight="1">
      <c r="A50" s="771" t="s">
        <v>360</v>
      </c>
      <c r="B50" s="772"/>
      <c r="C50" s="751">
        <f>C35+C42+C44+C47</f>
        <v>255515314</v>
      </c>
      <c r="D50" s="751">
        <f t="shared" ref="D50:K50" si="9">D35+D42+D44+D47</f>
        <v>150663576</v>
      </c>
      <c r="E50" s="752">
        <f t="shared" si="9"/>
        <v>144970064</v>
      </c>
      <c r="F50" s="753">
        <f t="shared" si="9"/>
        <v>364912840</v>
      </c>
      <c r="G50" s="751">
        <f t="shared" si="9"/>
        <v>405219028</v>
      </c>
      <c r="H50" s="754">
        <f t="shared" si="9"/>
        <v>405219028</v>
      </c>
      <c r="I50" s="755">
        <f t="shared" si="9"/>
        <v>661954600</v>
      </c>
      <c r="J50" s="751">
        <f t="shared" si="9"/>
        <v>788503280</v>
      </c>
      <c r="K50" s="752">
        <f t="shared" si="9"/>
        <v>855359751</v>
      </c>
      <c r="L50" s="370"/>
    </row>
    <row r="51" spans="1:12" ht="3.75" customHeight="1">
      <c r="A51" s="273"/>
      <c r="B51" s="182"/>
      <c r="C51" s="715"/>
      <c r="D51" s="715"/>
      <c r="E51" s="711"/>
      <c r="F51" s="712"/>
      <c r="G51" s="715"/>
      <c r="H51" s="713"/>
      <c r="I51" s="716"/>
      <c r="J51" s="715"/>
      <c r="K51" s="711"/>
      <c r="L51" s="370"/>
    </row>
    <row r="52" spans="1:12" s="769" customFormat="1" ht="16.5" customHeight="1">
      <c r="A52" s="1535" t="s">
        <v>566</v>
      </c>
      <c r="B52" s="1349"/>
      <c r="C52" s="775">
        <f t="shared" ref="C52:K52" si="10">C32+C50</f>
        <v>540153931</v>
      </c>
      <c r="D52" s="775">
        <f t="shared" si="10"/>
        <v>448992595</v>
      </c>
      <c r="E52" s="776">
        <f t="shared" si="10"/>
        <v>412491724</v>
      </c>
      <c r="F52" s="777">
        <f t="shared" si="10"/>
        <v>647827979</v>
      </c>
      <c r="G52" s="775">
        <f t="shared" si="10"/>
        <v>697931411</v>
      </c>
      <c r="H52" s="778">
        <f t="shared" si="10"/>
        <v>697931411</v>
      </c>
      <c r="I52" s="779">
        <f t="shared" si="10"/>
        <v>1003834400</v>
      </c>
      <c r="J52" s="775">
        <f t="shared" si="10"/>
        <v>1174259165</v>
      </c>
      <c r="K52" s="776">
        <f t="shared" si="10"/>
        <v>1310549772</v>
      </c>
      <c r="L52" s="891"/>
    </row>
    <row r="53" spans="1:12" s="709" customFormat="1" ht="11.25" customHeight="1">
      <c r="A53" s="1233" t="str">
        <f>head27a</f>
        <v>References</v>
      </c>
      <c r="B53" s="1048"/>
      <c r="L53" s="1087"/>
    </row>
    <row r="54" spans="1:12" s="709" customFormat="1" ht="11.25" customHeight="1">
      <c r="A54" s="1195" t="s">
        <v>1406</v>
      </c>
      <c r="B54" s="1048"/>
      <c r="L54" s="1087"/>
    </row>
    <row r="55" spans="1:12" ht="11.25" customHeight="1">
      <c r="L55" s="370"/>
    </row>
    <row r="56" spans="1:12" ht="11.25" customHeight="1">
      <c r="L56" s="370"/>
    </row>
    <row r="57" spans="1:12" ht="11.25" customHeight="1">
      <c r="L57" s="370"/>
    </row>
    <row r="58" spans="1:12" ht="11.25" customHeight="1"/>
    <row r="59" spans="1:12" ht="11.25" customHeight="1"/>
    <row r="60" spans="1:12" ht="11.25" customHeight="1"/>
    <row r="61" spans="1:12" ht="11.25" customHeight="1"/>
    <row r="62" spans="1:12" ht="11.25" customHeight="1"/>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sheetData>
  <mergeCells count="2">
    <mergeCell ref="F2:H2"/>
    <mergeCell ref="I2:K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rgb="FF92D050"/>
  </sheetPr>
  <dimension ref="A1:AC308"/>
  <sheetViews>
    <sheetView workbookViewId="0">
      <pane xSplit="1" ySplit="1" topLeftCell="P2" activePane="bottomRight" state="frozen"/>
      <selection pane="topRight"/>
      <selection pane="bottomLeft"/>
      <selection pane="bottomRight" activeCell="D285" sqref="D285"/>
    </sheetView>
  </sheetViews>
  <sheetFormatPr baseColWidth="10" defaultColWidth="8.83203125" defaultRowHeight="10" x14ac:dyDescent="0"/>
  <cols>
    <col min="1" max="1" width="28.83203125" style="2" bestFit="1" customWidth="1"/>
    <col min="2" max="3" width="29.5" style="2" customWidth="1"/>
    <col min="4" max="4" width="41.83203125" style="2" bestFit="1" customWidth="1"/>
    <col min="5" max="14" width="41.83203125" style="2" customWidth="1"/>
    <col min="15" max="15" width="43.5" style="2" bestFit="1" customWidth="1"/>
    <col min="16" max="16" width="1.33203125" style="2" customWidth="1"/>
    <col min="17" max="17" width="5" style="2" bestFit="1" customWidth="1"/>
    <col min="18" max="18" width="2.6640625" style="2" bestFit="1" customWidth="1"/>
    <col min="19" max="19" width="4.1640625" style="2" bestFit="1" customWidth="1"/>
    <col min="20" max="20" width="9.6640625" style="2" bestFit="1" customWidth="1"/>
    <col min="21" max="21" width="9.5" style="2" bestFit="1" customWidth="1"/>
    <col min="22" max="22" width="3.83203125" style="2" bestFit="1" customWidth="1"/>
    <col min="23" max="23" width="6.6640625" style="2" bestFit="1" customWidth="1"/>
    <col min="24" max="24" width="4.33203125" style="2" bestFit="1" customWidth="1"/>
    <col min="25" max="25" width="8.83203125" style="2"/>
    <col min="26" max="26" width="31.6640625" style="2" customWidth="1"/>
    <col min="27" max="27" width="26.6640625" style="2" customWidth="1"/>
    <col min="28" max="28" width="31.6640625" style="2" customWidth="1"/>
    <col min="29" max="29" width="23.1640625" style="2" customWidth="1"/>
    <col min="30" max="16384" width="8.83203125" style="2"/>
  </cols>
  <sheetData>
    <row r="1" spans="1:29" s="3" customFormat="1">
      <c r="A1" s="1008" t="s">
        <v>775</v>
      </c>
      <c r="B1" s="1009">
        <v>2007</v>
      </c>
      <c r="C1" s="1009">
        <v>2008</v>
      </c>
      <c r="D1" s="1009">
        <v>2009</v>
      </c>
      <c r="E1" s="1031">
        <v>2010</v>
      </c>
      <c r="F1" s="1031">
        <v>2011</v>
      </c>
      <c r="G1" s="1009">
        <v>2012</v>
      </c>
      <c r="H1" s="1031">
        <v>2013</v>
      </c>
      <c r="I1" s="1031">
        <v>2014</v>
      </c>
      <c r="J1" s="1031">
        <v>2015</v>
      </c>
      <c r="K1" s="1031">
        <v>2016</v>
      </c>
      <c r="L1" s="1031">
        <v>2017</v>
      </c>
      <c r="M1" s="1031">
        <v>2018</v>
      </c>
      <c r="N1" s="1031">
        <v>2019</v>
      </c>
      <c r="O1" s="1031">
        <v>2020</v>
      </c>
      <c r="P1" s="1032"/>
      <c r="Q1" s="1035" t="s">
        <v>157</v>
      </c>
      <c r="R1" s="1036"/>
      <c r="S1" s="1036"/>
      <c r="T1" s="1036"/>
      <c r="U1" s="1036"/>
      <c r="V1" s="1036"/>
      <c r="W1" s="1036"/>
      <c r="X1" s="1036"/>
      <c r="Y1" s="1168" t="s">
        <v>1593</v>
      </c>
      <c r="Z1" s="1168" t="s">
        <v>1594</v>
      </c>
      <c r="AA1" s="1168" t="s">
        <v>1596</v>
      </c>
      <c r="AB1" s="1168" t="s">
        <v>1595</v>
      </c>
      <c r="AC1" s="1168" t="s">
        <v>1240</v>
      </c>
    </row>
    <row r="2" spans="1:29">
      <c r="A2" s="10" t="str">
        <f>'Template names'!C2</f>
        <v>Prior year -1</v>
      </c>
      <c r="B2" s="6" t="s">
        <v>1060</v>
      </c>
      <c r="C2" s="6" t="s">
        <v>1290</v>
      </c>
      <c r="D2" s="6" t="s">
        <v>1107</v>
      </c>
      <c r="E2" s="13" t="str">
        <f t="shared" ref="E2:O2" si="0">E1-2&amp;"/"&amp;RIGHT(E1,2)-1</f>
        <v>2008/9</v>
      </c>
      <c r="F2" s="13" t="str">
        <f t="shared" si="0"/>
        <v>2009/10</v>
      </c>
      <c r="G2" s="13" t="str">
        <f t="shared" si="0"/>
        <v>2010/11</v>
      </c>
      <c r="H2" s="13" t="str">
        <f t="shared" si="0"/>
        <v>2011/12</v>
      </c>
      <c r="I2" s="13" t="str">
        <f t="shared" si="0"/>
        <v>2012/13</v>
      </c>
      <c r="J2" s="13" t="str">
        <f t="shared" si="0"/>
        <v>2013/14</v>
      </c>
      <c r="K2" s="13" t="str">
        <f t="shared" si="0"/>
        <v>2014/15</v>
      </c>
      <c r="L2" s="13" t="str">
        <f t="shared" si="0"/>
        <v>2015/16</v>
      </c>
      <c r="M2" s="13" t="str">
        <f t="shared" si="0"/>
        <v>2016/17</v>
      </c>
      <c r="N2" s="13" t="str">
        <f t="shared" si="0"/>
        <v>2017/18</v>
      </c>
      <c r="O2" s="13" t="str">
        <f t="shared" si="0"/>
        <v>2018/19</v>
      </c>
      <c r="P2" s="6"/>
      <c r="Q2" s="24" t="s">
        <v>427</v>
      </c>
      <c r="R2" s="1034" t="s">
        <v>158</v>
      </c>
      <c r="S2" s="1034" t="s">
        <v>159</v>
      </c>
      <c r="T2" s="4" t="s">
        <v>161</v>
      </c>
      <c r="U2" s="13" t="s">
        <v>165</v>
      </c>
      <c r="V2" s="4" t="s">
        <v>427</v>
      </c>
      <c r="W2" s="21" t="s">
        <v>1092</v>
      </c>
      <c r="X2" s="21" t="s">
        <v>1691</v>
      </c>
      <c r="Z2" s="1" t="s">
        <v>1941</v>
      </c>
      <c r="AA2" s="1" t="s">
        <v>1942</v>
      </c>
      <c r="AB2" s="1" t="s">
        <v>1937</v>
      </c>
      <c r="AC2" s="1" t="s">
        <v>1930</v>
      </c>
    </row>
    <row r="3" spans="1:29">
      <c r="A3" s="10" t="str">
        <f>'Template names'!C3</f>
        <v>Prior year -2</v>
      </c>
      <c r="B3" s="6" t="s">
        <v>1061</v>
      </c>
      <c r="C3" s="6" t="s">
        <v>1060</v>
      </c>
      <c r="D3" s="6" t="s">
        <v>1290</v>
      </c>
      <c r="E3" s="13" t="str">
        <f t="shared" ref="E3:O3" si="1">E1-3&amp;"/"&amp;RIGHT(E1,2)-2</f>
        <v>2007/8</v>
      </c>
      <c r="F3" s="13" t="str">
        <f t="shared" si="1"/>
        <v>2008/9</v>
      </c>
      <c r="G3" s="13" t="str">
        <f t="shared" si="1"/>
        <v>2009/10</v>
      </c>
      <c r="H3" s="13" t="str">
        <f t="shared" si="1"/>
        <v>2010/11</v>
      </c>
      <c r="I3" s="13" t="str">
        <f t="shared" si="1"/>
        <v>2011/12</v>
      </c>
      <c r="J3" s="13" t="str">
        <f t="shared" si="1"/>
        <v>2012/13</v>
      </c>
      <c r="K3" s="13" t="str">
        <f t="shared" si="1"/>
        <v>2013/14</v>
      </c>
      <c r="L3" s="13" t="str">
        <f t="shared" si="1"/>
        <v>2014/15</v>
      </c>
      <c r="M3" s="13" t="str">
        <f t="shared" si="1"/>
        <v>2015/16</v>
      </c>
      <c r="N3" s="13" t="str">
        <f t="shared" si="1"/>
        <v>2016/17</v>
      </c>
      <c r="O3" s="13" t="str">
        <f t="shared" si="1"/>
        <v>2017/18</v>
      </c>
      <c r="P3" s="6"/>
      <c r="Q3" s="24" t="s">
        <v>828</v>
      </c>
      <c r="R3" s="4">
        <v>1</v>
      </c>
      <c r="S3" s="4">
        <v>4</v>
      </c>
      <c r="T3" s="4" t="s">
        <v>162</v>
      </c>
      <c r="U3" s="13" t="s">
        <v>163</v>
      </c>
      <c r="V3" s="22" t="s">
        <v>828</v>
      </c>
      <c r="W3" s="22" t="s">
        <v>1688</v>
      </c>
      <c r="X3" s="22" t="s">
        <v>1692</v>
      </c>
      <c r="Z3" s="1" t="s">
        <v>1940</v>
      </c>
      <c r="AA3" s="1" t="s">
        <v>1943</v>
      </c>
      <c r="AB3" s="1" t="s">
        <v>1936</v>
      </c>
      <c r="AC3" s="1" t="s">
        <v>1931</v>
      </c>
    </row>
    <row r="4" spans="1:29">
      <c r="A4" s="10" t="str">
        <f>'Template names'!C4</f>
        <v>Prior year -3</v>
      </c>
      <c r="B4" s="6" t="s">
        <v>1062</v>
      </c>
      <c r="C4" s="6" t="s">
        <v>1061</v>
      </c>
      <c r="D4" s="6" t="s">
        <v>1060</v>
      </c>
      <c r="E4" s="13" t="str">
        <f t="shared" ref="E4:O4" si="2">E1-4&amp;"/"&amp;RIGHT(E1,2)-3</f>
        <v>2006/7</v>
      </c>
      <c r="F4" s="13" t="str">
        <f t="shared" si="2"/>
        <v>2007/8</v>
      </c>
      <c r="G4" s="13" t="str">
        <f t="shared" si="2"/>
        <v>2008/9</v>
      </c>
      <c r="H4" s="13" t="str">
        <f t="shared" si="2"/>
        <v>2009/10</v>
      </c>
      <c r="I4" s="13" t="str">
        <f t="shared" si="2"/>
        <v>2010/11</v>
      </c>
      <c r="J4" s="13" t="str">
        <f t="shared" si="2"/>
        <v>2011/12</v>
      </c>
      <c r="K4" s="13" t="str">
        <f t="shared" si="2"/>
        <v>2012/13</v>
      </c>
      <c r="L4" s="13" t="str">
        <f t="shared" si="2"/>
        <v>2013/14</v>
      </c>
      <c r="M4" s="13" t="str">
        <f t="shared" si="2"/>
        <v>2014/15</v>
      </c>
      <c r="N4" s="13" t="str">
        <f t="shared" si="2"/>
        <v>2015/16</v>
      </c>
      <c r="O4" s="13" t="str">
        <f t="shared" si="2"/>
        <v>2016/17</v>
      </c>
      <c r="P4" s="6"/>
      <c r="Q4" s="25"/>
      <c r="R4" s="4">
        <v>2</v>
      </c>
      <c r="S4" s="4">
        <v>5</v>
      </c>
      <c r="T4" s="22" t="s">
        <v>293</v>
      </c>
      <c r="U4" s="14" t="s">
        <v>293</v>
      </c>
      <c r="V4" s="23"/>
      <c r="Z4" s="1" t="s">
        <v>1939</v>
      </c>
      <c r="AA4" s="1" t="s">
        <v>1718</v>
      </c>
      <c r="AB4" s="1" t="s">
        <v>1925</v>
      </c>
      <c r="AC4" s="1" t="s">
        <v>1798</v>
      </c>
    </row>
    <row r="5" spans="1:29">
      <c r="A5" s="10" t="str">
        <f>'Template names'!C5</f>
        <v>Year in which budget is being prepared</v>
      </c>
      <c r="B5" s="6" t="s">
        <v>406</v>
      </c>
      <c r="C5" s="6" t="s">
        <v>1106</v>
      </c>
      <c r="D5" s="6" t="s">
        <v>1114</v>
      </c>
      <c r="E5" s="13" t="str">
        <f t="shared" ref="E5:O5" si="3">"Current Year "&amp; E1-1&amp;"/"&amp;RIGHT(E1,2)</f>
        <v>Current Year 2009/10</v>
      </c>
      <c r="F5" s="13" t="str">
        <f t="shared" si="3"/>
        <v>Current Year 2010/11</v>
      </c>
      <c r="G5" s="13" t="str">
        <f t="shared" si="3"/>
        <v>Current Year 2011/12</v>
      </c>
      <c r="H5" s="13" t="str">
        <f t="shared" si="3"/>
        <v>Current Year 2012/13</v>
      </c>
      <c r="I5" s="13" t="str">
        <f t="shared" si="3"/>
        <v>Current Year 2013/14</v>
      </c>
      <c r="J5" s="13" t="str">
        <f t="shared" si="3"/>
        <v>Current Year 2014/15</v>
      </c>
      <c r="K5" s="13" t="str">
        <f t="shared" si="3"/>
        <v>Current Year 2015/16</v>
      </c>
      <c r="L5" s="13" t="str">
        <f t="shared" si="3"/>
        <v>Current Year 2016/17</v>
      </c>
      <c r="M5" s="13" t="str">
        <f t="shared" si="3"/>
        <v>Current Year 2017/18</v>
      </c>
      <c r="N5" s="13" t="str">
        <f t="shared" si="3"/>
        <v>Current Year 2018/19</v>
      </c>
      <c r="O5" s="13" t="str">
        <f t="shared" si="3"/>
        <v>Current Year 2019/20</v>
      </c>
      <c r="P5" s="6"/>
      <c r="R5" s="4">
        <v>3</v>
      </c>
      <c r="S5" s="4">
        <v>6</v>
      </c>
      <c r="Z5" s="1" t="s">
        <v>1938</v>
      </c>
      <c r="AA5" s="1" t="s">
        <v>1935</v>
      </c>
      <c r="AB5" s="1" t="s">
        <v>1927</v>
      </c>
      <c r="AC5" s="1" t="s">
        <v>1932</v>
      </c>
    </row>
    <row r="6" spans="1:29">
      <c r="A6" s="10" t="str">
        <f>'Template names'!C6</f>
        <v>Year in which budget is being prepared</v>
      </c>
      <c r="B6" s="6" t="s">
        <v>1290</v>
      </c>
      <c r="C6" s="6" t="s">
        <v>1107</v>
      </c>
      <c r="D6" s="6" t="s">
        <v>1115</v>
      </c>
      <c r="E6" s="13" t="str">
        <f t="shared" ref="E6:O6" si="4">E1-1&amp;"/"&amp;RIGHT(E1,2)</f>
        <v>2009/10</v>
      </c>
      <c r="F6" s="13" t="str">
        <f t="shared" si="4"/>
        <v>2010/11</v>
      </c>
      <c r="G6" s="13" t="str">
        <f t="shared" si="4"/>
        <v>2011/12</v>
      </c>
      <c r="H6" s="13" t="str">
        <f t="shared" si="4"/>
        <v>2012/13</v>
      </c>
      <c r="I6" s="13" t="str">
        <f t="shared" si="4"/>
        <v>2013/14</v>
      </c>
      <c r="J6" s="13" t="str">
        <f t="shared" si="4"/>
        <v>2014/15</v>
      </c>
      <c r="K6" s="13" t="str">
        <f t="shared" si="4"/>
        <v>2015/16</v>
      </c>
      <c r="L6" s="13" t="str">
        <f t="shared" si="4"/>
        <v>2016/17</v>
      </c>
      <c r="M6" s="13" t="str">
        <f t="shared" si="4"/>
        <v>2017/18</v>
      </c>
      <c r="N6" s="13" t="str">
        <f t="shared" si="4"/>
        <v>2018/19</v>
      </c>
      <c r="O6" s="13" t="str">
        <f t="shared" si="4"/>
        <v>2019/20</v>
      </c>
      <c r="P6" s="6"/>
      <c r="R6" s="4">
        <v>4</v>
      </c>
      <c r="S6" s="1033" t="s">
        <v>1091</v>
      </c>
      <c r="Z6" s="2" t="s">
        <v>1918</v>
      </c>
      <c r="AB6" s="1" t="s">
        <v>1926</v>
      </c>
      <c r="AC6" s="1" t="s">
        <v>1933</v>
      </c>
    </row>
    <row r="7" spans="1:29">
      <c r="A7" s="10" t="str">
        <f>'Template names'!C7</f>
        <v>MTREF name</v>
      </c>
      <c r="B7" s="6" t="s">
        <v>800</v>
      </c>
      <c r="C7" s="6" t="s">
        <v>801</v>
      </c>
      <c r="D7" s="6" t="s">
        <v>802</v>
      </c>
      <c r="E7" s="13" t="str">
        <f t="shared" ref="E7:O7" si="5">E1&amp;"/"&amp;RIGHT(E1,2)+1&amp;" Medium Term Revenue &amp; Expenditure Framework"</f>
        <v>2010/11 Medium Term Revenue &amp; Expenditure Framework</v>
      </c>
      <c r="F7" s="13" t="str">
        <f t="shared" si="5"/>
        <v>2011/12 Medium Term Revenue &amp; Expenditure Framework</v>
      </c>
      <c r="G7" s="13" t="str">
        <f t="shared" si="5"/>
        <v>2012/13 Medium Term Revenue &amp; Expenditure Framework</v>
      </c>
      <c r="H7" s="13" t="str">
        <f t="shared" si="5"/>
        <v>2013/14 Medium Term Revenue &amp; Expenditure Framework</v>
      </c>
      <c r="I7" s="13" t="str">
        <f t="shared" si="5"/>
        <v>2014/15 Medium Term Revenue &amp; Expenditure Framework</v>
      </c>
      <c r="J7" s="13" t="str">
        <f t="shared" si="5"/>
        <v>2015/16 Medium Term Revenue &amp; Expenditure Framework</v>
      </c>
      <c r="K7" s="13" t="str">
        <f t="shared" si="5"/>
        <v>2016/17 Medium Term Revenue &amp; Expenditure Framework</v>
      </c>
      <c r="L7" s="13" t="str">
        <f t="shared" si="5"/>
        <v>2017/18 Medium Term Revenue &amp; Expenditure Framework</v>
      </c>
      <c r="M7" s="13" t="str">
        <f t="shared" si="5"/>
        <v>2018/19 Medium Term Revenue &amp; Expenditure Framework</v>
      </c>
      <c r="N7" s="13" t="str">
        <f t="shared" si="5"/>
        <v>2019/20 Medium Term Revenue &amp; Expenditure Framework</v>
      </c>
      <c r="O7" s="13" t="str">
        <f t="shared" si="5"/>
        <v>2020/21 Medium Term Revenue &amp; Expenditure Framework</v>
      </c>
      <c r="P7" s="6"/>
      <c r="R7" s="4">
        <v>5</v>
      </c>
      <c r="S7" s="22" t="s">
        <v>160</v>
      </c>
      <c r="Z7" s="2" t="s">
        <v>1919</v>
      </c>
      <c r="AB7" s="1" t="s">
        <v>1923</v>
      </c>
      <c r="AC7" s="1" t="s">
        <v>1934</v>
      </c>
    </row>
    <row r="8" spans="1:29">
      <c r="A8" s="10" t="str">
        <f>'Template names'!C15</f>
        <v>1st year of MTREF</v>
      </c>
      <c r="B8" s="6" t="s">
        <v>1629</v>
      </c>
      <c r="C8" s="6" t="s">
        <v>1108</v>
      </c>
      <c r="D8" s="6" t="s">
        <v>1116</v>
      </c>
      <c r="E8" s="13" t="str">
        <f t="shared" ref="E8:O8" si="6">"Budget Year "&amp;E1&amp;"/"&amp;RIGHT(E1,2)+1</f>
        <v>Budget Year 2010/11</v>
      </c>
      <c r="F8" s="13" t="str">
        <f t="shared" si="6"/>
        <v>Budget Year 2011/12</v>
      </c>
      <c r="G8" s="13" t="str">
        <f t="shared" si="6"/>
        <v>Budget Year 2012/13</v>
      </c>
      <c r="H8" s="13" t="str">
        <f t="shared" si="6"/>
        <v>Budget Year 2013/14</v>
      </c>
      <c r="I8" s="13" t="str">
        <f t="shared" si="6"/>
        <v>Budget Year 2014/15</v>
      </c>
      <c r="J8" s="13" t="str">
        <f t="shared" si="6"/>
        <v>Budget Year 2015/16</v>
      </c>
      <c r="K8" s="13" t="str">
        <f t="shared" si="6"/>
        <v>Budget Year 2016/17</v>
      </c>
      <c r="L8" s="13" t="str">
        <f t="shared" si="6"/>
        <v>Budget Year 2017/18</v>
      </c>
      <c r="M8" s="13" t="str">
        <f t="shared" si="6"/>
        <v>Budget Year 2018/19</v>
      </c>
      <c r="N8" s="13" t="str">
        <f t="shared" si="6"/>
        <v>Budget Year 2019/20</v>
      </c>
      <c r="O8" s="13" t="str">
        <f t="shared" si="6"/>
        <v>Budget Year 2020/21</v>
      </c>
      <c r="P8" s="6"/>
      <c r="R8" s="22" t="s">
        <v>1090</v>
      </c>
      <c r="Z8" s="2" t="s">
        <v>1920</v>
      </c>
      <c r="AB8" s="1" t="s">
        <v>1924</v>
      </c>
      <c r="AC8" s="1" t="s">
        <v>1935</v>
      </c>
    </row>
    <row r="9" spans="1:29">
      <c r="A9" s="10" t="str">
        <f>'Template names'!C16</f>
        <v>2nd year of MTREF</v>
      </c>
      <c r="B9" s="6" t="s">
        <v>1630</v>
      </c>
      <c r="C9" s="6" t="s">
        <v>1109</v>
      </c>
      <c r="D9" s="6" t="s">
        <v>1372</v>
      </c>
      <c r="E9" s="13" t="str">
        <f t="shared" ref="E9:O9" si="7">"Budget Year +1 "&amp;E1+1&amp;"/"&amp;RIGHT(E1,2)+2</f>
        <v>Budget Year +1 2011/12</v>
      </c>
      <c r="F9" s="13" t="str">
        <f t="shared" si="7"/>
        <v>Budget Year +1 2012/13</v>
      </c>
      <c r="G9" s="13" t="str">
        <f t="shared" si="7"/>
        <v>Budget Year +1 2013/14</v>
      </c>
      <c r="H9" s="13" t="str">
        <f t="shared" si="7"/>
        <v>Budget Year +1 2014/15</v>
      </c>
      <c r="I9" s="13" t="str">
        <f t="shared" si="7"/>
        <v>Budget Year +1 2015/16</v>
      </c>
      <c r="J9" s="13" t="str">
        <f t="shared" si="7"/>
        <v>Budget Year +1 2016/17</v>
      </c>
      <c r="K9" s="13" t="str">
        <f t="shared" si="7"/>
        <v>Budget Year +1 2017/18</v>
      </c>
      <c r="L9" s="13" t="str">
        <f t="shared" si="7"/>
        <v>Budget Year +1 2018/19</v>
      </c>
      <c r="M9" s="13" t="str">
        <f t="shared" si="7"/>
        <v>Budget Year +1 2019/20</v>
      </c>
      <c r="N9" s="13" t="str">
        <f t="shared" si="7"/>
        <v>Budget Year +1 2020/21</v>
      </c>
      <c r="O9" s="13" t="str">
        <f t="shared" si="7"/>
        <v>Budget Year +1 2021/22</v>
      </c>
      <c r="P9" s="6"/>
      <c r="Z9" s="1" t="s">
        <v>1921</v>
      </c>
    </row>
    <row r="10" spans="1:29">
      <c r="A10" s="10" t="str">
        <f>'Template names'!C17</f>
        <v>3rd year of MTREF</v>
      </c>
      <c r="B10" s="6" t="s">
        <v>1631</v>
      </c>
      <c r="C10" s="6" t="s">
        <v>1110</v>
      </c>
      <c r="D10" s="6" t="s">
        <v>1373</v>
      </c>
      <c r="E10" s="13" t="str">
        <f t="shared" ref="E10:O10" si="8">"Budget Year +2 "&amp;E1+2&amp;"/"&amp;RIGHT(E1,2)+3</f>
        <v>Budget Year +2 2012/13</v>
      </c>
      <c r="F10" s="13" t="str">
        <f t="shared" si="8"/>
        <v>Budget Year +2 2013/14</v>
      </c>
      <c r="G10" s="13" t="str">
        <f t="shared" si="8"/>
        <v>Budget Year +2 2014/15</v>
      </c>
      <c r="H10" s="13" t="str">
        <f t="shared" si="8"/>
        <v>Budget Year +2 2015/16</v>
      </c>
      <c r="I10" s="13" t="str">
        <f t="shared" si="8"/>
        <v>Budget Year +2 2016/17</v>
      </c>
      <c r="J10" s="13" t="str">
        <f t="shared" si="8"/>
        <v>Budget Year +2 2017/18</v>
      </c>
      <c r="K10" s="13" t="str">
        <f t="shared" si="8"/>
        <v>Budget Year +2 2018/19</v>
      </c>
      <c r="L10" s="13" t="str">
        <f t="shared" si="8"/>
        <v>Budget Year +2 2019/20</v>
      </c>
      <c r="M10" s="13" t="str">
        <f t="shared" si="8"/>
        <v>Budget Year +2 2020/21</v>
      </c>
      <c r="N10" s="13" t="str">
        <f t="shared" si="8"/>
        <v>Budget Year +2 2021/22</v>
      </c>
      <c r="O10" s="13" t="str">
        <f t="shared" si="8"/>
        <v>Budget Year +2 2022/23</v>
      </c>
      <c r="P10" s="6"/>
      <c r="Z10" s="1" t="s">
        <v>1922</v>
      </c>
    </row>
    <row r="11" spans="1:29">
      <c r="A11" s="10" t="str">
        <f>'Template names'!C18</f>
        <v>1st yr of long term forecast</v>
      </c>
      <c r="B11" s="6" t="s">
        <v>1714</v>
      </c>
      <c r="C11" s="6" t="s">
        <v>1715</v>
      </c>
      <c r="D11" s="6" t="s">
        <v>1716</v>
      </c>
      <c r="E11" s="13" t="str">
        <f t="shared" ref="E11:O11" si="9">"Forecast "&amp;E1+3&amp;"/"&amp;RIGHT(E1,2)+4</f>
        <v>Forecast 2013/14</v>
      </c>
      <c r="F11" s="13" t="str">
        <f t="shared" si="9"/>
        <v>Forecast 2014/15</v>
      </c>
      <c r="G11" s="13" t="str">
        <f t="shared" si="9"/>
        <v>Forecast 2015/16</v>
      </c>
      <c r="H11" s="13" t="str">
        <f t="shared" si="9"/>
        <v>Forecast 2016/17</v>
      </c>
      <c r="I11" s="13" t="str">
        <f t="shared" si="9"/>
        <v>Forecast 2017/18</v>
      </c>
      <c r="J11" s="13" t="str">
        <f t="shared" si="9"/>
        <v>Forecast 2018/19</v>
      </c>
      <c r="K11" s="13" t="str">
        <f t="shared" si="9"/>
        <v>Forecast 2019/20</v>
      </c>
      <c r="L11" s="13" t="str">
        <f t="shared" si="9"/>
        <v>Forecast 2020/21</v>
      </c>
      <c r="M11" s="13" t="str">
        <f t="shared" si="9"/>
        <v>Forecast 2021/22</v>
      </c>
      <c r="N11" s="13" t="str">
        <f t="shared" si="9"/>
        <v>Forecast 2022/23</v>
      </c>
      <c r="O11" s="13" t="str">
        <f t="shared" si="9"/>
        <v>Forecast 2023/24</v>
      </c>
      <c r="P11" s="6"/>
      <c r="Z11" s="1" t="s">
        <v>1928</v>
      </c>
    </row>
    <row r="12" spans="1:29">
      <c r="A12" s="10" t="str">
        <f>'Template names'!C19</f>
        <v>Next yr of long term forecast</v>
      </c>
      <c r="B12" s="6" t="s">
        <v>1715</v>
      </c>
      <c r="C12" s="6" t="s">
        <v>1716</v>
      </c>
      <c r="D12" s="6" t="s">
        <v>1717</v>
      </c>
      <c r="E12" s="13" t="str">
        <f t="shared" ref="E12:O12" si="10">"Forecast "&amp;E1+4&amp;"/"&amp;RIGHT(E1,2)+5</f>
        <v>Forecast 2014/15</v>
      </c>
      <c r="F12" s="13" t="str">
        <f t="shared" si="10"/>
        <v>Forecast 2015/16</v>
      </c>
      <c r="G12" s="13" t="str">
        <f t="shared" si="10"/>
        <v>Forecast 2016/17</v>
      </c>
      <c r="H12" s="13" t="str">
        <f t="shared" si="10"/>
        <v>Forecast 2017/18</v>
      </c>
      <c r="I12" s="13" t="str">
        <f t="shared" si="10"/>
        <v>Forecast 2018/19</v>
      </c>
      <c r="J12" s="13" t="str">
        <f t="shared" si="10"/>
        <v>Forecast 2019/20</v>
      </c>
      <c r="K12" s="13" t="str">
        <f t="shared" si="10"/>
        <v>Forecast 2020/21</v>
      </c>
      <c r="L12" s="13" t="str">
        <f t="shared" si="10"/>
        <v>Forecast 2021/22</v>
      </c>
      <c r="M12" s="13" t="str">
        <f t="shared" si="10"/>
        <v>Forecast 2022/23</v>
      </c>
      <c r="N12" s="13" t="str">
        <f t="shared" si="10"/>
        <v>Forecast 2023/24</v>
      </c>
      <c r="O12" s="13" t="str">
        <f t="shared" si="10"/>
        <v>Forecast 2024/25</v>
      </c>
      <c r="P12" s="6"/>
      <c r="Z12" s="1" t="s">
        <v>1929</v>
      </c>
    </row>
    <row r="13" spans="1:29">
      <c r="A13" s="10" t="str">
        <f>'Template names'!C20</f>
        <v>Next yr of long term forecast</v>
      </c>
      <c r="B13" s="6" t="s">
        <v>1716</v>
      </c>
      <c r="C13" s="6" t="s">
        <v>1717</v>
      </c>
      <c r="D13" s="6" t="s">
        <v>918</v>
      </c>
      <c r="E13" s="13" t="str">
        <f t="shared" ref="E13:O13" si="11">"Forecast "&amp;E1+5&amp;"/"&amp;RIGHT(E1,2)+6</f>
        <v>Forecast 2015/16</v>
      </c>
      <c r="F13" s="13" t="str">
        <f t="shared" si="11"/>
        <v>Forecast 2016/17</v>
      </c>
      <c r="G13" s="13" t="str">
        <f t="shared" si="11"/>
        <v>Forecast 2017/18</v>
      </c>
      <c r="H13" s="13" t="str">
        <f t="shared" si="11"/>
        <v>Forecast 2018/19</v>
      </c>
      <c r="I13" s="13" t="str">
        <f t="shared" si="11"/>
        <v>Forecast 2019/20</v>
      </c>
      <c r="J13" s="13" t="str">
        <f t="shared" si="11"/>
        <v>Forecast 2020/21</v>
      </c>
      <c r="K13" s="13" t="str">
        <f t="shared" si="11"/>
        <v>Forecast 2021/22</v>
      </c>
      <c r="L13" s="13" t="str">
        <f t="shared" si="11"/>
        <v>Forecast 2022/23</v>
      </c>
      <c r="M13" s="13" t="str">
        <f t="shared" si="11"/>
        <v>Forecast 2023/24</v>
      </c>
      <c r="N13" s="13" t="str">
        <f t="shared" si="11"/>
        <v>Forecast 2024/25</v>
      </c>
      <c r="O13" s="13" t="str">
        <f t="shared" si="11"/>
        <v>Forecast 2025/26</v>
      </c>
      <c r="P13" s="6"/>
    </row>
    <row r="14" spans="1:29">
      <c r="A14" s="10" t="str">
        <f>'Template names'!C21</f>
        <v>Next yr of long term forecast</v>
      </c>
      <c r="B14" s="6" t="s">
        <v>1717</v>
      </c>
      <c r="C14" s="6" t="s">
        <v>918</v>
      </c>
      <c r="D14" s="6" t="s">
        <v>919</v>
      </c>
      <c r="E14" s="13" t="str">
        <f t="shared" ref="E14:O14" si="12">"Forecast "&amp;E1+6&amp;"/"&amp;RIGHT(E1,2)+7</f>
        <v>Forecast 2016/17</v>
      </c>
      <c r="F14" s="13" t="str">
        <f t="shared" si="12"/>
        <v>Forecast 2017/18</v>
      </c>
      <c r="G14" s="13" t="str">
        <f t="shared" si="12"/>
        <v>Forecast 2018/19</v>
      </c>
      <c r="H14" s="13" t="str">
        <f t="shared" si="12"/>
        <v>Forecast 2019/20</v>
      </c>
      <c r="I14" s="13" t="str">
        <f t="shared" si="12"/>
        <v>Forecast 2020/21</v>
      </c>
      <c r="J14" s="13" t="str">
        <f t="shared" si="12"/>
        <v>Forecast 2021/22</v>
      </c>
      <c r="K14" s="13" t="str">
        <f t="shared" si="12"/>
        <v>Forecast 2022/23</v>
      </c>
      <c r="L14" s="13" t="str">
        <f t="shared" si="12"/>
        <v>Forecast 2023/24</v>
      </c>
      <c r="M14" s="13" t="str">
        <f t="shared" si="12"/>
        <v>Forecast 2024/25</v>
      </c>
      <c r="N14" s="13" t="str">
        <f t="shared" si="12"/>
        <v>Forecast 2025/26</v>
      </c>
      <c r="O14" s="13" t="str">
        <f t="shared" si="12"/>
        <v>Forecast 2026/27</v>
      </c>
      <c r="P14" s="6"/>
      <c r="Z14" s="1168" t="s">
        <v>1994</v>
      </c>
      <c r="AA14" s="1168" t="s">
        <v>1995</v>
      </c>
    </row>
    <row r="15" spans="1:29">
      <c r="A15" s="10" t="str">
        <f>'Template names'!C22</f>
        <v>Next yr of long term forecast</v>
      </c>
      <c r="B15" s="6" t="s">
        <v>918</v>
      </c>
      <c r="C15" s="6" t="s">
        <v>919</v>
      </c>
      <c r="D15" s="6" t="s">
        <v>920</v>
      </c>
      <c r="E15" s="13" t="str">
        <f t="shared" ref="E15:O15" si="13">"Forecast "&amp;E1+7&amp;"/"&amp;RIGHT(E1,2)+8</f>
        <v>Forecast 2017/18</v>
      </c>
      <c r="F15" s="13" t="str">
        <f t="shared" si="13"/>
        <v>Forecast 2018/19</v>
      </c>
      <c r="G15" s="13" t="str">
        <f t="shared" si="13"/>
        <v>Forecast 2019/20</v>
      </c>
      <c r="H15" s="13" t="str">
        <f t="shared" si="13"/>
        <v>Forecast 2020/21</v>
      </c>
      <c r="I15" s="13" t="str">
        <f t="shared" si="13"/>
        <v>Forecast 2021/22</v>
      </c>
      <c r="J15" s="13" t="str">
        <f t="shared" si="13"/>
        <v>Forecast 2022/23</v>
      </c>
      <c r="K15" s="13" t="str">
        <f t="shared" si="13"/>
        <v>Forecast 2023/24</v>
      </c>
      <c r="L15" s="13" t="str">
        <f t="shared" si="13"/>
        <v>Forecast 2024/25</v>
      </c>
      <c r="M15" s="13" t="str">
        <f t="shared" si="13"/>
        <v>Forecast 2025/26</v>
      </c>
      <c r="N15" s="13" t="str">
        <f t="shared" si="13"/>
        <v>Forecast 2026/27</v>
      </c>
      <c r="O15" s="13" t="str">
        <f t="shared" si="13"/>
        <v>Forecast 2027/28</v>
      </c>
      <c r="P15" s="6"/>
    </row>
    <row r="16" spans="1:29">
      <c r="A16" s="10" t="str">
        <f>'Template names'!C23</f>
        <v>Next yr of long term forecast</v>
      </c>
      <c r="B16" s="6" t="s">
        <v>919</v>
      </c>
      <c r="C16" s="6" t="s">
        <v>920</v>
      </c>
      <c r="D16" s="6" t="s">
        <v>921</v>
      </c>
      <c r="E16" s="13" t="str">
        <f t="shared" ref="E16:O16" si="14">"Forecast "&amp;E1+8&amp;"/"&amp;RIGHT(E1,2)+9</f>
        <v>Forecast 2018/19</v>
      </c>
      <c r="F16" s="13" t="str">
        <f t="shared" si="14"/>
        <v>Forecast 2019/20</v>
      </c>
      <c r="G16" s="13" t="str">
        <f t="shared" si="14"/>
        <v>Forecast 2020/21</v>
      </c>
      <c r="H16" s="13" t="str">
        <f t="shared" si="14"/>
        <v>Forecast 2021/22</v>
      </c>
      <c r="I16" s="13" t="str">
        <f t="shared" si="14"/>
        <v>Forecast 2022/23</v>
      </c>
      <c r="J16" s="13" t="str">
        <f t="shared" si="14"/>
        <v>Forecast 2023/24</v>
      </c>
      <c r="K16" s="13" t="str">
        <f t="shared" si="14"/>
        <v>Forecast 2024/25</v>
      </c>
      <c r="L16" s="13" t="str">
        <f t="shared" si="14"/>
        <v>Forecast 2025/26</v>
      </c>
      <c r="M16" s="13" t="str">
        <f t="shared" si="14"/>
        <v>Forecast 2026/27</v>
      </c>
      <c r="N16" s="13" t="str">
        <f t="shared" si="14"/>
        <v>Forecast 2027/28</v>
      </c>
      <c r="O16" s="13" t="str">
        <f t="shared" si="14"/>
        <v>Forecast 2028/29</v>
      </c>
      <c r="P16" s="6"/>
      <c r="Z16" s="2" t="s">
        <v>536</v>
      </c>
      <c r="AA16" s="2" t="s">
        <v>537</v>
      </c>
    </row>
    <row r="17" spans="1:27">
      <c r="A17" s="10" t="str">
        <f>'Template names'!C24</f>
        <v>Next yr of long term forecast</v>
      </c>
      <c r="B17" s="6" t="s">
        <v>920</v>
      </c>
      <c r="C17" s="6" t="s">
        <v>921</v>
      </c>
      <c r="D17" s="6" t="s">
        <v>1553</v>
      </c>
      <c r="E17" s="13" t="str">
        <f t="shared" ref="E17:O17" si="15">"Forecast "&amp;E1+9&amp;"/"&amp;RIGHT(E1,2)+10</f>
        <v>Forecast 2019/20</v>
      </c>
      <c r="F17" s="13" t="str">
        <f t="shared" si="15"/>
        <v>Forecast 2020/21</v>
      </c>
      <c r="G17" s="13" t="str">
        <f t="shared" si="15"/>
        <v>Forecast 2021/22</v>
      </c>
      <c r="H17" s="13" t="str">
        <f t="shared" si="15"/>
        <v>Forecast 2022/23</v>
      </c>
      <c r="I17" s="13" t="str">
        <f t="shared" si="15"/>
        <v>Forecast 2023/24</v>
      </c>
      <c r="J17" s="13" t="str">
        <f t="shared" si="15"/>
        <v>Forecast 2024/25</v>
      </c>
      <c r="K17" s="13" t="str">
        <f t="shared" si="15"/>
        <v>Forecast 2025/26</v>
      </c>
      <c r="L17" s="13" t="str">
        <f t="shared" si="15"/>
        <v>Forecast 2026/27</v>
      </c>
      <c r="M17" s="13" t="str">
        <f t="shared" si="15"/>
        <v>Forecast 2027/28</v>
      </c>
      <c r="N17" s="13" t="str">
        <f t="shared" si="15"/>
        <v>Forecast 2028/29</v>
      </c>
      <c r="O17" s="13" t="str">
        <f t="shared" si="15"/>
        <v>Forecast 2029/30</v>
      </c>
      <c r="P17" s="6"/>
      <c r="Z17" s="2" t="s">
        <v>21</v>
      </c>
      <c r="AA17" s="2" t="s">
        <v>538</v>
      </c>
    </row>
    <row r="18" spans="1:27">
      <c r="A18" s="10" t="str">
        <f>'Template names'!C25</f>
        <v>Next yr of long term forecast</v>
      </c>
      <c r="B18" s="6" t="s">
        <v>921</v>
      </c>
      <c r="C18" s="6" t="s">
        <v>1553</v>
      </c>
      <c r="D18" s="6" t="s">
        <v>1552</v>
      </c>
      <c r="E18" s="13" t="str">
        <f t="shared" ref="E18:O18" si="16">"Forecast "&amp;E1+10&amp;"/"&amp;RIGHT(E1,2)+11</f>
        <v>Forecast 2020/21</v>
      </c>
      <c r="F18" s="13" t="str">
        <f t="shared" si="16"/>
        <v>Forecast 2021/22</v>
      </c>
      <c r="G18" s="13" t="str">
        <f t="shared" si="16"/>
        <v>Forecast 2022/23</v>
      </c>
      <c r="H18" s="13" t="str">
        <f t="shared" si="16"/>
        <v>Forecast 2023/24</v>
      </c>
      <c r="I18" s="13" t="str">
        <f t="shared" si="16"/>
        <v>Forecast 2024/25</v>
      </c>
      <c r="J18" s="13" t="str">
        <f t="shared" si="16"/>
        <v>Forecast 2025/26</v>
      </c>
      <c r="K18" s="13" t="str">
        <f t="shared" si="16"/>
        <v>Forecast 2026/27</v>
      </c>
      <c r="L18" s="13" t="str">
        <f t="shared" si="16"/>
        <v>Forecast 2027/28</v>
      </c>
      <c r="M18" s="13" t="str">
        <f t="shared" si="16"/>
        <v>Forecast 2028/29</v>
      </c>
      <c r="N18" s="13" t="str">
        <f t="shared" si="16"/>
        <v>Forecast 2029/30</v>
      </c>
      <c r="O18" s="13" t="str">
        <f t="shared" si="16"/>
        <v>Forecast 2030/31</v>
      </c>
      <c r="P18" s="6"/>
      <c r="Z18" s="2" t="s">
        <v>24</v>
      </c>
      <c r="AA18" s="2" t="s">
        <v>22</v>
      </c>
    </row>
    <row r="19" spans="1:27">
      <c r="A19" s="10" t="str">
        <f>'Template names'!C26</f>
        <v>Next yr of long term forecast</v>
      </c>
      <c r="B19" s="6" t="s">
        <v>1553</v>
      </c>
      <c r="C19" s="6" t="s">
        <v>1552</v>
      </c>
      <c r="D19" s="6" t="s">
        <v>922</v>
      </c>
      <c r="E19" s="13" t="str">
        <f t="shared" ref="E19:O19" si="17">"Forecast "&amp;E1+11&amp;"/"&amp;RIGHT(E1,2)+12</f>
        <v>Forecast 2021/22</v>
      </c>
      <c r="F19" s="13" t="str">
        <f t="shared" si="17"/>
        <v>Forecast 2022/23</v>
      </c>
      <c r="G19" s="13" t="str">
        <f t="shared" si="17"/>
        <v>Forecast 2023/24</v>
      </c>
      <c r="H19" s="13" t="str">
        <f t="shared" si="17"/>
        <v>Forecast 2024/25</v>
      </c>
      <c r="I19" s="13" t="str">
        <f t="shared" si="17"/>
        <v>Forecast 2025/26</v>
      </c>
      <c r="J19" s="13" t="str">
        <f t="shared" si="17"/>
        <v>Forecast 2026/27</v>
      </c>
      <c r="K19" s="13" t="str">
        <f t="shared" si="17"/>
        <v>Forecast 2027/28</v>
      </c>
      <c r="L19" s="13" t="str">
        <f t="shared" si="17"/>
        <v>Forecast 2028/29</v>
      </c>
      <c r="M19" s="13" t="str">
        <f t="shared" si="17"/>
        <v>Forecast 2029/30</v>
      </c>
      <c r="N19" s="13" t="str">
        <f t="shared" si="17"/>
        <v>Forecast 2030/31</v>
      </c>
      <c r="O19" s="13" t="str">
        <f t="shared" si="17"/>
        <v>Forecast 2031/32</v>
      </c>
      <c r="P19" s="6"/>
      <c r="Z19" s="2" t="s">
        <v>28</v>
      </c>
      <c r="AA19" s="2" t="s">
        <v>23</v>
      </c>
    </row>
    <row r="20" spans="1:27">
      <c r="A20" s="10" t="str">
        <f>'Template names'!C27</f>
        <v>Next yr of long term forecast</v>
      </c>
      <c r="B20" s="6" t="s">
        <v>1552</v>
      </c>
      <c r="C20" s="6" t="s">
        <v>922</v>
      </c>
      <c r="D20" s="6" t="s">
        <v>1628</v>
      </c>
      <c r="E20" s="13" t="str">
        <f t="shared" ref="E20:O20" si="18">"Forecast "&amp;E1+12&amp;"/"&amp;RIGHT(E1,2)+13</f>
        <v>Forecast 2022/23</v>
      </c>
      <c r="F20" s="13" t="str">
        <f t="shared" si="18"/>
        <v>Forecast 2023/24</v>
      </c>
      <c r="G20" s="13" t="str">
        <f t="shared" si="18"/>
        <v>Forecast 2024/25</v>
      </c>
      <c r="H20" s="13" t="str">
        <f t="shared" si="18"/>
        <v>Forecast 2025/26</v>
      </c>
      <c r="I20" s="13" t="str">
        <f t="shared" si="18"/>
        <v>Forecast 2026/27</v>
      </c>
      <c r="J20" s="13" t="str">
        <f t="shared" si="18"/>
        <v>Forecast 2027/28</v>
      </c>
      <c r="K20" s="13" t="str">
        <f t="shared" si="18"/>
        <v>Forecast 2028/29</v>
      </c>
      <c r="L20" s="13" t="str">
        <f t="shared" si="18"/>
        <v>Forecast 2029/30</v>
      </c>
      <c r="M20" s="13" t="str">
        <f t="shared" si="18"/>
        <v>Forecast 2030/31</v>
      </c>
      <c r="N20" s="13" t="str">
        <f t="shared" si="18"/>
        <v>Forecast 2031/32</v>
      </c>
      <c r="O20" s="13" t="str">
        <f t="shared" si="18"/>
        <v>Forecast 2032/33</v>
      </c>
      <c r="P20" s="6"/>
      <c r="Z20" s="2" t="s">
        <v>30</v>
      </c>
      <c r="AA20" s="2" t="s">
        <v>137</v>
      </c>
    </row>
    <row r="21" spans="1:27">
      <c r="A21" s="10" t="str">
        <f>'Template names'!C28</f>
        <v>Next yr of long term forecast</v>
      </c>
      <c r="B21" s="6" t="s">
        <v>922</v>
      </c>
      <c r="C21" s="6" t="s">
        <v>1628</v>
      </c>
      <c r="D21" s="6" t="s">
        <v>1111</v>
      </c>
      <c r="E21" s="13" t="str">
        <f t="shared" ref="E21:O21" si="19">"Forecast "&amp;E1+13&amp;"/"&amp;RIGHT(E1,2)+14</f>
        <v>Forecast 2023/24</v>
      </c>
      <c r="F21" s="13" t="str">
        <f t="shared" si="19"/>
        <v>Forecast 2024/25</v>
      </c>
      <c r="G21" s="13" t="str">
        <f t="shared" si="19"/>
        <v>Forecast 2025/26</v>
      </c>
      <c r="H21" s="13" t="str">
        <f t="shared" si="19"/>
        <v>Forecast 2026/27</v>
      </c>
      <c r="I21" s="13" t="str">
        <f t="shared" si="19"/>
        <v>Forecast 2027/28</v>
      </c>
      <c r="J21" s="13" t="str">
        <f t="shared" si="19"/>
        <v>Forecast 2028/29</v>
      </c>
      <c r="K21" s="13" t="str">
        <f t="shared" si="19"/>
        <v>Forecast 2029/30</v>
      </c>
      <c r="L21" s="13" t="str">
        <f t="shared" si="19"/>
        <v>Forecast 2030/31</v>
      </c>
      <c r="M21" s="13" t="str">
        <f t="shared" si="19"/>
        <v>Forecast 2031/32</v>
      </c>
      <c r="N21" s="13" t="str">
        <f t="shared" si="19"/>
        <v>Forecast 2032/33</v>
      </c>
      <c r="O21" s="13" t="str">
        <f t="shared" si="19"/>
        <v>Forecast 2033/34</v>
      </c>
      <c r="P21" s="6"/>
      <c r="Z21" s="2" t="s">
        <v>1571</v>
      </c>
      <c r="AA21" s="2" t="s">
        <v>25</v>
      </c>
    </row>
    <row r="22" spans="1:27">
      <c r="A22" s="10" t="str">
        <f>'Template names'!C29</f>
        <v>Next yr of long term forecast</v>
      </c>
      <c r="B22" s="6" t="s">
        <v>1628</v>
      </c>
      <c r="C22" s="6" t="s">
        <v>1111</v>
      </c>
      <c r="D22" s="6" t="s">
        <v>1374</v>
      </c>
      <c r="E22" s="13" t="str">
        <f t="shared" ref="E22:O22" si="20">"Forecast "&amp;E1+14&amp;"/"&amp;RIGHT(E1,2)+15</f>
        <v>Forecast 2024/25</v>
      </c>
      <c r="F22" s="13" t="str">
        <f t="shared" si="20"/>
        <v>Forecast 2025/26</v>
      </c>
      <c r="G22" s="13" t="str">
        <f t="shared" si="20"/>
        <v>Forecast 2026/27</v>
      </c>
      <c r="H22" s="13" t="str">
        <f t="shared" si="20"/>
        <v>Forecast 2027/28</v>
      </c>
      <c r="I22" s="13" t="str">
        <f t="shared" si="20"/>
        <v>Forecast 2028/29</v>
      </c>
      <c r="J22" s="13" t="str">
        <f t="shared" si="20"/>
        <v>Forecast 2029/30</v>
      </c>
      <c r="K22" s="13" t="str">
        <f t="shared" si="20"/>
        <v>Forecast 2030/31</v>
      </c>
      <c r="L22" s="13" t="str">
        <f t="shared" si="20"/>
        <v>Forecast 2031/32</v>
      </c>
      <c r="M22" s="13" t="str">
        <f t="shared" si="20"/>
        <v>Forecast 2032/33</v>
      </c>
      <c r="N22" s="13" t="str">
        <f t="shared" si="20"/>
        <v>Forecast 2033/34</v>
      </c>
      <c r="O22" s="13" t="str">
        <f t="shared" si="20"/>
        <v>Forecast 2034/35</v>
      </c>
      <c r="P22" s="6"/>
      <c r="Z22" s="2" t="s">
        <v>1996</v>
      </c>
      <c r="AA22" s="2" t="s">
        <v>26</v>
      </c>
    </row>
    <row r="23" spans="1:27">
      <c r="A23" s="10" t="s">
        <v>1377</v>
      </c>
      <c r="B23" s="6" t="s">
        <v>1739</v>
      </c>
      <c r="C23" s="6" t="s">
        <v>1112</v>
      </c>
      <c r="D23" s="6" t="s">
        <v>1375</v>
      </c>
      <c r="E23" s="13" t="str">
        <f t="shared" ref="E23:O23" si="21">"Annual target " &amp; E1&amp;"/"&amp;RIGHT(E1,2)+1</f>
        <v>Annual target 2010/11</v>
      </c>
      <c r="F23" s="13" t="str">
        <f t="shared" si="21"/>
        <v>Annual target 2011/12</v>
      </c>
      <c r="G23" s="13" t="str">
        <f t="shared" si="21"/>
        <v>Annual target 2012/13</v>
      </c>
      <c r="H23" s="13" t="str">
        <f t="shared" si="21"/>
        <v>Annual target 2013/14</v>
      </c>
      <c r="I23" s="13" t="str">
        <f t="shared" si="21"/>
        <v>Annual target 2014/15</v>
      </c>
      <c r="J23" s="13" t="str">
        <f t="shared" si="21"/>
        <v>Annual target 2015/16</v>
      </c>
      <c r="K23" s="13" t="str">
        <f t="shared" si="21"/>
        <v>Annual target 2016/17</v>
      </c>
      <c r="L23" s="13" t="str">
        <f t="shared" si="21"/>
        <v>Annual target 2017/18</v>
      </c>
      <c r="M23" s="13" t="str">
        <f t="shared" si="21"/>
        <v>Annual target 2018/19</v>
      </c>
      <c r="N23" s="13" t="str">
        <f t="shared" si="21"/>
        <v>Annual target 2019/20</v>
      </c>
      <c r="O23" s="13" t="str">
        <f t="shared" si="21"/>
        <v>Annual target 2020/21</v>
      </c>
      <c r="P23" s="6"/>
      <c r="Z23" s="2" t="s">
        <v>1997</v>
      </c>
      <c r="AA23" s="2" t="s">
        <v>27</v>
      </c>
    </row>
    <row r="24" spans="1:27">
      <c r="A24" s="11" t="str">
        <f>A23</f>
        <v>Adjustments Budget</v>
      </c>
      <c r="B24" s="19" t="s">
        <v>1740</v>
      </c>
      <c r="C24" s="19" t="s">
        <v>1113</v>
      </c>
      <c r="D24" s="19" t="s">
        <v>1376</v>
      </c>
      <c r="E24" s="14" t="str">
        <f t="shared" ref="E24:O24" si="22">"Revised target "&amp; E1&amp;"/"&amp;RIGHT(E1,2)+1</f>
        <v>Revised target 2010/11</v>
      </c>
      <c r="F24" s="14" t="str">
        <f t="shared" si="22"/>
        <v>Revised target 2011/12</v>
      </c>
      <c r="G24" s="14" t="str">
        <f t="shared" si="22"/>
        <v>Revised target 2012/13</v>
      </c>
      <c r="H24" s="14" t="str">
        <f t="shared" si="22"/>
        <v>Revised target 2013/14</v>
      </c>
      <c r="I24" s="14" t="str">
        <f t="shared" si="22"/>
        <v>Revised target 2014/15</v>
      </c>
      <c r="J24" s="14" t="str">
        <f t="shared" si="22"/>
        <v>Revised target 2015/16</v>
      </c>
      <c r="K24" s="14" t="str">
        <f t="shared" si="22"/>
        <v>Revised target 2016/17</v>
      </c>
      <c r="L24" s="14" t="str">
        <f t="shared" si="22"/>
        <v>Revised target 2017/18</v>
      </c>
      <c r="M24" s="14" t="str">
        <f t="shared" si="22"/>
        <v>Revised target 2018/19</v>
      </c>
      <c r="N24" s="14" t="str">
        <f t="shared" si="22"/>
        <v>Revised target 2019/20</v>
      </c>
      <c r="O24" s="14" t="str">
        <f t="shared" si="22"/>
        <v>Revised target 2020/21</v>
      </c>
      <c r="P24" s="6"/>
      <c r="Z24" s="2" t="s">
        <v>2002</v>
      </c>
      <c r="AA24" s="2" t="s">
        <v>29</v>
      </c>
    </row>
    <row r="25" spans="1:27" ht="17">
      <c r="A25" s="1022" t="s">
        <v>543</v>
      </c>
      <c r="Z25" s="2" t="s">
        <v>1540</v>
      </c>
      <c r="AA25" s="2" t="s">
        <v>1088</v>
      </c>
    </row>
    <row r="26" spans="1:27">
      <c r="Z26" s="2" t="s">
        <v>136</v>
      </c>
      <c r="AA26" s="2" t="s">
        <v>320</v>
      </c>
    </row>
    <row r="27" spans="1:27" ht="12">
      <c r="A27" s="1520" t="s">
        <v>93</v>
      </c>
      <c r="B27" s="1520">
        <v>238</v>
      </c>
      <c r="C27" s="1520"/>
      <c r="D27" s="1520"/>
      <c r="Z27" s="2" t="s">
        <v>883</v>
      </c>
      <c r="AA27" s="2" t="s">
        <v>138</v>
      </c>
    </row>
    <row r="28" spans="1:27" ht="12">
      <c r="A28" s="1520" t="s">
        <v>92</v>
      </c>
      <c r="B28" s="1520" t="str">
        <f>INDEX(B29:B307,B27,1)</f>
        <v>NW373 Rustenburg</v>
      </c>
      <c r="C28" s="1520"/>
      <c r="D28" s="1520"/>
      <c r="Z28" s="2" t="s">
        <v>293</v>
      </c>
      <c r="AA28" s="2" t="s">
        <v>2</v>
      </c>
    </row>
    <row r="29" spans="1:27" ht="12">
      <c r="A29" s="1520"/>
      <c r="B29" s="1520" t="s">
        <v>91</v>
      </c>
      <c r="C29" s="1520" t="s">
        <v>742</v>
      </c>
      <c r="D29" s="1520"/>
      <c r="AA29" s="2" t="s">
        <v>1591</v>
      </c>
    </row>
    <row r="30" spans="1:27" ht="12">
      <c r="A30" s="1520"/>
      <c r="B30" s="1533" t="s">
        <v>1033</v>
      </c>
      <c r="C30" s="1447" t="s">
        <v>1034</v>
      </c>
      <c r="D30" s="1520"/>
      <c r="AA30" s="2" t="s">
        <v>505</v>
      </c>
    </row>
    <row r="31" spans="1:27" ht="12">
      <c r="A31" s="1520"/>
      <c r="B31" s="1533" t="s">
        <v>1035</v>
      </c>
      <c r="C31" s="1449" t="s">
        <v>117</v>
      </c>
      <c r="D31" s="1520"/>
      <c r="AA31" s="2" t="s">
        <v>1</v>
      </c>
    </row>
    <row r="32" spans="1:27" ht="12">
      <c r="A32" s="1520"/>
      <c r="B32" s="1533" t="s">
        <v>1764</v>
      </c>
      <c r="C32" s="1447" t="s">
        <v>117</v>
      </c>
      <c r="D32" s="1520"/>
      <c r="AA32" s="2" t="s">
        <v>339</v>
      </c>
    </row>
    <row r="33" spans="1:27" ht="12">
      <c r="A33" s="1520"/>
      <c r="B33" s="1533" t="s">
        <v>1751</v>
      </c>
      <c r="C33" s="1447" t="s">
        <v>117</v>
      </c>
      <c r="D33" s="1520"/>
      <c r="AA33" s="2" t="s">
        <v>0</v>
      </c>
    </row>
    <row r="34" spans="1:27" ht="12">
      <c r="A34" s="1520"/>
      <c r="B34" s="1533" t="s">
        <v>1901</v>
      </c>
      <c r="C34" s="1447" t="s">
        <v>117</v>
      </c>
      <c r="D34" s="1520"/>
      <c r="AA34" s="2" t="s">
        <v>1592</v>
      </c>
    </row>
    <row r="35" spans="1:27" ht="12">
      <c r="A35" s="1520"/>
      <c r="B35" s="1533" t="s">
        <v>1753</v>
      </c>
      <c r="C35" s="1447" t="s">
        <v>117</v>
      </c>
      <c r="D35" s="1520"/>
      <c r="AA35" s="2" t="s">
        <v>962</v>
      </c>
    </row>
    <row r="36" spans="1:27" ht="12">
      <c r="A36" s="1520"/>
      <c r="B36" s="1533" t="s">
        <v>1754</v>
      </c>
      <c r="C36" s="1447" t="s">
        <v>1755</v>
      </c>
      <c r="D36" s="1520"/>
      <c r="AA36" s="2" t="s">
        <v>1527</v>
      </c>
    </row>
    <row r="37" spans="1:27" ht="12">
      <c r="A37" s="1520"/>
      <c r="B37" s="1533" t="s">
        <v>1758</v>
      </c>
      <c r="C37" s="1449" t="s">
        <v>1755</v>
      </c>
      <c r="D37" s="1520"/>
      <c r="AA37" s="2" t="s">
        <v>1285</v>
      </c>
    </row>
    <row r="38" spans="1:27" ht="12">
      <c r="A38" s="1520"/>
      <c r="B38" s="1533" t="s">
        <v>1760</v>
      </c>
      <c r="C38" s="1447" t="s">
        <v>1755</v>
      </c>
      <c r="D38" s="1520"/>
      <c r="AA38" s="2" t="s">
        <v>724</v>
      </c>
    </row>
    <row r="39" spans="1:27" ht="12">
      <c r="A39" s="1520"/>
      <c r="B39" s="1533" t="s">
        <v>1966</v>
      </c>
      <c r="C39" s="1982" t="s">
        <v>1034</v>
      </c>
      <c r="D39" s="1520"/>
      <c r="AA39" s="2" t="s">
        <v>503</v>
      </c>
    </row>
    <row r="40" spans="1:27" ht="12">
      <c r="A40" s="1520"/>
      <c r="B40" s="1533" t="s">
        <v>1763</v>
      </c>
      <c r="C40" s="1982" t="s">
        <v>1755</v>
      </c>
      <c r="D40" s="1520"/>
      <c r="AA40" s="2" t="s">
        <v>31</v>
      </c>
    </row>
    <row r="41" spans="1:27" ht="12">
      <c r="A41" s="1520"/>
      <c r="B41" s="1533" t="s">
        <v>1136</v>
      </c>
      <c r="C41" s="1983" t="s">
        <v>1902</v>
      </c>
      <c r="D41" s="1520"/>
      <c r="AA41" s="2" t="s">
        <v>1257</v>
      </c>
    </row>
    <row r="42" spans="1:27" ht="12">
      <c r="A42" s="1520"/>
      <c r="B42" s="1533" t="s">
        <v>1138</v>
      </c>
      <c r="C42" s="1983" t="s">
        <v>1902</v>
      </c>
      <c r="D42" s="1520"/>
      <c r="AA42" s="2" t="s">
        <v>504</v>
      </c>
    </row>
    <row r="43" spans="1:27" ht="12">
      <c r="A43" s="1520"/>
      <c r="B43" s="1533" t="s">
        <v>1140</v>
      </c>
      <c r="C43" s="1983" t="s">
        <v>1902</v>
      </c>
      <c r="D43" s="1520"/>
      <c r="AA43" s="2" t="s">
        <v>632</v>
      </c>
    </row>
    <row r="44" spans="1:27" ht="12">
      <c r="A44" s="1520"/>
      <c r="B44" s="1533" t="s">
        <v>1141</v>
      </c>
      <c r="C44" s="1983" t="s">
        <v>1902</v>
      </c>
      <c r="D44" s="1520"/>
      <c r="AA44" s="2" t="s">
        <v>1998</v>
      </c>
    </row>
    <row r="45" spans="1:27" ht="12">
      <c r="A45" s="1520"/>
      <c r="B45" s="1533" t="s">
        <v>1142</v>
      </c>
      <c r="C45" s="1983" t="s">
        <v>1902</v>
      </c>
      <c r="D45" s="1520"/>
      <c r="AA45" s="2" t="s">
        <v>1999</v>
      </c>
    </row>
    <row r="46" spans="1:27" ht="12">
      <c r="A46" s="1520"/>
      <c r="B46" s="1533" t="s">
        <v>1144</v>
      </c>
      <c r="C46" s="1983" t="s">
        <v>1902</v>
      </c>
      <c r="D46" s="1520"/>
      <c r="AA46" s="2" t="s">
        <v>2000</v>
      </c>
    </row>
    <row r="47" spans="1:27" ht="12">
      <c r="A47" s="1520"/>
      <c r="B47" s="1533" t="s">
        <v>1146</v>
      </c>
      <c r="C47" s="1983" t="s">
        <v>1902</v>
      </c>
      <c r="D47" s="1520"/>
      <c r="AA47" s="2" t="s">
        <v>2001</v>
      </c>
    </row>
    <row r="48" spans="1:27" ht="12">
      <c r="A48" s="1520"/>
      <c r="B48" s="1533" t="s">
        <v>1148</v>
      </c>
      <c r="C48" s="1983" t="s">
        <v>1902</v>
      </c>
      <c r="D48" s="1520"/>
      <c r="AA48" s="2" t="s">
        <v>1245</v>
      </c>
    </row>
    <row r="49" spans="1:27" ht="12">
      <c r="A49" s="1520"/>
      <c r="B49" s="1533" t="s">
        <v>1152</v>
      </c>
      <c r="C49" s="1983" t="s">
        <v>1902</v>
      </c>
      <c r="D49" s="1520"/>
      <c r="AA49" s="2" t="s">
        <v>633</v>
      </c>
    </row>
    <row r="50" spans="1:27" ht="12">
      <c r="A50" s="1520"/>
      <c r="B50" s="1533" t="s">
        <v>1154</v>
      </c>
      <c r="C50" s="1983" t="s">
        <v>1034</v>
      </c>
      <c r="D50" s="1520"/>
      <c r="AA50" s="2" t="s">
        <v>634</v>
      </c>
    </row>
    <row r="51" spans="1:27" ht="12">
      <c r="A51" s="1520"/>
      <c r="B51" s="1533" t="s">
        <v>1155</v>
      </c>
      <c r="C51" s="1982" t="s">
        <v>1156</v>
      </c>
      <c r="D51" s="1520"/>
      <c r="AA51" s="2" t="s">
        <v>1246</v>
      </c>
    </row>
    <row r="52" spans="1:27" ht="12">
      <c r="A52" s="1520"/>
      <c r="B52" s="1533" t="s">
        <v>1158</v>
      </c>
      <c r="C52" s="1982" t="s">
        <v>1156</v>
      </c>
      <c r="D52" s="1520"/>
      <c r="AA52" s="2" t="s">
        <v>1247</v>
      </c>
    </row>
    <row r="53" spans="1:27" ht="12">
      <c r="A53" s="1520"/>
      <c r="B53" s="1533" t="s">
        <v>1159</v>
      </c>
      <c r="C53" s="1982" t="s">
        <v>1156</v>
      </c>
      <c r="D53" s="1520"/>
      <c r="AA53" s="2" t="s">
        <v>1525</v>
      </c>
    </row>
    <row r="54" spans="1:27" ht="12">
      <c r="A54" s="1520"/>
      <c r="B54" s="1533" t="s">
        <v>1161</v>
      </c>
      <c r="C54" s="1982" t="s">
        <v>1156</v>
      </c>
      <c r="D54" s="1520"/>
      <c r="AA54" s="2" t="s">
        <v>322</v>
      </c>
    </row>
    <row r="55" spans="1:27" ht="12">
      <c r="A55" s="1520"/>
      <c r="B55" s="1533" t="s">
        <v>1165</v>
      </c>
      <c r="C55" s="1982" t="s">
        <v>1162</v>
      </c>
      <c r="D55" s="1520"/>
      <c r="AA55" s="2" t="s">
        <v>321</v>
      </c>
    </row>
    <row r="56" spans="1:27" ht="12">
      <c r="A56" s="1520"/>
      <c r="B56" s="1533" t="s">
        <v>1166</v>
      </c>
      <c r="C56" s="1982" t="s">
        <v>1162</v>
      </c>
      <c r="D56" s="1520"/>
      <c r="AA56" s="2" t="s">
        <v>635</v>
      </c>
    </row>
    <row r="57" spans="1:27" ht="12">
      <c r="A57" s="1520"/>
      <c r="B57" s="1533" t="s">
        <v>1167</v>
      </c>
      <c r="C57" s="1446" t="s">
        <v>1162</v>
      </c>
      <c r="D57" s="1520"/>
      <c r="AA57" s="2" t="s">
        <v>973</v>
      </c>
    </row>
    <row r="58" spans="1:27" ht="12">
      <c r="A58" s="1520"/>
      <c r="B58" s="1533" t="s">
        <v>1168</v>
      </c>
      <c r="C58" s="1453" t="s">
        <v>1169</v>
      </c>
      <c r="D58" s="1520"/>
      <c r="AA58" s="2" t="s">
        <v>293</v>
      </c>
    </row>
    <row r="59" spans="1:27" ht="12">
      <c r="A59" s="1520"/>
      <c r="B59" s="1533" t="s">
        <v>1170</v>
      </c>
      <c r="C59" s="1453" t="s">
        <v>1169</v>
      </c>
      <c r="D59" s="1520"/>
    </row>
    <row r="60" spans="1:27" ht="12">
      <c r="A60" s="1520"/>
      <c r="B60" s="1533" t="s">
        <v>1765</v>
      </c>
      <c r="C60" s="1982" t="s">
        <v>1169</v>
      </c>
      <c r="D60" s="1520"/>
      <c r="Z60" s="1168" t="s">
        <v>2261</v>
      </c>
      <c r="AA60" s="1168"/>
    </row>
    <row r="61" spans="1:27" ht="12">
      <c r="A61" s="1520"/>
      <c r="B61" s="1533" t="s">
        <v>1173</v>
      </c>
      <c r="C61" s="1982" t="s">
        <v>1034</v>
      </c>
      <c r="D61" s="1520"/>
      <c r="Z61" s="2290" t="s">
        <v>2068</v>
      </c>
      <c r="AA61" s="2290" t="s">
        <v>2069</v>
      </c>
    </row>
    <row r="62" spans="1:27" ht="12">
      <c r="A62" s="1520"/>
      <c r="B62" s="1533" t="s">
        <v>1766</v>
      </c>
      <c r="C62" s="1982" t="s">
        <v>1169</v>
      </c>
      <c r="D62" s="1520"/>
      <c r="Z62" s="2291" t="s">
        <v>427</v>
      </c>
      <c r="AA62" s="2291" t="s">
        <v>2067</v>
      </c>
    </row>
    <row r="63" spans="1:27" ht="12">
      <c r="A63" s="1520"/>
      <c r="B63" s="1533" t="s">
        <v>1180</v>
      </c>
      <c r="C63" s="1982" t="s">
        <v>1181</v>
      </c>
      <c r="D63" s="1520"/>
      <c r="Z63" s="2291" t="s">
        <v>828</v>
      </c>
      <c r="AA63" s="2291" t="s">
        <v>1688</v>
      </c>
    </row>
    <row r="64" spans="1:27" ht="12">
      <c r="A64" s="1520"/>
      <c r="B64" s="1533" t="s">
        <v>1182</v>
      </c>
      <c r="C64" s="1983" t="s">
        <v>1902</v>
      </c>
      <c r="D64" s="1520"/>
    </row>
    <row r="65" spans="1:26" ht="12">
      <c r="A65" s="1520"/>
      <c r="B65" s="1533" t="s">
        <v>490</v>
      </c>
      <c r="C65" s="1982" t="s">
        <v>117</v>
      </c>
      <c r="D65" s="1520"/>
    </row>
    <row r="66" spans="1:26" ht="12">
      <c r="A66" s="1520"/>
      <c r="B66" s="1533" t="s">
        <v>1903</v>
      </c>
      <c r="C66" s="1982" t="s">
        <v>1186</v>
      </c>
      <c r="D66" s="1520"/>
      <c r="Z66" s="1168" t="s">
        <v>2262</v>
      </c>
    </row>
    <row r="67" spans="1:26" ht="12">
      <c r="A67" s="1520"/>
      <c r="B67" s="1533" t="s">
        <v>1967</v>
      </c>
      <c r="C67" s="1982" t="s">
        <v>1162</v>
      </c>
      <c r="D67" s="1520"/>
      <c r="Z67" s="2" t="s">
        <v>427</v>
      </c>
    </row>
    <row r="68" spans="1:26" ht="12">
      <c r="A68" s="1520"/>
      <c r="B68" s="1533" t="s">
        <v>1183</v>
      </c>
      <c r="C68" s="1982" t="s">
        <v>1181</v>
      </c>
      <c r="D68" s="1520"/>
      <c r="Z68" s="2" t="s">
        <v>828</v>
      </c>
    </row>
    <row r="69" spans="1:26" ht="12">
      <c r="A69" s="1520"/>
      <c r="B69" s="1533" t="s">
        <v>1184</v>
      </c>
      <c r="C69" s="1982" t="s">
        <v>1034</v>
      </c>
      <c r="D69" s="1520"/>
    </row>
    <row r="70" spans="1:26" ht="12">
      <c r="A70" s="1520"/>
      <c r="B70" s="1533" t="s">
        <v>1185</v>
      </c>
      <c r="C70" s="1982" t="s">
        <v>1186</v>
      </c>
      <c r="D70" s="1520"/>
    </row>
    <row r="71" spans="1:26" ht="12">
      <c r="A71" s="1520"/>
      <c r="B71" s="1533" t="s">
        <v>1968</v>
      </c>
      <c r="C71" s="1982" t="s">
        <v>1186</v>
      </c>
      <c r="D71" s="1520"/>
    </row>
    <row r="72" spans="1:26" ht="12">
      <c r="A72" s="1520"/>
      <c r="B72" s="1533" t="s">
        <v>1187</v>
      </c>
      <c r="C72" s="1982" t="s">
        <v>1186</v>
      </c>
      <c r="D72" s="1520"/>
    </row>
    <row r="73" spans="1:26" ht="12">
      <c r="A73" s="1520"/>
      <c r="B73" s="1533" t="s">
        <v>1188</v>
      </c>
      <c r="C73" s="1982" t="s">
        <v>1186</v>
      </c>
      <c r="D73" s="1520"/>
    </row>
    <row r="74" spans="1:26" ht="12">
      <c r="A74" s="1520"/>
      <c r="B74" s="1533" t="s">
        <v>1189</v>
      </c>
      <c r="C74" s="1982" t="s">
        <v>117</v>
      </c>
      <c r="D74" s="1520"/>
    </row>
    <row r="75" spans="1:26" ht="12">
      <c r="A75" s="1520"/>
      <c r="B75" s="1533" t="s">
        <v>1969</v>
      </c>
      <c r="C75" s="1982" t="s">
        <v>117</v>
      </c>
      <c r="D75" s="1520"/>
    </row>
    <row r="76" spans="1:26" ht="12">
      <c r="A76" s="1520"/>
      <c r="B76" s="1533" t="s">
        <v>1190</v>
      </c>
      <c r="C76" s="1982" t="s">
        <v>117</v>
      </c>
      <c r="D76" s="1520"/>
    </row>
    <row r="77" spans="1:26" ht="12">
      <c r="A77" s="1520"/>
      <c r="B77" s="1533" t="s">
        <v>1191</v>
      </c>
      <c r="C77" s="1982" t="s">
        <v>117</v>
      </c>
      <c r="D77" s="1520"/>
    </row>
    <row r="78" spans="1:26" ht="12">
      <c r="A78" s="1520"/>
      <c r="B78" s="1533" t="s">
        <v>1192</v>
      </c>
      <c r="C78" s="1982" t="s">
        <v>117</v>
      </c>
      <c r="D78" s="1520"/>
    </row>
    <row r="79" spans="1:26" ht="12">
      <c r="A79" s="1520"/>
      <c r="B79" s="1533" t="s">
        <v>1193</v>
      </c>
      <c r="C79" s="1982" t="s">
        <v>117</v>
      </c>
      <c r="D79" s="1520"/>
    </row>
    <row r="80" spans="1:26" ht="12">
      <c r="A80" s="1520"/>
      <c r="B80" s="1533" t="s">
        <v>1194</v>
      </c>
      <c r="C80" s="1982" t="s">
        <v>117</v>
      </c>
      <c r="D80" s="1520"/>
    </row>
    <row r="81" spans="1:4" ht="12">
      <c r="A81" s="1520"/>
      <c r="B81" s="1533" t="s">
        <v>1195</v>
      </c>
      <c r="C81" s="1982" t="s">
        <v>117</v>
      </c>
      <c r="D81" s="1520"/>
    </row>
    <row r="82" spans="1:4" ht="12">
      <c r="A82" s="1520"/>
      <c r="B82" s="1533" t="s">
        <v>1196</v>
      </c>
      <c r="C82" s="1982" t="s">
        <v>117</v>
      </c>
      <c r="D82" s="1520"/>
    </row>
    <row r="83" spans="1:4" ht="12">
      <c r="A83" s="1520"/>
      <c r="B83" s="1533" t="s">
        <v>1197</v>
      </c>
      <c r="C83" s="1982" t="s">
        <v>117</v>
      </c>
      <c r="D83" s="1520"/>
    </row>
    <row r="84" spans="1:4" ht="12">
      <c r="A84" s="1520"/>
      <c r="B84" s="1533" t="s">
        <v>1904</v>
      </c>
      <c r="C84" s="1982" t="s">
        <v>117</v>
      </c>
      <c r="D84" s="1520"/>
    </row>
    <row r="85" spans="1:4" ht="12">
      <c r="A85" s="1520"/>
      <c r="B85" s="1533" t="s">
        <v>1198</v>
      </c>
      <c r="C85" s="1982" t="s">
        <v>117</v>
      </c>
      <c r="D85" s="1520"/>
    </row>
    <row r="86" spans="1:4" ht="12">
      <c r="A86" s="1520"/>
      <c r="B86" s="1533" t="s">
        <v>1199</v>
      </c>
      <c r="C86" s="1982" t="s">
        <v>117</v>
      </c>
      <c r="D86" s="1520"/>
    </row>
    <row r="87" spans="1:4" ht="12">
      <c r="A87" s="1520"/>
      <c r="B87" s="1533" t="s">
        <v>1200</v>
      </c>
      <c r="C87" s="1982" t="s">
        <v>117</v>
      </c>
      <c r="D87" s="1520"/>
    </row>
    <row r="88" spans="1:4" ht="12">
      <c r="A88" s="1520"/>
      <c r="B88" s="1533" t="s">
        <v>1201</v>
      </c>
      <c r="C88" s="1982" t="s">
        <v>117</v>
      </c>
      <c r="D88" s="1520"/>
    </row>
    <row r="89" spans="1:4" ht="12">
      <c r="A89" s="1520"/>
      <c r="B89" s="1533" t="s">
        <v>1202</v>
      </c>
      <c r="C89" s="1982" t="s">
        <v>117</v>
      </c>
      <c r="D89" s="1520"/>
    </row>
    <row r="90" spans="1:4" ht="12">
      <c r="A90" s="1520"/>
      <c r="B90" s="1533" t="s">
        <v>1203</v>
      </c>
      <c r="C90" s="1982" t="s">
        <v>117</v>
      </c>
      <c r="D90" s="1520"/>
    </row>
    <row r="91" spans="1:4" ht="12">
      <c r="A91" s="1520"/>
      <c r="B91" s="1533" t="s">
        <v>1204</v>
      </c>
      <c r="C91" s="1982" t="s">
        <v>117</v>
      </c>
      <c r="D91" s="1520"/>
    </row>
    <row r="92" spans="1:4" ht="12">
      <c r="A92" s="1520"/>
      <c r="B92" s="1533" t="s">
        <v>1205</v>
      </c>
      <c r="C92" s="1982" t="s">
        <v>117</v>
      </c>
      <c r="D92" s="1520"/>
    </row>
    <row r="93" spans="1:4" ht="12">
      <c r="A93" s="1520"/>
      <c r="B93" s="1533" t="s">
        <v>1206</v>
      </c>
      <c r="C93" s="1982" t="s">
        <v>117</v>
      </c>
      <c r="D93" s="1520"/>
    </row>
    <row r="94" spans="1:4" ht="12">
      <c r="A94" s="1520"/>
      <c r="B94" s="1533" t="s">
        <v>1207</v>
      </c>
      <c r="C94" s="1982" t="s">
        <v>117</v>
      </c>
      <c r="D94" s="1520"/>
    </row>
    <row r="95" spans="1:4" ht="12">
      <c r="A95" s="1520"/>
      <c r="B95" s="1533" t="s">
        <v>181</v>
      </c>
      <c r="C95" s="1982" t="s">
        <v>117</v>
      </c>
      <c r="D95" s="1520"/>
    </row>
    <row r="96" spans="1:4" ht="12">
      <c r="A96" s="1520"/>
      <c r="B96" s="1533" t="s">
        <v>182</v>
      </c>
      <c r="C96" s="1982" t="s">
        <v>117</v>
      </c>
      <c r="D96" s="1520"/>
    </row>
    <row r="97" spans="1:4" ht="12">
      <c r="A97" s="1520"/>
      <c r="B97" s="1533" t="s">
        <v>183</v>
      </c>
      <c r="C97" s="1982" t="s">
        <v>117</v>
      </c>
      <c r="D97" s="1520"/>
    </row>
    <row r="98" spans="1:4" ht="12">
      <c r="A98" s="1520"/>
      <c r="B98" s="1533" t="s">
        <v>184</v>
      </c>
      <c r="C98" s="1982" t="s">
        <v>117</v>
      </c>
      <c r="D98" s="1520"/>
    </row>
    <row r="99" spans="1:4" ht="12">
      <c r="A99" s="1520"/>
      <c r="B99" s="1533" t="s">
        <v>185</v>
      </c>
      <c r="C99" s="1982" t="s">
        <v>117</v>
      </c>
      <c r="D99" s="1520"/>
    </row>
    <row r="100" spans="1:4" ht="12">
      <c r="A100" s="1520"/>
      <c r="B100" s="1533" t="s">
        <v>186</v>
      </c>
      <c r="C100" s="1982" t="s">
        <v>117</v>
      </c>
      <c r="D100" s="1520"/>
    </row>
    <row r="101" spans="1:4" ht="12">
      <c r="A101" s="1520"/>
      <c r="B101" s="1533" t="s">
        <v>187</v>
      </c>
      <c r="C101" s="1982" t="s">
        <v>117</v>
      </c>
      <c r="D101" s="1520"/>
    </row>
    <row r="102" spans="1:4" ht="12">
      <c r="A102" s="1520"/>
      <c r="B102" s="1533" t="s">
        <v>188</v>
      </c>
      <c r="C102" s="1982" t="s">
        <v>117</v>
      </c>
      <c r="D102" s="1520"/>
    </row>
    <row r="103" spans="1:4" ht="12">
      <c r="A103" s="1520"/>
      <c r="B103" s="1533" t="s">
        <v>857</v>
      </c>
      <c r="C103" s="1982" t="s">
        <v>117</v>
      </c>
      <c r="D103" s="1520"/>
    </row>
    <row r="104" spans="1:4" ht="12">
      <c r="A104" s="1520"/>
      <c r="B104" s="1533" t="s">
        <v>1767</v>
      </c>
      <c r="C104" s="1982" t="s">
        <v>117</v>
      </c>
      <c r="D104" s="1520"/>
    </row>
    <row r="105" spans="1:4" ht="12">
      <c r="A105" s="1520"/>
      <c r="B105" s="1533" t="s">
        <v>858</v>
      </c>
      <c r="C105" s="1982" t="s">
        <v>117</v>
      </c>
      <c r="D105" s="1520"/>
    </row>
    <row r="106" spans="1:4" ht="12">
      <c r="A106" s="1520"/>
      <c r="B106" s="1533" t="s">
        <v>859</v>
      </c>
      <c r="C106" s="1982" t="s">
        <v>117</v>
      </c>
      <c r="D106" s="1520"/>
    </row>
    <row r="107" spans="1:4" ht="12">
      <c r="A107" s="1520"/>
      <c r="B107" s="1533" t="s">
        <v>860</v>
      </c>
      <c r="C107" s="1982" t="s">
        <v>117</v>
      </c>
      <c r="D107" s="1520"/>
    </row>
    <row r="108" spans="1:4" ht="12">
      <c r="A108" s="1520"/>
      <c r="B108" s="1533" t="s">
        <v>861</v>
      </c>
      <c r="C108" s="1982" t="s">
        <v>117</v>
      </c>
      <c r="D108" s="1520"/>
    </row>
    <row r="109" spans="1:4" ht="12">
      <c r="A109" s="1520"/>
      <c r="B109" s="1533" t="s">
        <v>1768</v>
      </c>
      <c r="C109" s="1982" t="s">
        <v>117</v>
      </c>
      <c r="D109" s="1520"/>
    </row>
    <row r="110" spans="1:4" ht="12">
      <c r="A110" s="1520"/>
      <c r="B110" s="1533" t="s">
        <v>1769</v>
      </c>
      <c r="C110" s="1982" t="s">
        <v>117</v>
      </c>
      <c r="D110" s="1520"/>
    </row>
    <row r="111" spans="1:4" ht="12">
      <c r="A111" s="1520"/>
      <c r="B111" s="1533" t="s">
        <v>1970</v>
      </c>
      <c r="C111" s="1982" t="s">
        <v>117</v>
      </c>
      <c r="D111" s="1520"/>
    </row>
    <row r="112" spans="1:4" ht="12">
      <c r="A112" s="1520"/>
      <c r="B112" s="1533" t="s">
        <v>1971</v>
      </c>
      <c r="C112" s="1982" t="s">
        <v>117</v>
      </c>
      <c r="D112" s="1520"/>
    </row>
    <row r="113" spans="1:4" ht="12">
      <c r="A113" s="1520"/>
      <c r="B113" s="1533" t="s">
        <v>1977</v>
      </c>
      <c r="C113" s="1447" t="s">
        <v>1755</v>
      </c>
      <c r="D113" s="1520"/>
    </row>
    <row r="114" spans="1:4" ht="12">
      <c r="A114" s="1520"/>
      <c r="B114" s="1533" t="s">
        <v>862</v>
      </c>
      <c r="C114" s="1447" t="s">
        <v>1755</v>
      </c>
      <c r="D114" s="1520"/>
    </row>
    <row r="115" spans="1:4" ht="12">
      <c r="A115" s="1520"/>
      <c r="B115" s="1533" t="s">
        <v>863</v>
      </c>
      <c r="C115" s="1447" t="s">
        <v>1755</v>
      </c>
      <c r="D115" s="1520"/>
    </row>
    <row r="116" spans="1:4" ht="12">
      <c r="A116" s="1520"/>
      <c r="B116" s="1533" t="s">
        <v>864</v>
      </c>
      <c r="C116" s="1447" t="s">
        <v>1755</v>
      </c>
      <c r="D116" s="1520"/>
    </row>
    <row r="117" spans="1:4" ht="12">
      <c r="A117" s="1520"/>
      <c r="B117" s="1533" t="s">
        <v>1972</v>
      </c>
      <c r="C117" s="1447" t="s">
        <v>1755</v>
      </c>
      <c r="D117" s="1520"/>
    </row>
    <row r="118" spans="1:4" ht="12">
      <c r="A118" s="1520"/>
      <c r="B118" s="1533" t="s">
        <v>865</v>
      </c>
      <c r="C118" s="1447" t="s">
        <v>1755</v>
      </c>
      <c r="D118" s="1520"/>
    </row>
    <row r="119" spans="1:4" ht="12">
      <c r="A119" s="1520"/>
      <c r="B119" s="1533" t="s">
        <v>866</v>
      </c>
      <c r="C119" s="1447" t="s">
        <v>1755</v>
      </c>
      <c r="D119" s="1520"/>
    </row>
    <row r="120" spans="1:4" ht="12">
      <c r="A120" s="1520"/>
      <c r="B120" s="1533" t="s">
        <v>867</v>
      </c>
      <c r="C120" s="1447" t="s">
        <v>1755</v>
      </c>
      <c r="D120" s="1520"/>
    </row>
    <row r="121" spans="1:4" ht="12">
      <c r="A121" s="1520"/>
      <c r="B121" s="1533" t="s">
        <v>868</v>
      </c>
      <c r="C121" s="1447" t="s">
        <v>1755</v>
      </c>
      <c r="D121" s="1520"/>
    </row>
    <row r="122" spans="1:4" ht="12">
      <c r="A122" s="1520"/>
      <c r="B122" s="1533" t="s">
        <v>869</v>
      </c>
      <c r="C122" s="1447" t="s">
        <v>1755</v>
      </c>
      <c r="D122" s="1520"/>
    </row>
    <row r="123" spans="1:4" ht="12">
      <c r="A123" s="1520"/>
      <c r="B123" s="1533" t="s">
        <v>870</v>
      </c>
      <c r="C123" s="1447" t="s">
        <v>1755</v>
      </c>
      <c r="D123" s="1520"/>
    </row>
    <row r="124" spans="1:4" ht="12">
      <c r="A124" s="1520"/>
      <c r="B124" s="1533" t="s">
        <v>871</v>
      </c>
      <c r="C124" s="1447" t="s">
        <v>1755</v>
      </c>
      <c r="D124" s="1520"/>
    </row>
    <row r="125" spans="1:4" ht="12">
      <c r="A125" s="1520"/>
      <c r="B125" s="1533" t="s">
        <v>872</v>
      </c>
      <c r="C125" s="1447" t="s">
        <v>1755</v>
      </c>
      <c r="D125" s="1520"/>
    </row>
    <row r="126" spans="1:4" ht="12">
      <c r="A126" s="1520"/>
      <c r="B126" s="1533" t="s">
        <v>1770</v>
      </c>
      <c r="C126" s="1447" t="s">
        <v>1755</v>
      </c>
      <c r="D126" s="1520"/>
    </row>
    <row r="127" spans="1:4" ht="12">
      <c r="A127" s="1520"/>
      <c r="B127" s="1533" t="s">
        <v>873</v>
      </c>
      <c r="C127" s="1447" t="s">
        <v>1755</v>
      </c>
      <c r="D127" s="1520"/>
    </row>
    <row r="128" spans="1:4" ht="12">
      <c r="A128" s="1520"/>
      <c r="B128" s="1533" t="s">
        <v>1973</v>
      </c>
      <c r="C128" s="1447" t="s">
        <v>1755</v>
      </c>
      <c r="D128" s="1520"/>
    </row>
    <row r="129" spans="1:4" ht="12">
      <c r="A129" s="1520"/>
      <c r="B129" s="1533" t="s">
        <v>874</v>
      </c>
      <c r="C129" s="1447" t="s">
        <v>1755</v>
      </c>
      <c r="D129" s="1520"/>
    </row>
    <row r="130" spans="1:4" ht="12">
      <c r="A130" s="1520"/>
      <c r="B130" s="1533" t="s">
        <v>875</v>
      </c>
      <c r="C130" s="1447" t="s">
        <v>1755</v>
      </c>
      <c r="D130" s="1520"/>
    </row>
    <row r="131" spans="1:4" ht="12">
      <c r="A131" s="1520"/>
      <c r="B131" s="1533" t="s">
        <v>901</v>
      </c>
      <c r="C131" s="1447" t="s">
        <v>1755</v>
      </c>
      <c r="D131" s="1520"/>
    </row>
    <row r="132" spans="1:4" ht="12">
      <c r="A132" s="1520"/>
      <c r="B132" s="1533" t="s">
        <v>902</v>
      </c>
      <c r="C132" s="1447" t="s">
        <v>1755</v>
      </c>
      <c r="D132" s="1520"/>
    </row>
    <row r="133" spans="1:4" ht="12">
      <c r="A133" s="1520"/>
      <c r="B133" s="1533" t="s">
        <v>903</v>
      </c>
      <c r="C133" s="1982" t="s">
        <v>1181</v>
      </c>
      <c r="D133" s="1520"/>
    </row>
    <row r="134" spans="1:4" ht="12">
      <c r="A134" s="1520"/>
      <c r="B134" s="1533" t="s">
        <v>904</v>
      </c>
      <c r="C134" s="1982" t="s">
        <v>1181</v>
      </c>
      <c r="D134" s="1520"/>
    </row>
    <row r="135" spans="1:4" ht="12">
      <c r="A135" s="1520"/>
      <c r="B135" s="1533" t="s">
        <v>905</v>
      </c>
      <c r="C135" s="1982" t="s">
        <v>1181</v>
      </c>
      <c r="D135" s="1520"/>
    </row>
    <row r="136" spans="1:4" ht="12">
      <c r="A136" s="1520"/>
      <c r="B136" s="1533" t="s">
        <v>906</v>
      </c>
      <c r="C136" s="1982" t="s">
        <v>1181</v>
      </c>
      <c r="D136" s="1520"/>
    </row>
    <row r="137" spans="1:4" ht="12">
      <c r="A137" s="1520"/>
      <c r="B137" s="1533" t="s">
        <v>907</v>
      </c>
      <c r="C137" s="1982" t="s">
        <v>1181</v>
      </c>
      <c r="D137" s="1520"/>
    </row>
    <row r="138" spans="1:4" ht="12">
      <c r="A138" s="1520"/>
      <c r="B138" s="1533" t="s">
        <v>245</v>
      </c>
      <c r="C138" s="1982" t="s">
        <v>1181</v>
      </c>
      <c r="D138" s="1520"/>
    </row>
    <row r="139" spans="1:4" ht="12">
      <c r="A139" s="1520"/>
      <c r="B139" s="1533" t="s">
        <v>835</v>
      </c>
      <c r="C139" s="1982" t="s">
        <v>1181</v>
      </c>
      <c r="D139" s="1520"/>
    </row>
    <row r="140" spans="1:4" ht="12">
      <c r="A140" s="1520"/>
      <c r="B140" s="1533" t="s">
        <v>836</v>
      </c>
      <c r="C140" s="1982" t="s">
        <v>1181</v>
      </c>
      <c r="D140" s="1520"/>
    </row>
    <row r="141" spans="1:4" ht="12">
      <c r="A141" s="1520"/>
      <c r="B141" s="1533" t="s">
        <v>837</v>
      </c>
      <c r="C141" s="1982" t="s">
        <v>1181</v>
      </c>
      <c r="D141" s="1520"/>
    </row>
    <row r="142" spans="1:4" ht="12">
      <c r="A142" s="1520"/>
      <c r="B142" s="1533" t="s">
        <v>1905</v>
      </c>
      <c r="C142" s="1982" t="s">
        <v>1181</v>
      </c>
      <c r="D142" s="1520"/>
    </row>
    <row r="143" spans="1:4" ht="12">
      <c r="A143" s="1520"/>
      <c r="B143" s="1533" t="s">
        <v>1771</v>
      </c>
      <c r="C143" s="1983" t="s">
        <v>1902</v>
      </c>
      <c r="D143" s="1520"/>
    </row>
    <row r="144" spans="1:4" ht="12">
      <c r="A144" s="1520"/>
      <c r="B144" s="1533" t="s">
        <v>1772</v>
      </c>
      <c r="C144" s="1983" t="s">
        <v>1902</v>
      </c>
      <c r="D144" s="1520"/>
    </row>
    <row r="145" spans="1:4" ht="12">
      <c r="A145" s="1520"/>
      <c r="B145" s="1533" t="s">
        <v>1773</v>
      </c>
      <c r="C145" s="1983" t="s">
        <v>1902</v>
      </c>
      <c r="D145" s="1520"/>
    </row>
    <row r="146" spans="1:4" ht="12">
      <c r="A146" s="1520"/>
      <c r="B146" s="1533" t="s">
        <v>1774</v>
      </c>
      <c r="C146" s="1983" t="s">
        <v>1902</v>
      </c>
      <c r="D146" s="1520"/>
    </row>
    <row r="147" spans="1:4" ht="12">
      <c r="A147" s="1520"/>
      <c r="B147" s="1533" t="s">
        <v>1775</v>
      </c>
      <c r="C147" s="1983" t="s">
        <v>1902</v>
      </c>
      <c r="D147" s="1520"/>
    </row>
    <row r="148" spans="1:4" ht="12">
      <c r="A148" s="1520"/>
      <c r="B148" s="1533" t="s">
        <v>1906</v>
      </c>
      <c r="C148" s="1983" t="s">
        <v>1902</v>
      </c>
      <c r="D148" s="1520"/>
    </row>
    <row r="149" spans="1:4" ht="12">
      <c r="A149" s="1520"/>
      <c r="B149" s="1533" t="s">
        <v>1776</v>
      </c>
      <c r="C149" s="1983" t="s">
        <v>1902</v>
      </c>
      <c r="D149" s="1520"/>
    </row>
    <row r="150" spans="1:4" ht="12">
      <c r="A150" s="1520"/>
      <c r="B150" s="1533" t="s">
        <v>1777</v>
      </c>
      <c r="C150" s="1983" t="s">
        <v>1902</v>
      </c>
      <c r="D150" s="1520"/>
    </row>
    <row r="151" spans="1:4" ht="12">
      <c r="A151" s="1520"/>
      <c r="B151" s="1533" t="s">
        <v>1778</v>
      </c>
      <c r="C151" s="1983" t="s">
        <v>1902</v>
      </c>
      <c r="D151" s="1520"/>
    </row>
    <row r="152" spans="1:4" ht="12">
      <c r="A152" s="1520"/>
      <c r="B152" s="1533" t="s">
        <v>1779</v>
      </c>
      <c r="C152" s="1983" t="s">
        <v>1902</v>
      </c>
      <c r="D152" s="1520"/>
    </row>
    <row r="153" spans="1:4" ht="12">
      <c r="A153" s="1520"/>
      <c r="B153" s="1533" t="s">
        <v>1780</v>
      </c>
      <c r="C153" s="1983" t="s">
        <v>1902</v>
      </c>
      <c r="D153" s="1520"/>
    </row>
    <row r="154" spans="1:4" ht="12">
      <c r="A154" s="1520"/>
      <c r="B154" s="1533" t="s">
        <v>1781</v>
      </c>
      <c r="C154" s="1983" t="s">
        <v>1902</v>
      </c>
      <c r="D154" s="1520"/>
    </row>
    <row r="155" spans="1:4" ht="12">
      <c r="A155" s="1520"/>
      <c r="B155" s="1533" t="s">
        <v>1782</v>
      </c>
      <c r="C155" s="1983" t="s">
        <v>1902</v>
      </c>
      <c r="D155" s="1520"/>
    </row>
    <row r="156" spans="1:4" ht="12">
      <c r="A156" s="1520"/>
      <c r="B156" s="1533" t="s">
        <v>1783</v>
      </c>
      <c r="C156" s="1983" t="s">
        <v>1902</v>
      </c>
      <c r="D156" s="1520"/>
    </row>
    <row r="157" spans="1:4" ht="12">
      <c r="A157" s="1520"/>
      <c r="B157" s="1533" t="s">
        <v>1784</v>
      </c>
      <c r="C157" s="1983" t="s">
        <v>1902</v>
      </c>
      <c r="D157" s="1520"/>
    </row>
    <row r="158" spans="1:4" ht="12">
      <c r="A158" s="1520"/>
      <c r="B158" s="1533" t="s">
        <v>1785</v>
      </c>
      <c r="C158" s="1983" t="s">
        <v>1902</v>
      </c>
      <c r="D158" s="1520"/>
    </row>
    <row r="159" spans="1:4" ht="12">
      <c r="A159" s="1520"/>
      <c r="B159" s="1533" t="s">
        <v>1786</v>
      </c>
      <c r="C159" s="1983" t="s">
        <v>1902</v>
      </c>
      <c r="D159" s="1520"/>
    </row>
    <row r="160" spans="1:4" ht="12">
      <c r="A160" s="1520"/>
      <c r="B160" s="1533" t="s">
        <v>1787</v>
      </c>
      <c r="C160" s="1983" t="s">
        <v>1902</v>
      </c>
      <c r="D160" s="1520"/>
    </row>
    <row r="161" spans="1:4" ht="12">
      <c r="A161" s="1520"/>
      <c r="B161" s="1533" t="s">
        <v>1788</v>
      </c>
      <c r="C161" s="1983" t="s">
        <v>1902</v>
      </c>
      <c r="D161" s="1520"/>
    </row>
    <row r="162" spans="1:4" ht="12">
      <c r="A162" s="1520"/>
      <c r="B162" s="1533" t="s">
        <v>1789</v>
      </c>
      <c r="C162" s="1983" t="s">
        <v>1902</v>
      </c>
      <c r="D162" s="1520"/>
    </row>
    <row r="163" spans="1:4" ht="12">
      <c r="A163" s="1520"/>
      <c r="B163" s="1533" t="s">
        <v>1790</v>
      </c>
      <c r="C163" s="1983" t="s">
        <v>1902</v>
      </c>
      <c r="D163" s="1520"/>
    </row>
    <row r="164" spans="1:4" ht="12">
      <c r="A164" s="1520"/>
      <c r="B164" s="1533" t="s">
        <v>1791</v>
      </c>
      <c r="C164" s="1983" t="s">
        <v>1902</v>
      </c>
      <c r="D164" s="1520"/>
    </row>
    <row r="165" spans="1:4" ht="12">
      <c r="A165" s="1520"/>
      <c r="B165" s="1533" t="s">
        <v>1792</v>
      </c>
      <c r="C165" s="1983" t="s">
        <v>1902</v>
      </c>
      <c r="D165" s="1520"/>
    </row>
    <row r="166" spans="1:4" ht="12">
      <c r="A166" s="1520"/>
      <c r="B166" s="1533" t="s">
        <v>1793</v>
      </c>
      <c r="C166" s="1983" t="s">
        <v>1902</v>
      </c>
      <c r="D166" s="1520"/>
    </row>
    <row r="167" spans="1:4" ht="12">
      <c r="A167" s="1520"/>
      <c r="B167" s="1533" t="s">
        <v>1794</v>
      </c>
      <c r="C167" s="1983" t="s">
        <v>1902</v>
      </c>
      <c r="D167" s="1520"/>
    </row>
    <row r="168" spans="1:4" ht="12">
      <c r="A168" s="1520"/>
      <c r="B168" s="1533" t="s">
        <v>1795</v>
      </c>
      <c r="C168" s="1983" t="s">
        <v>1902</v>
      </c>
      <c r="D168" s="1520"/>
    </row>
    <row r="169" spans="1:4" ht="12">
      <c r="A169" s="1520"/>
      <c r="B169" s="1533" t="s">
        <v>1796</v>
      </c>
      <c r="C169" s="1983" t="s">
        <v>1902</v>
      </c>
      <c r="D169" s="1520"/>
    </row>
    <row r="170" spans="1:4" ht="12">
      <c r="A170" s="1520"/>
      <c r="B170" s="1533" t="s">
        <v>1797</v>
      </c>
      <c r="C170" s="1983" t="s">
        <v>1902</v>
      </c>
      <c r="D170" s="1520"/>
    </row>
    <row r="171" spans="1:4" ht="12">
      <c r="A171" s="1520"/>
      <c r="B171" s="1533" t="s">
        <v>46</v>
      </c>
      <c r="C171" s="1983" t="s">
        <v>1902</v>
      </c>
      <c r="D171" s="1520"/>
    </row>
    <row r="172" spans="1:4" ht="12">
      <c r="A172" s="1520"/>
      <c r="B172" s="1533" t="s">
        <v>47</v>
      </c>
      <c r="C172" s="1983" t="s">
        <v>1902</v>
      </c>
      <c r="D172" s="1520"/>
    </row>
    <row r="173" spans="1:4" ht="12">
      <c r="A173" s="1520"/>
      <c r="B173" s="1533" t="s">
        <v>48</v>
      </c>
      <c r="C173" s="1983" t="s">
        <v>1902</v>
      </c>
      <c r="D173" s="1520"/>
    </row>
    <row r="174" spans="1:4" ht="12">
      <c r="A174" s="1520"/>
      <c r="B174" s="1533" t="s">
        <v>49</v>
      </c>
      <c r="C174" s="1983" t="s">
        <v>1902</v>
      </c>
      <c r="D174" s="1520"/>
    </row>
    <row r="175" spans="1:4" ht="12">
      <c r="A175" s="1520"/>
      <c r="B175" s="1533" t="s">
        <v>50</v>
      </c>
      <c r="C175" s="1983" t="s">
        <v>1902</v>
      </c>
      <c r="D175" s="1520"/>
    </row>
    <row r="176" spans="1:4" ht="12">
      <c r="A176" s="1520"/>
      <c r="B176" s="1533" t="s">
        <v>1907</v>
      </c>
      <c r="C176" s="1983" t="s">
        <v>1902</v>
      </c>
      <c r="D176" s="1520"/>
    </row>
    <row r="177" spans="1:4" ht="12">
      <c r="A177" s="1520"/>
      <c r="B177" s="1533" t="s">
        <v>51</v>
      </c>
      <c r="C177" s="1983" t="s">
        <v>1902</v>
      </c>
      <c r="D177" s="1520"/>
    </row>
    <row r="178" spans="1:4" ht="12">
      <c r="A178" s="1520"/>
      <c r="B178" s="1533" t="s">
        <v>52</v>
      </c>
      <c r="C178" s="1983" t="s">
        <v>1902</v>
      </c>
      <c r="D178" s="1520"/>
    </row>
    <row r="179" spans="1:4" ht="12">
      <c r="A179" s="1520"/>
      <c r="B179" s="1533" t="s">
        <v>1908</v>
      </c>
      <c r="C179" s="1983" t="s">
        <v>1902</v>
      </c>
      <c r="D179" s="1520"/>
    </row>
    <row r="180" spans="1:4" ht="12">
      <c r="A180" s="1520"/>
      <c r="B180" s="1533" t="s">
        <v>53</v>
      </c>
      <c r="C180" s="1983" t="s">
        <v>1902</v>
      </c>
      <c r="D180" s="1520"/>
    </row>
    <row r="181" spans="1:4" ht="12">
      <c r="A181" s="1520"/>
      <c r="B181" s="1533" t="s">
        <v>54</v>
      </c>
      <c r="C181" s="1983" t="s">
        <v>1902</v>
      </c>
      <c r="D181" s="1520"/>
    </row>
    <row r="182" spans="1:4" ht="12">
      <c r="A182" s="1520"/>
      <c r="B182" s="1533" t="s">
        <v>1909</v>
      </c>
      <c r="C182" s="1983" t="s">
        <v>1902</v>
      </c>
      <c r="D182" s="1520"/>
    </row>
    <row r="183" spans="1:4" ht="12">
      <c r="A183" s="1520"/>
      <c r="B183" s="1533" t="s">
        <v>55</v>
      </c>
      <c r="C183" s="1983" t="s">
        <v>1902</v>
      </c>
      <c r="D183" s="1520"/>
    </row>
    <row r="184" spans="1:4" ht="12">
      <c r="A184" s="1520"/>
      <c r="B184" s="1533" t="s">
        <v>56</v>
      </c>
      <c r="C184" s="1983" t="s">
        <v>1902</v>
      </c>
      <c r="D184" s="1520"/>
    </row>
    <row r="185" spans="1:4" ht="12">
      <c r="A185" s="1520"/>
      <c r="B185" s="1533" t="s">
        <v>57</v>
      </c>
      <c r="C185" s="1983" t="s">
        <v>1902</v>
      </c>
      <c r="D185" s="1520"/>
    </row>
    <row r="186" spans="1:4" ht="12">
      <c r="A186" s="1520"/>
      <c r="B186" s="1533" t="s">
        <v>58</v>
      </c>
      <c r="C186" s="1983" t="s">
        <v>1902</v>
      </c>
      <c r="D186" s="1520"/>
    </row>
    <row r="187" spans="1:4" ht="12">
      <c r="A187" s="1520"/>
      <c r="B187" s="1533" t="s">
        <v>59</v>
      </c>
      <c r="C187" s="1983" t="s">
        <v>1902</v>
      </c>
      <c r="D187" s="1520"/>
    </row>
    <row r="188" spans="1:4" ht="12">
      <c r="A188" s="1520"/>
      <c r="B188" s="1533" t="s">
        <v>60</v>
      </c>
      <c r="C188" s="1983" t="s">
        <v>1902</v>
      </c>
      <c r="D188" s="1520"/>
    </row>
    <row r="189" spans="1:4" ht="12">
      <c r="A189" s="1520"/>
      <c r="B189" s="1533" t="s">
        <v>61</v>
      </c>
      <c r="C189" s="1983" t="s">
        <v>1902</v>
      </c>
      <c r="D189" s="1520"/>
    </row>
    <row r="190" spans="1:4" ht="12">
      <c r="A190" s="1520"/>
      <c r="B190" s="1533" t="s">
        <v>62</v>
      </c>
      <c r="C190" s="1983" t="s">
        <v>1902</v>
      </c>
      <c r="D190" s="1520"/>
    </row>
    <row r="191" spans="1:4" ht="12">
      <c r="A191" s="1520"/>
      <c r="B191" s="1533" t="s">
        <v>63</v>
      </c>
      <c r="C191" s="1983" t="s">
        <v>1902</v>
      </c>
      <c r="D191" s="1520"/>
    </row>
    <row r="192" spans="1:4" ht="12">
      <c r="A192" s="1520"/>
      <c r="B192" s="1533" t="s">
        <v>64</v>
      </c>
      <c r="C192" s="1983" t="s">
        <v>1902</v>
      </c>
      <c r="D192" s="1520"/>
    </row>
    <row r="193" spans="1:4" ht="12">
      <c r="A193" s="1520"/>
      <c r="B193" s="1533" t="s">
        <v>65</v>
      </c>
      <c r="C193" s="1983" t="s">
        <v>1902</v>
      </c>
      <c r="D193" s="1520"/>
    </row>
    <row r="194" spans="1:4" ht="12">
      <c r="A194" s="1520"/>
      <c r="B194" s="1533" t="s">
        <v>66</v>
      </c>
      <c r="C194" s="1982" t="s">
        <v>1162</v>
      </c>
      <c r="D194" s="1520"/>
    </row>
    <row r="195" spans="1:4" ht="12">
      <c r="A195" s="1520"/>
      <c r="B195" s="1533" t="s">
        <v>67</v>
      </c>
      <c r="C195" s="1982" t="s">
        <v>1162</v>
      </c>
      <c r="D195" s="1520"/>
    </row>
    <row r="196" spans="1:4" ht="12">
      <c r="A196" s="1520"/>
      <c r="B196" s="1533" t="s">
        <v>68</v>
      </c>
      <c r="C196" s="1982" t="s">
        <v>1162</v>
      </c>
      <c r="D196" s="1520"/>
    </row>
    <row r="197" spans="1:4" ht="12">
      <c r="A197" s="1520"/>
      <c r="B197" s="1533" t="s">
        <v>69</v>
      </c>
      <c r="C197" s="1982" t="s">
        <v>1162</v>
      </c>
      <c r="D197" s="1520"/>
    </row>
    <row r="198" spans="1:4" ht="12">
      <c r="A198" s="1520"/>
      <c r="B198" s="1533" t="s">
        <v>70</v>
      </c>
      <c r="C198" s="1982" t="s">
        <v>1162</v>
      </c>
      <c r="D198" s="1520"/>
    </row>
    <row r="199" spans="1:4" ht="12">
      <c r="A199" s="1520"/>
      <c r="B199" s="1533" t="s">
        <v>71</v>
      </c>
      <c r="C199" s="1982" t="s">
        <v>1162</v>
      </c>
      <c r="D199" s="1520"/>
    </row>
    <row r="200" spans="1:4" ht="12">
      <c r="A200" s="1520"/>
      <c r="B200" s="1533" t="s">
        <v>72</v>
      </c>
      <c r="C200" s="1982" t="s">
        <v>1162</v>
      </c>
      <c r="D200" s="1520"/>
    </row>
    <row r="201" spans="1:4" ht="12">
      <c r="A201" s="1520"/>
      <c r="B201" s="1533" t="s">
        <v>73</v>
      </c>
      <c r="C201" s="1982" t="s">
        <v>1162</v>
      </c>
      <c r="D201" s="1520"/>
    </row>
    <row r="202" spans="1:4" ht="12">
      <c r="A202" s="1520"/>
      <c r="B202" s="1533" t="s">
        <v>74</v>
      </c>
      <c r="C202" s="1982" t="s">
        <v>1162</v>
      </c>
      <c r="D202" s="1520"/>
    </row>
    <row r="203" spans="1:4" ht="12">
      <c r="A203" s="1520"/>
      <c r="B203" s="1533" t="s">
        <v>75</v>
      </c>
      <c r="C203" s="1982" t="s">
        <v>1162</v>
      </c>
      <c r="D203" s="1520"/>
    </row>
    <row r="204" spans="1:4" ht="12">
      <c r="A204" s="1520"/>
      <c r="B204" s="1533" t="s">
        <v>76</v>
      </c>
      <c r="C204" s="1982" t="s">
        <v>1162</v>
      </c>
      <c r="D204" s="1520"/>
    </row>
    <row r="205" spans="1:4" ht="12">
      <c r="A205" s="1520"/>
      <c r="B205" s="1533" t="s">
        <v>77</v>
      </c>
      <c r="C205" s="1982" t="s">
        <v>1162</v>
      </c>
      <c r="D205" s="1520"/>
    </row>
    <row r="206" spans="1:4" ht="12">
      <c r="A206" s="1520"/>
      <c r="B206" s="1533" t="s">
        <v>78</v>
      </c>
      <c r="C206" s="1982" t="s">
        <v>1162</v>
      </c>
      <c r="D206" s="1520"/>
    </row>
    <row r="207" spans="1:4" ht="12">
      <c r="A207" s="1520"/>
      <c r="B207" s="1533" t="s">
        <v>79</v>
      </c>
      <c r="C207" s="1982" t="s">
        <v>1162</v>
      </c>
      <c r="D207" s="1520"/>
    </row>
    <row r="208" spans="1:4" ht="12">
      <c r="A208" s="1520"/>
      <c r="B208" s="1533" t="s">
        <v>80</v>
      </c>
      <c r="C208" s="1982" t="s">
        <v>1162</v>
      </c>
      <c r="D208" s="1520"/>
    </row>
    <row r="209" spans="1:4" ht="12">
      <c r="A209" s="1520"/>
      <c r="B209" s="1533" t="s">
        <v>81</v>
      </c>
      <c r="C209" s="1982" t="s">
        <v>1162</v>
      </c>
      <c r="D209" s="1520"/>
    </row>
    <row r="210" spans="1:4" ht="12">
      <c r="A210" s="1520"/>
      <c r="B210" s="1533" t="s">
        <v>82</v>
      </c>
      <c r="C210" s="1982" t="s">
        <v>1162</v>
      </c>
      <c r="D210" s="1520"/>
    </row>
    <row r="211" spans="1:4" ht="12">
      <c r="A211" s="1520"/>
      <c r="B211" s="1533" t="s">
        <v>83</v>
      </c>
      <c r="C211" s="1982" t="s">
        <v>1162</v>
      </c>
      <c r="D211" s="1520"/>
    </row>
    <row r="212" spans="1:4" ht="12">
      <c r="A212" s="1520"/>
      <c r="B212" s="1533" t="s">
        <v>84</v>
      </c>
      <c r="C212" s="1982" t="s">
        <v>1162</v>
      </c>
      <c r="D212" s="1520"/>
    </row>
    <row r="213" spans="1:4" ht="12">
      <c r="A213" s="1520"/>
      <c r="B213" s="1533" t="s">
        <v>85</v>
      </c>
      <c r="C213" s="1982" t="s">
        <v>1162</v>
      </c>
      <c r="D213" s="1520"/>
    </row>
    <row r="214" spans="1:4" ht="12">
      <c r="A214" s="1520"/>
      <c r="B214" s="1533" t="s">
        <v>1910</v>
      </c>
      <c r="C214" s="1982" t="s">
        <v>1162</v>
      </c>
      <c r="D214" s="1520"/>
    </row>
    <row r="215" spans="1:4" ht="12">
      <c r="A215" s="1520"/>
      <c r="B215" s="1533" t="s">
        <v>86</v>
      </c>
      <c r="C215" s="1982" t="s">
        <v>1162</v>
      </c>
      <c r="D215" s="1520"/>
    </row>
    <row r="216" spans="1:4" ht="12">
      <c r="A216" s="1520"/>
      <c r="B216" s="1533" t="s">
        <v>1911</v>
      </c>
      <c r="C216" s="1982" t="s">
        <v>1162</v>
      </c>
      <c r="D216" s="1520"/>
    </row>
    <row r="217" spans="1:4" ht="12">
      <c r="A217" s="1520"/>
      <c r="B217" s="1533" t="s">
        <v>87</v>
      </c>
      <c r="C217" s="1982" t="s">
        <v>1162</v>
      </c>
      <c r="D217" s="1520"/>
    </row>
    <row r="218" spans="1:4" ht="12">
      <c r="A218" s="1520"/>
      <c r="B218" s="1533" t="s">
        <v>88</v>
      </c>
      <c r="C218" s="1982" t="s">
        <v>1162</v>
      </c>
      <c r="D218" s="1520"/>
    </row>
    <row r="219" spans="1:4" ht="12">
      <c r="A219" s="1520"/>
      <c r="B219" s="1533" t="s">
        <v>838</v>
      </c>
      <c r="C219" s="1982" t="s">
        <v>1156</v>
      </c>
      <c r="D219" s="1520"/>
    </row>
    <row r="220" spans="1:4" ht="12">
      <c r="A220" s="1520"/>
      <c r="B220" s="1533" t="s">
        <v>839</v>
      </c>
      <c r="C220" s="1982" t="s">
        <v>1156</v>
      </c>
      <c r="D220" s="1520"/>
    </row>
    <row r="221" spans="1:4" ht="12">
      <c r="A221" s="1520"/>
      <c r="B221" s="1533" t="s">
        <v>840</v>
      </c>
      <c r="C221" s="1982" t="s">
        <v>1156</v>
      </c>
      <c r="D221" s="1520"/>
    </row>
    <row r="222" spans="1:4" ht="12">
      <c r="A222" s="1520"/>
      <c r="B222" s="1533" t="s">
        <v>1912</v>
      </c>
      <c r="C222" s="1982" t="s">
        <v>1156</v>
      </c>
      <c r="D222" s="1520"/>
    </row>
    <row r="223" spans="1:4" ht="12">
      <c r="A223" s="1520"/>
      <c r="B223" s="1533" t="s">
        <v>841</v>
      </c>
      <c r="C223" s="1982" t="s">
        <v>1156</v>
      </c>
      <c r="D223" s="1520"/>
    </row>
    <row r="224" spans="1:4" ht="12">
      <c r="A224" s="1520"/>
      <c r="B224" s="1533" t="s">
        <v>842</v>
      </c>
      <c r="C224" s="1982" t="s">
        <v>1156</v>
      </c>
      <c r="D224" s="1520"/>
    </row>
    <row r="225" spans="1:4" ht="12">
      <c r="A225" s="1520"/>
      <c r="B225" s="1533" t="s">
        <v>843</v>
      </c>
      <c r="C225" s="1982" t="s">
        <v>1156</v>
      </c>
      <c r="D225" s="1520"/>
    </row>
    <row r="226" spans="1:4" ht="12">
      <c r="A226" s="1520"/>
      <c r="B226" s="1533" t="s">
        <v>1913</v>
      </c>
      <c r="C226" s="1982" t="s">
        <v>1156</v>
      </c>
      <c r="D226" s="1520"/>
    </row>
    <row r="227" spans="1:4" ht="12">
      <c r="A227" s="1520"/>
      <c r="B227" s="1533" t="s">
        <v>1974</v>
      </c>
      <c r="C227" s="1982" t="s">
        <v>1156</v>
      </c>
      <c r="D227" s="1520"/>
    </row>
    <row r="228" spans="1:4" ht="12">
      <c r="A228" s="1520"/>
      <c r="B228" s="1533" t="s">
        <v>844</v>
      </c>
      <c r="C228" s="1982" t="s">
        <v>1156</v>
      </c>
      <c r="D228" s="1520"/>
    </row>
    <row r="229" spans="1:4" ht="12">
      <c r="A229" s="1520"/>
      <c r="B229" s="1533" t="s">
        <v>845</v>
      </c>
      <c r="C229" s="1982" t="s">
        <v>1156</v>
      </c>
      <c r="D229" s="1520"/>
    </row>
    <row r="230" spans="1:4" ht="12">
      <c r="A230" s="1520"/>
      <c r="B230" s="1533" t="s">
        <v>1975</v>
      </c>
      <c r="C230" s="1982" t="s">
        <v>1156</v>
      </c>
      <c r="D230" s="1520"/>
    </row>
    <row r="231" spans="1:4" ht="12">
      <c r="A231" s="1520"/>
      <c r="B231" s="1533" t="s">
        <v>89</v>
      </c>
      <c r="C231" s="1982" t="s">
        <v>1156</v>
      </c>
      <c r="D231" s="1520"/>
    </row>
    <row r="232" spans="1:4" ht="12">
      <c r="A232" s="1520"/>
      <c r="B232" s="1533" t="s">
        <v>846</v>
      </c>
      <c r="C232" s="1982" t="s">
        <v>1156</v>
      </c>
      <c r="D232" s="1520"/>
    </row>
    <row r="233" spans="1:4" ht="12">
      <c r="A233" s="1520"/>
      <c r="B233" s="1533" t="s">
        <v>847</v>
      </c>
      <c r="C233" s="1982" t="s">
        <v>1156</v>
      </c>
      <c r="D233" s="1520"/>
    </row>
    <row r="234" spans="1:4" ht="12">
      <c r="A234" s="1520"/>
      <c r="B234" s="1533" t="s">
        <v>848</v>
      </c>
      <c r="C234" s="1982" t="s">
        <v>1156</v>
      </c>
      <c r="D234" s="1520"/>
    </row>
    <row r="235" spans="1:4" ht="12">
      <c r="A235" s="1520"/>
      <c r="B235" s="1533" t="s">
        <v>849</v>
      </c>
      <c r="C235" s="1982" t="s">
        <v>1156</v>
      </c>
      <c r="D235" s="1520"/>
    </row>
    <row r="236" spans="1:4" ht="12">
      <c r="A236" s="1520"/>
      <c r="B236" s="1533" t="s">
        <v>850</v>
      </c>
      <c r="C236" s="1982" t="s">
        <v>1156</v>
      </c>
      <c r="D236" s="1520"/>
    </row>
    <row r="237" spans="1:4" ht="12">
      <c r="A237" s="1520"/>
      <c r="B237" s="1533" t="s">
        <v>851</v>
      </c>
      <c r="C237" s="1982" t="s">
        <v>1186</v>
      </c>
      <c r="D237" s="1520"/>
    </row>
    <row r="238" spans="1:4" ht="12">
      <c r="A238" s="1520"/>
      <c r="B238" s="1533" t="s">
        <v>852</v>
      </c>
      <c r="C238" s="1982" t="s">
        <v>1186</v>
      </c>
      <c r="D238" s="1520"/>
    </row>
    <row r="239" spans="1:4" ht="12">
      <c r="A239" s="1520"/>
      <c r="B239" s="1533" t="s">
        <v>853</v>
      </c>
      <c r="C239" s="1982" t="s">
        <v>1186</v>
      </c>
      <c r="D239" s="1520"/>
    </row>
    <row r="240" spans="1:4" ht="12">
      <c r="A240" s="1520"/>
      <c r="B240" s="1533" t="s">
        <v>854</v>
      </c>
      <c r="C240" s="1982" t="s">
        <v>1186</v>
      </c>
      <c r="D240" s="1520"/>
    </row>
    <row r="241" spans="1:4" ht="12">
      <c r="A241" s="1520"/>
      <c r="B241" s="1533" t="s">
        <v>855</v>
      </c>
      <c r="C241" s="1982" t="s">
        <v>1186</v>
      </c>
      <c r="D241" s="1520"/>
    </row>
    <row r="242" spans="1:4" ht="12">
      <c r="A242" s="1520"/>
      <c r="B242" s="1533" t="s">
        <v>856</v>
      </c>
      <c r="C242" s="1982" t="s">
        <v>1186</v>
      </c>
      <c r="D242" s="1520"/>
    </row>
    <row r="243" spans="1:4" ht="12">
      <c r="A243" s="1520"/>
      <c r="B243" s="1533" t="s">
        <v>1273</v>
      </c>
      <c r="C243" s="1982" t="s">
        <v>1186</v>
      </c>
      <c r="D243" s="1520"/>
    </row>
    <row r="244" spans="1:4" ht="12">
      <c r="A244" s="1520"/>
      <c r="B244" s="1533" t="s">
        <v>1274</v>
      </c>
      <c r="C244" s="1982" t="s">
        <v>1186</v>
      </c>
      <c r="D244" s="1520"/>
    </row>
    <row r="245" spans="1:4" ht="12">
      <c r="A245" s="1520"/>
      <c r="B245" s="1533" t="s">
        <v>1275</v>
      </c>
      <c r="C245" s="1982" t="s">
        <v>1186</v>
      </c>
      <c r="D245" s="1520"/>
    </row>
    <row r="246" spans="1:4" ht="12">
      <c r="A246" s="1520"/>
      <c r="B246" s="1533" t="s">
        <v>1276</v>
      </c>
      <c r="C246" s="1982" t="s">
        <v>1186</v>
      </c>
      <c r="D246" s="1520"/>
    </row>
    <row r="247" spans="1:4" ht="12">
      <c r="A247" s="1520"/>
      <c r="B247" s="1533" t="s">
        <v>1277</v>
      </c>
      <c r="C247" s="1982" t="s">
        <v>1186</v>
      </c>
      <c r="D247" s="1520"/>
    </row>
    <row r="248" spans="1:4" ht="12">
      <c r="A248" s="1520"/>
      <c r="B248" s="1533" t="s">
        <v>1278</v>
      </c>
      <c r="C248" s="1982" t="s">
        <v>1186</v>
      </c>
      <c r="D248" s="1520"/>
    </row>
    <row r="249" spans="1:4" ht="12">
      <c r="A249" s="1520"/>
      <c r="B249" s="1533" t="s">
        <v>246</v>
      </c>
      <c r="C249" s="1982" t="s">
        <v>1186</v>
      </c>
      <c r="D249" s="1520"/>
    </row>
    <row r="250" spans="1:4" ht="12">
      <c r="A250" s="1520"/>
      <c r="B250" s="1533" t="s">
        <v>247</v>
      </c>
      <c r="C250" s="1982" t="s">
        <v>1186</v>
      </c>
      <c r="D250" s="1520"/>
    </row>
    <row r="251" spans="1:4" ht="12">
      <c r="A251" s="1520"/>
      <c r="B251" s="1533" t="s">
        <v>248</v>
      </c>
      <c r="C251" s="1982" t="s">
        <v>1186</v>
      </c>
      <c r="D251" s="1520"/>
    </row>
    <row r="252" spans="1:4" ht="12">
      <c r="A252" s="1520"/>
      <c r="B252" s="1533" t="s">
        <v>249</v>
      </c>
      <c r="C252" s="1982" t="s">
        <v>1186</v>
      </c>
      <c r="D252" s="1520"/>
    </row>
    <row r="253" spans="1:4" ht="12">
      <c r="A253" s="1520"/>
      <c r="B253" s="1533" t="s">
        <v>250</v>
      </c>
      <c r="C253" s="1982" t="s">
        <v>1186</v>
      </c>
      <c r="D253" s="1520"/>
    </row>
    <row r="254" spans="1:4" ht="12">
      <c r="A254" s="1520"/>
      <c r="B254" s="1533" t="s">
        <v>251</v>
      </c>
      <c r="C254" s="1982" t="s">
        <v>1186</v>
      </c>
      <c r="D254" s="1520"/>
    </row>
    <row r="255" spans="1:4" ht="12">
      <c r="A255" s="1520"/>
      <c r="B255" s="1533" t="s">
        <v>252</v>
      </c>
      <c r="C255" s="1982" t="s">
        <v>1186</v>
      </c>
      <c r="D255" s="1520"/>
    </row>
    <row r="256" spans="1:4" ht="12">
      <c r="A256" s="1520"/>
      <c r="B256" s="1533" t="s">
        <v>253</v>
      </c>
      <c r="C256" s="1982" t="s">
        <v>1186</v>
      </c>
      <c r="D256" s="1520"/>
    </row>
    <row r="257" spans="1:4" ht="12">
      <c r="A257" s="1520"/>
      <c r="B257" s="1533" t="s">
        <v>254</v>
      </c>
      <c r="C257" s="1982" t="s">
        <v>1186</v>
      </c>
      <c r="D257" s="1520"/>
    </row>
    <row r="258" spans="1:4" ht="12">
      <c r="A258" s="1520"/>
      <c r="B258" s="1533" t="s">
        <v>255</v>
      </c>
      <c r="C258" s="1982" t="s">
        <v>1186</v>
      </c>
      <c r="D258" s="1520"/>
    </row>
    <row r="259" spans="1:4" ht="12">
      <c r="A259" s="1520"/>
      <c r="B259" s="1533" t="s">
        <v>256</v>
      </c>
      <c r="C259" s="1982" t="s">
        <v>1186</v>
      </c>
      <c r="D259" s="1520"/>
    </row>
    <row r="260" spans="1:4" ht="12">
      <c r="A260" s="1520"/>
      <c r="B260" s="1533" t="s">
        <v>257</v>
      </c>
      <c r="C260" s="1982" t="s">
        <v>1186</v>
      </c>
      <c r="D260" s="1520"/>
    </row>
    <row r="261" spans="1:4" ht="12">
      <c r="A261" s="1520"/>
      <c r="B261" s="1533" t="s">
        <v>1914</v>
      </c>
      <c r="C261" s="1982" t="s">
        <v>1186</v>
      </c>
      <c r="D261" s="1520"/>
    </row>
    <row r="262" spans="1:4" ht="12">
      <c r="A262" s="1520"/>
      <c r="B262" s="1533" t="s">
        <v>258</v>
      </c>
      <c r="C262" s="1982" t="s">
        <v>1186</v>
      </c>
      <c r="D262" s="1520"/>
    </row>
    <row r="263" spans="1:4" ht="12">
      <c r="A263" s="1520"/>
      <c r="B263" s="1533" t="s">
        <v>259</v>
      </c>
      <c r="C263" s="1982" t="s">
        <v>1186</v>
      </c>
      <c r="D263" s="1520"/>
    </row>
    <row r="264" spans="1:4" ht="12">
      <c r="A264" s="1520"/>
      <c r="B264" s="1533" t="s">
        <v>260</v>
      </c>
      <c r="C264" s="1982" t="s">
        <v>1169</v>
      </c>
      <c r="D264" s="1520"/>
    </row>
    <row r="265" spans="1:4" ht="12">
      <c r="A265" s="1520"/>
      <c r="B265" s="1533" t="s">
        <v>261</v>
      </c>
      <c r="C265" s="1982" t="s">
        <v>1169</v>
      </c>
      <c r="D265" s="1520"/>
    </row>
    <row r="266" spans="1:4" ht="12">
      <c r="A266" s="1520"/>
      <c r="B266" s="1533" t="s">
        <v>262</v>
      </c>
      <c r="C266" s="1982" t="s">
        <v>1169</v>
      </c>
      <c r="D266" s="1520"/>
    </row>
    <row r="267" spans="1:4" ht="12">
      <c r="A267" s="1520"/>
      <c r="B267" s="1533" t="s">
        <v>263</v>
      </c>
      <c r="C267" s="1982" t="s">
        <v>1169</v>
      </c>
      <c r="D267" s="1520"/>
    </row>
    <row r="268" spans="1:4" ht="12">
      <c r="A268" s="1520"/>
      <c r="B268" s="1533" t="s">
        <v>206</v>
      </c>
      <c r="C268" s="1982" t="s">
        <v>1169</v>
      </c>
      <c r="D268" s="1520"/>
    </row>
    <row r="269" spans="1:4" ht="12">
      <c r="A269" s="1520"/>
      <c r="B269" s="1533" t="s">
        <v>207</v>
      </c>
      <c r="C269" s="1982" t="s">
        <v>1169</v>
      </c>
      <c r="D269" s="1520"/>
    </row>
    <row r="270" spans="1:4" ht="12">
      <c r="A270" s="1520"/>
      <c r="B270" s="1533" t="s">
        <v>208</v>
      </c>
      <c r="C270" s="1982" t="s">
        <v>1169</v>
      </c>
      <c r="D270" s="1520"/>
    </row>
    <row r="271" spans="1:4" ht="12">
      <c r="A271" s="1520"/>
      <c r="B271" s="1533" t="s">
        <v>209</v>
      </c>
      <c r="C271" s="1982" t="s">
        <v>1169</v>
      </c>
      <c r="D271" s="1520"/>
    </row>
    <row r="272" spans="1:4" ht="12">
      <c r="A272" s="1520"/>
      <c r="B272" s="1533" t="s">
        <v>210</v>
      </c>
      <c r="C272" s="1982" t="s">
        <v>1169</v>
      </c>
      <c r="D272" s="1520"/>
    </row>
    <row r="273" spans="1:4" ht="12">
      <c r="A273" s="1520"/>
      <c r="B273" s="1533" t="s">
        <v>211</v>
      </c>
      <c r="C273" s="1982" t="s">
        <v>1169</v>
      </c>
      <c r="D273" s="1520"/>
    </row>
    <row r="274" spans="1:4" ht="12">
      <c r="A274" s="1520"/>
      <c r="B274" s="1533" t="s">
        <v>212</v>
      </c>
      <c r="C274" s="1982" t="s">
        <v>1169</v>
      </c>
      <c r="D274" s="1520"/>
    </row>
    <row r="275" spans="1:4" ht="12">
      <c r="A275" s="1520"/>
      <c r="B275" s="1533" t="s">
        <v>213</v>
      </c>
      <c r="C275" s="1982" t="s">
        <v>1169</v>
      </c>
      <c r="D275" s="1520"/>
    </row>
    <row r="276" spans="1:4" ht="12">
      <c r="A276" s="1520"/>
      <c r="B276" s="1533" t="s">
        <v>214</v>
      </c>
      <c r="C276" s="1982" t="s">
        <v>1169</v>
      </c>
      <c r="D276" s="1520"/>
    </row>
    <row r="277" spans="1:4" ht="12">
      <c r="A277" s="1520"/>
      <c r="B277" s="1533" t="s">
        <v>215</v>
      </c>
      <c r="C277" s="1982" t="s">
        <v>1169</v>
      </c>
      <c r="D277" s="1520"/>
    </row>
    <row r="278" spans="1:4" ht="12">
      <c r="A278" s="1520"/>
      <c r="B278" s="1533" t="s">
        <v>1976</v>
      </c>
      <c r="C278" s="1982" t="s">
        <v>1169</v>
      </c>
      <c r="D278" s="1520"/>
    </row>
    <row r="279" spans="1:4" ht="12">
      <c r="A279" s="1520"/>
      <c r="B279" s="1533" t="s">
        <v>216</v>
      </c>
      <c r="C279" s="1982" t="s">
        <v>1169</v>
      </c>
      <c r="D279" s="1520"/>
    </row>
    <row r="280" spans="1:4" ht="12">
      <c r="A280" s="1520"/>
      <c r="B280" s="1533" t="s">
        <v>217</v>
      </c>
      <c r="C280" s="1982" t="s">
        <v>1169</v>
      </c>
      <c r="D280" s="1520"/>
    </row>
    <row r="281" spans="1:4" ht="12">
      <c r="A281" s="1520"/>
      <c r="B281" s="1533" t="s">
        <v>90</v>
      </c>
      <c r="C281" s="1982" t="s">
        <v>1169</v>
      </c>
      <c r="D281" s="1520"/>
    </row>
    <row r="282" spans="1:4" ht="12">
      <c r="A282" s="1520"/>
      <c r="B282" s="1533" t="s">
        <v>218</v>
      </c>
      <c r="C282" s="1982" t="s">
        <v>1169</v>
      </c>
      <c r="D282" s="1520"/>
    </row>
    <row r="283" spans="1:4" ht="12">
      <c r="A283" s="1520"/>
      <c r="B283" s="1533" t="s">
        <v>1915</v>
      </c>
      <c r="C283" s="1982" t="s">
        <v>1034</v>
      </c>
      <c r="D283" s="1520"/>
    </row>
    <row r="284" spans="1:4" ht="12">
      <c r="A284" s="1520"/>
      <c r="B284" s="1533" t="s">
        <v>219</v>
      </c>
      <c r="C284" s="1982" t="s">
        <v>1034</v>
      </c>
      <c r="D284" s="1520"/>
    </row>
    <row r="285" spans="1:4" ht="12">
      <c r="A285" s="1520"/>
      <c r="B285" s="1533" t="s">
        <v>220</v>
      </c>
      <c r="C285" s="1982" t="s">
        <v>1034</v>
      </c>
      <c r="D285" s="1520"/>
    </row>
    <row r="286" spans="1:4" ht="12">
      <c r="A286" s="1520"/>
      <c r="B286" s="1533" t="s">
        <v>221</v>
      </c>
      <c r="C286" s="1982" t="s">
        <v>1034</v>
      </c>
      <c r="D286" s="1520"/>
    </row>
    <row r="287" spans="1:4" ht="12">
      <c r="A287" s="1520"/>
      <c r="B287" s="1533" t="s">
        <v>222</v>
      </c>
      <c r="C287" s="1982" t="s">
        <v>1034</v>
      </c>
      <c r="D287" s="1520"/>
    </row>
    <row r="288" spans="1:4" ht="12">
      <c r="A288" s="1520"/>
      <c r="B288" s="1533" t="s">
        <v>223</v>
      </c>
      <c r="C288" s="1982" t="s">
        <v>1034</v>
      </c>
      <c r="D288" s="1520"/>
    </row>
    <row r="289" spans="1:4" ht="12">
      <c r="A289" s="1520"/>
      <c r="B289" s="1533" t="s">
        <v>224</v>
      </c>
      <c r="C289" s="1982" t="s">
        <v>1034</v>
      </c>
      <c r="D289" s="1520"/>
    </row>
    <row r="290" spans="1:4" ht="12">
      <c r="A290" s="1520"/>
      <c r="B290" s="1533" t="s">
        <v>225</v>
      </c>
      <c r="C290" s="1982" t="s">
        <v>1034</v>
      </c>
      <c r="D290" s="1520"/>
    </row>
    <row r="291" spans="1:4" ht="12">
      <c r="A291" s="1520"/>
      <c r="B291" s="1533" t="s">
        <v>226</v>
      </c>
      <c r="C291" s="1982" t="s">
        <v>1034</v>
      </c>
      <c r="D291" s="1520"/>
    </row>
    <row r="292" spans="1:4" ht="12">
      <c r="A292" s="1520"/>
      <c r="B292" s="1533" t="s">
        <v>227</v>
      </c>
      <c r="C292" s="1982" t="s">
        <v>1034</v>
      </c>
      <c r="D292" s="1520"/>
    </row>
    <row r="293" spans="1:4" ht="12">
      <c r="A293" s="1520"/>
      <c r="B293" s="1533" t="s">
        <v>1916</v>
      </c>
      <c r="C293" s="1982" t="s">
        <v>1034</v>
      </c>
      <c r="D293" s="1520"/>
    </row>
    <row r="294" spans="1:4" ht="12">
      <c r="A294" s="1520"/>
      <c r="B294" s="1533" t="s">
        <v>228</v>
      </c>
      <c r="C294" s="1982" t="s">
        <v>1034</v>
      </c>
      <c r="D294" s="1520"/>
    </row>
    <row r="295" spans="1:4" ht="12">
      <c r="A295" s="1520"/>
      <c r="B295" s="1533" t="s">
        <v>229</v>
      </c>
      <c r="C295" s="1982" t="s">
        <v>1034</v>
      </c>
      <c r="D295" s="1520"/>
    </row>
    <row r="296" spans="1:4" ht="12">
      <c r="A296" s="1520"/>
      <c r="B296" s="1533" t="s">
        <v>230</v>
      </c>
      <c r="C296" s="1982" t="s">
        <v>1034</v>
      </c>
      <c r="D296" s="1520"/>
    </row>
    <row r="297" spans="1:4" ht="12">
      <c r="A297" s="1520"/>
      <c r="B297" s="1533" t="s">
        <v>231</v>
      </c>
      <c r="C297" s="1982" t="s">
        <v>1034</v>
      </c>
      <c r="D297" s="1520"/>
    </row>
    <row r="298" spans="1:4" ht="12">
      <c r="A298" s="1520"/>
      <c r="B298" s="1533" t="s">
        <v>232</v>
      </c>
      <c r="C298" s="1982" t="s">
        <v>1034</v>
      </c>
      <c r="D298" s="1520"/>
    </row>
    <row r="299" spans="1:4" ht="12">
      <c r="A299" s="1520"/>
      <c r="B299" s="1533" t="s">
        <v>233</v>
      </c>
      <c r="C299" s="1982" t="s">
        <v>1034</v>
      </c>
      <c r="D299" s="1520"/>
    </row>
    <row r="300" spans="1:4" ht="12">
      <c r="A300" s="1520"/>
      <c r="B300" s="1533" t="s">
        <v>234</v>
      </c>
      <c r="C300" s="1982" t="s">
        <v>1034</v>
      </c>
      <c r="D300" s="1520"/>
    </row>
    <row r="301" spans="1:4" ht="12">
      <c r="A301" s="1520"/>
      <c r="B301" s="1533" t="s">
        <v>235</v>
      </c>
      <c r="C301" s="1982" t="s">
        <v>1034</v>
      </c>
      <c r="D301" s="1520"/>
    </row>
    <row r="302" spans="1:4" ht="12">
      <c r="A302" s="1520"/>
      <c r="B302" s="1533" t="s">
        <v>236</v>
      </c>
      <c r="C302" s="1982" t="s">
        <v>1034</v>
      </c>
      <c r="D302" s="1520"/>
    </row>
    <row r="303" spans="1:4" ht="12">
      <c r="A303" s="1520"/>
      <c r="B303" s="1533" t="s">
        <v>237</v>
      </c>
      <c r="C303" s="1982" t="s">
        <v>1034</v>
      </c>
      <c r="D303" s="1520"/>
    </row>
    <row r="304" spans="1:4" ht="12">
      <c r="A304" s="1520"/>
      <c r="B304" s="1533" t="s">
        <v>238</v>
      </c>
      <c r="C304" s="1982" t="s">
        <v>1034</v>
      </c>
      <c r="D304" s="1520"/>
    </row>
    <row r="305" spans="1:4" ht="12">
      <c r="A305" s="1520"/>
      <c r="B305" s="1533" t="s">
        <v>239</v>
      </c>
      <c r="C305" s="1982" t="s">
        <v>1034</v>
      </c>
      <c r="D305" s="1520"/>
    </row>
    <row r="306" spans="1:4" ht="12">
      <c r="A306" s="1520"/>
      <c r="B306" s="1533" t="s">
        <v>240</v>
      </c>
      <c r="C306" s="1982" t="s">
        <v>1034</v>
      </c>
      <c r="D306" s="1520"/>
    </row>
    <row r="307" spans="1:4" ht="12">
      <c r="A307" s="1520"/>
      <c r="B307" s="1533" t="s">
        <v>241</v>
      </c>
      <c r="C307" s="1982" t="s">
        <v>1034</v>
      </c>
      <c r="D307" s="1520"/>
    </row>
    <row r="308" spans="1:4">
      <c r="B308" s="2">
        <f>COUNTA(B30:B307)</f>
        <v>278</v>
      </c>
    </row>
  </sheetData>
  <phoneticPr fontId="5"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enableFormatConditionsCalculation="0">
    <tabColor indexed="42"/>
    <pageSetUpPr fitToPage="1"/>
  </sheetPr>
  <dimension ref="A1:O87"/>
  <sheetViews>
    <sheetView showGridLines="0" workbookViewId="0">
      <pane xSplit="2" ySplit="3" topLeftCell="C37" activePane="bottomRight" state="frozen"/>
      <selection pane="topRight"/>
      <selection pane="bottomLeft"/>
      <selection pane="bottomRight" activeCell="K59" sqref="K59"/>
    </sheetView>
  </sheetViews>
  <sheetFormatPr baseColWidth="10" defaultColWidth="8.83203125" defaultRowHeight="10" x14ac:dyDescent="0"/>
  <cols>
    <col min="1" max="1" width="32.332031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1" ht="13.5" customHeight="1">
      <c r="A1" s="147" t="str">
        <f>muni&amp;" - "&amp; TableA20</f>
        <v>NW373 Rustenburg - Supporting Table SA20 Reconciliation of transfers, grant receipts and unspent funds</v>
      </c>
      <c r="B1" s="147"/>
      <c r="C1" s="147"/>
      <c r="D1" s="147"/>
      <c r="E1" s="147"/>
      <c r="F1" s="147"/>
      <c r="G1" s="147"/>
      <c r="H1" s="147"/>
      <c r="I1" s="147"/>
      <c r="J1" s="147"/>
      <c r="K1" s="147"/>
    </row>
    <row r="2" spans="1:11" ht="28.5" customHeight="1">
      <c r="A2" s="985" t="str">
        <f>desc</f>
        <v>Description</v>
      </c>
      <c r="B2" s="419" t="str">
        <f>head27</f>
        <v>Ref</v>
      </c>
      <c r="C2" s="150" t="str">
        <f>head1b</f>
        <v>2009/10</v>
      </c>
      <c r="D2" s="756" t="str">
        <f>head1A</f>
        <v>2010/11</v>
      </c>
      <c r="E2" s="146" t="str">
        <f>Head1</f>
        <v>2011/12</v>
      </c>
      <c r="F2" s="2765" t="str">
        <f>Head2</f>
        <v>Current Year 2012/13</v>
      </c>
      <c r="G2" s="2766"/>
      <c r="H2" s="2770"/>
      <c r="I2" s="2762" t="str">
        <f>Head3</f>
        <v>2013/14 Medium Term Revenue &amp; Expenditure Framework</v>
      </c>
      <c r="J2" s="2763"/>
      <c r="K2" s="2764"/>
    </row>
    <row r="3" spans="1:11" ht="20">
      <c r="A3" s="180" t="s">
        <v>667</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1.25" customHeight="1">
      <c r="A4" s="249" t="s">
        <v>309</v>
      </c>
      <c r="B4" s="182" t="s">
        <v>519</v>
      </c>
      <c r="C4" s="751"/>
      <c r="D4" s="751"/>
      <c r="E4" s="752"/>
      <c r="F4" s="753"/>
      <c r="G4" s="751"/>
      <c r="H4" s="754"/>
      <c r="I4" s="755"/>
      <c r="J4" s="751"/>
      <c r="K4" s="752"/>
    </row>
    <row r="5" spans="1:11" ht="11.25" customHeight="1">
      <c r="A5" s="373" t="str">
        <f>'SA18'!A7</f>
        <v>National Government:</v>
      </c>
      <c r="B5" s="182"/>
      <c r="C5" s="751"/>
      <c r="D5" s="751"/>
      <c r="E5" s="752"/>
      <c r="F5" s="753"/>
      <c r="G5" s="751"/>
      <c r="H5" s="754"/>
      <c r="I5" s="755"/>
      <c r="J5" s="751"/>
      <c r="K5" s="752"/>
    </row>
    <row r="6" spans="1:11" ht="11.25" customHeight="1">
      <c r="A6" s="368" t="s">
        <v>1226</v>
      </c>
      <c r="B6" s="182"/>
      <c r="C6" s="1926">
        <v>22425315</v>
      </c>
      <c r="D6" s="1926">
        <v>27194034</v>
      </c>
      <c r="E6" s="1927">
        <v>4658957</v>
      </c>
      <c r="F6" s="1928"/>
      <c r="G6" s="1926"/>
      <c r="H6" s="1927"/>
      <c r="I6" s="1929"/>
      <c r="J6" s="1926"/>
      <c r="K6" s="1930"/>
    </row>
    <row r="7" spans="1:11" ht="11.25" customHeight="1">
      <c r="A7" s="368" t="s">
        <v>1227</v>
      </c>
      <c r="B7" s="182"/>
      <c r="C7" s="2704">
        <v>276783301</v>
      </c>
      <c r="D7" s="1926">
        <v>284683263</v>
      </c>
      <c r="E7" s="1927">
        <v>265913160</v>
      </c>
      <c r="F7" s="1928">
        <v>278740139</v>
      </c>
      <c r="G7" s="2705">
        <v>290882383</v>
      </c>
      <c r="H7" s="2705">
        <v>290882383</v>
      </c>
      <c r="I7" s="1929">
        <v>340049800</v>
      </c>
      <c r="J7" s="1926">
        <v>366538220</v>
      </c>
      <c r="K7" s="1930">
        <v>435290249</v>
      </c>
    </row>
    <row r="8" spans="1:11" ht="11.25" customHeight="1">
      <c r="A8" s="786" t="s">
        <v>1225</v>
      </c>
      <c r="B8" s="182"/>
      <c r="C8" s="787">
        <f>C6+C7-C9</f>
        <v>299208616</v>
      </c>
      <c r="D8" s="788">
        <f t="shared" ref="D8:K8" si="0">D6+D7-D9</f>
        <v>311877297</v>
      </c>
      <c r="E8" s="789">
        <f t="shared" si="0"/>
        <v>270572117</v>
      </c>
      <c r="F8" s="790">
        <f t="shared" si="0"/>
        <v>278740139</v>
      </c>
      <c r="G8" s="788">
        <f t="shared" si="0"/>
        <v>290882383</v>
      </c>
      <c r="H8" s="791">
        <f t="shared" si="0"/>
        <v>290882383</v>
      </c>
      <c r="I8" s="792">
        <f t="shared" si="0"/>
        <v>340049800</v>
      </c>
      <c r="J8" s="788">
        <f t="shared" si="0"/>
        <v>366538220</v>
      </c>
      <c r="K8" s="789">
        <f t="shared" si="0"/>
        <v>435290249</v>
      </c>
    </row>
    <row r="9" spans="1:11" ht="11.25" customHeight="1">
      <c r="A9" s="368" t="s">
        <v>468</v>
      </c>
      <c r="B9" s="182"/>
      <c r="C9" s="1926"/>
      <c r="D9" s="1926"/>
      <c r="E9" s="1927"/>
      <c r="F9" s="1928"/>
      <c r="G9" s="1926"/>
      <c r="H9" s="1927"/>
      <c r="I9" s="1929"/>
      <c r="J9" s="1926"/>
      <c r="K9" s="1930"/>
    </row>
    <row r="10" spans="1:11" ht="11.25" customHeight="1">
      <c r="A10" s="770" t="s">
        <v>1028</v>
      </c>
      <c r="B10" s="182"/>
      <c r="C10" s="793"/>
      <c r="D10" s="793"/>
      <c r="E10" s="754"/>
      <c r="F10" s="753"/>
      <c r="G10" s="751"/>
      <c r="H10" s="754"/>
      <c r="I10" s="755"/>
      <c r="J10" s="751"/>
      <c r="K10" s="752"/>
    </row>
    <row r="11" spans="1:11" ht="11.25" customHeight="1">
      <c r="A11" s="368" t="s">
        <v>1226</v>
      </c>
      <c r="B11" s="182"/>
      <c r="C11" s="1926"/>
      <c r="D11" s="1926"/>
      <c r="E11" s="1927"/>
      <c r="F11" s="1928"/>
      <c r="G11" s="1926"/>
      <c r="H11" s="1927"/>
      <c r="I11" s="1929"/>
      <c r="J11" s="1926"/>
      <c r="K11" s="1930"/>
    </row>
    <row r="12" spans="1:11" ht="11.25" customHeight="1">
      <c r="A12" s="794" t="str">
        <f>A7</f>
        <v>Current year receipts</v>
      </c>
      <c r="B12" s="182"/>
      <c r="C12" s="1926">
        <v>5392668</v>
      </c>
      <c r="D12" s="1926">
        <v>676000</v>
      </c>
      <c r="E12" s="1927">
        <v>1598000</v>
      </c>
      <c r="F12" s="1928">
        <v>4175000</v>
      </c>
      <c r="G12" s="1926">
        <v>1830000</v>
      </c>
      <c r="H12" s="1926">
        <v>1830000</v>
      </c>
      <c r="I12" s="1929">
        <v>1830000</v>
      </c>
      <c r="J12" s="1926">
        <v>1885000</v>
      </c>
      <c r="K12" s="1926">
        <v>1885000</v>
      </c>
    </row>
    <row r="13" spans="1:11" ht="11.25" customHeight="1">
      <c r="A13" s="796" t="str">
        <f>A8</f>
        <v>Conditions met - transferred to revenue</v>
      </c>
      <c r="B13" s="182"/>
      <c r="C13" s="787">
        <f t="shared" ref="C13:K13" si="1">C11+C12-C14</f>
        <v>5392668</v>
      </c>
      <c r="D13" s="788">
        <f t="shared" si="1"/>
        <v>676000</v>
      </c>
      <c r="E13" s="789">
        <f t="shared" si="1"/>
        <v>1598000</v>
      </c>
      <c r="F13" s="790">
        <f t="shared" si="1"/>
        <v>4175000</v>
      </c>
      <c r="G13" s="788">
        <f t="shared" si="1"/>
        <v>1830000</v>
      </c>
      <c r="H13" s="791">
        <f t="shared" si="1"/>
        <v>1830000</v>
      </c>
      <c r="I13" s="792">
        <f t="shared" si="1"/>
        <v>1830000</v>
      </c>
      <c r="J13" s="788">
        <f t="shared" si="1"/>
        <v>1885000</v>
      </c>
      <c r="K13" s="789">
        <f t="shared" si="1"/>
        <v>1885000</v>
      </c>
    </row>
    <row r="14" spans="1:11" ht="11.25" customHeight="1">
      <c r="A14" s="794" t="str">
        <f>A9</f>
        <v>Conditions still to be met - transferred to liabilities</v>
      </c>
      <c r="B14" s="182"/>
      <c r="C14" s="1926"/>
      <c r="D14" s="1926"/>
      <c r="E14" s="1927"/>
      <c r="F14" s="1928"/>
      <c r="G14" s="1926"/>
      <c r="H14" s="1927"/>
      <c r="I14" s="1929"/>
      <c r="J14" s="1926"/>
      <c r="K14" s="1930"/>
    </row>
    <row r="15" spans="1:11" ht="11.25" customHeight="1">
      <c r="A15" s="770" t="s">
        <v>1064</v>
      </c>
      <c r="B15" s="182"/>
      <c r="C15" s="785"/>
      <c r="D15" s="785"/>
      <c r="E15" s="795"/>
      <c r="F15" s="782"/>
      <c r="G15" s="780"/>
      <c r="H15" s="781"/>
      <c r="I15" s="783"/>
      <c r="J15" s="780"/>
      <c r="K15" s="784"/>
    </row>
    <row r="16" spans="1:11" ht="11.25" customHeight="1">
      <c r="A16" s="368" t="str">
        <f>A11</f>
        <v>Balance unspent at beginning of the year</v>
      </c>
      <c r="B16" s="182"/>
      <c r="C16" s="1926"/>
      <c r="D16" s="1926"/>
      <c r="E16" s="1927"/>
      <c r="F16" s="1928"/>
      <c r="G16" s="1926"/>
      <c r="H16" s="1927"/>
      <c r="I16" s="1929"/>
      <c r="J16" s="1926"/>
      <c r="K16" s="1930"/>
    </row>
    <row r="17" spans="1:11" ht="11.25" customHeight="1">
      <c r="A17" s="794" t="str">
        <f>A12</f>
        <v>Current year receipts</v>
      </c>
      <c r="B17" s="182"/>
      <c r="C17" s="1914"/>
      <c r="D17" s="1915"/>
      <c r="E17" s="1927"/>
      <c r="F17" s="1928"/>
      <c r="G17" s="1926"/>
      <c r="H17" s="1927"/>
      <c r="I17" s="1929"/>
      <c r="J17" s="1926"/>
      <c r="K17" s="1930"/>
    </row>
    <row r="18" spans="1:11" ht="11.25" customHeight="1">
      <c r="A18" s="796" t="str">
        <f>A13</f>
        <v>Conditions met - transferred to revenue</v>
      </c>
      <c r="B18" s="182"/>
      <c r="C18" s="787">
        <f t="shared" ref="C18:K18" si="2">C16+C17-C19</f>
        <v>0</v>
      </c>
      <c r="D18" s="788">
        <f t="shared" si="2"/>
        <v>0</v>
      </c>
      <c r="E18" s="789">
        <f t="shared" si="2"/>
        <v>0</v>
      </c>
      <c r="F18" s="790">
        <f t="shared" si="2"/>
        <v>0</v>
      </c>
      <c r="G18" s="788">
        <f t="shared" si="2"/>
        <v>0</v>
      </c>
      <c r="H18" s="791">
        <f t="shared" si="2"/>
        <v>0</v>
      </c>
      <c r="I18" s="792">
        <f t="shared" si="2"/>
        <v>0</v>
      </c>
      <c r="J18" s="788">
        <f t="shared" si="2"/>
        <v>0</v>
      </c>
      <c r="K18" s="789">
        <f t="shared" si="2"/>
        <v>0</v>
      </c>
    </row>
    <row r="19" spans="1:11" ht="11.25" customHeight="1">
      <c r="A19" s="794" t="str">
        <f>A14</f>
        <v>Conditions still to be met - transferred to liabilities</v>
      </c>
      <c r="B19" s="182"/>
      <c r="C19" s="1926"/>
      <c r="D19" s="1926"/>
      <c r="E19" s="1927"/>
      <c r="F19" s="1928"/>
      <c r="G19" s="1926"/>
      <c r="H19" s="1927"/>
      <c r="I19" s="1929"/>
      <c r="J19" s="1926"/>
      <c r="K19" s="1930"/>
    </row>
    <row r="20" spans="1:11" ht="11.25" customHeight="1">
      <c r="A20" s="770" t="s">
        <v>589</v>
      </c>
      <c r="B20" s="182"/>
      <c r="C20" s="785"/>
      <c r="D20" s="785"/>
      <c r="E20" s="795"/>
      <c r="F20" s="782"/>
      <c r="G20" s="780"/>
      <c r="H20" s="781"/>
      <c r="I20" s="783"/>
      <c r="J20" s="780"/>
      <c r="K20" s="784"/>
    </row>
    <row r="21" spans="1:11" ht="11.25" customHeight="1">
      <c r="A21" s="794" t="str">
        <f>A11</f>
        <v>Balance unspent at beginning of the year</v>
      </c>
      <c r="B21" s="182"/>
      <c r="C21" s="1926"/>
      <c r="D21" s="1926"/>
      <c r="E21" s="1927"/>
      <c r="F21" s="1928"/>
      <c r="G21" s="1926"/>
      <c r="H21" s="1927"/>
      <c r="I21" s="1929"/>
      <c r="J21" s="1926"/>
      <c r="K21" s="1930"/>
    </row>
    <row r="22" spans="1:11" ht="11.25" customHeight="1">
      <c r="A22" s="794" t="str">
        <f>A12</f>
        <v>Current year receipts</v>
      </c>
      <c r="B22" s="182"/>
      <c r="C22" s="1914">
        <v>2462648</v>
      </c>
      <c r="D22" s="1915">
        <v>12969756</v>
      </c>
      <c r="E22" s="1927">
        <v>10500</v>
      </c>
      <c r="F22" s="1928"/>
      <c r="G22" s="1926"/>
      <c r="H22" s="1927"/>
      <c r="I22" s="1929"/>
      <c r="J22" s="1926"/>
      <c r="K22" s="1930"/>
    </row>
    <row r="23" spans="1:11" ht="11.25" customHeight="1">
      <c r="A23" s="796" t="str">
        <f>A13</f>
        <v>Conditions met - transferred to revenue</v>
      </c>
      <c r="B23" s="182"/>
      <c r="C23" s="787">
        <f t="shared" ref="C23:K23" si="3">C21+C22-C24</f>
        <v>2462648</v>
      </c>
      <c r="D23" s="788">
        <f t="shared" si="3"/>
        <v>12969756</v>
      </c>
      <c r="E23" s="789">
        <f t="shared" si="3"/>
        <v>10500</v>
      </c>
      <c r="F23" s="790">
        <f t="shared" si="3"/>
        <v>0</v>
      </c>
      <c r="G23" s="788">
        <f t="shared" si="3"/>
        <v>0</v>
      </c>
      <c r="H23" s="791">
        <f t="shared" si="3"/>
        <v>0</v>
      </c>
      <c r="I23" s="792">
        <f t="shared" si="3"/>
        <v>0</v>
      </c>
      <c r="J23" s="788">
        <f t="shared" si="3"/>
        <v>0</v>
      </c>
      <c r="K23" s="789">
        <f t="shared" si="3"/>
        <v>0</v>
      </c>
    </row>
    <row r="24" spans="1:11" ht="11.25" customHeight="1">
      <c r="A24" s="794" t="str">
        <f>A14</f>
        <v>Conditions still to be met - transferred to liabilities</v>
      </c>
      <c r="B24" s="182"/>
      <c r="C24" s="1926"/>
      <c r="D24" s="1926"/>
      <c r="E24" s="1930"/>
      <c r="F24" s="1928"/>
      <c r="G24" s="1926"/>
      <c r="H24" s="1927"/>
      <c r="I24" s="1929"/>
      <c r="J24" s="1926"/>
      <c r="K24" s="1930"/>
    </row>
    <row r="25" spans="1:11" ht="11.25" customHeight="1">
      <c r="A25" s="797" t="s">
        <v>354</v>
      </c>
      <c r="B25" s="798"/>
      <c r="C25" s="788">
        <f t="shared" ref="C25:K26" si="4">C8+C13+C18+C23</f>
        <v>307063932</v>
      </c>
      <c r="D25" s="788">
        <f t="shared" si="4"/>
        <v>325523053</v>
      </c>
      <c r="E25" s="789">
        <f t="shared" si="4"/>
        <v>272180617</v>
      </c>
      <c r="F25" s="790">
        <f t="shared" si="4"/>
        <v>282915139</v>
      </c>
      <c r="G25" s="788">
        <f t="shared" si="4"/>
        <v>292712383</v>
      </c>
      <c r="H25" s="791">
        <f t="shared" si="4"/>
        <v>292712383</v>
      </c>
      <c r="I25" s="792">
        <f t="shared" si="4"/>
        <v>341879800</v>
      </c>
      <c r="J25" s="788">
        <f t="shared" si="4"/>
        <v>368423220</v>
      </c>
      <c r="K25" s="789">
        <f t="shared" si="4"/>
        <v>437175249</v>
      </c>
    </row>
    <row r="26" spans="1:11" ht="11.25" customHeight="1">
      <c r="A26" s="797" t="s">
        <v>355</v>
      </c>
      <c r="B26" s="798">
        <v>2</v>
      </c>
      <c r="C26" s="788">
        <f t="shared" si="4"/>
        <v>0</v>
      </c>
      <c r="D26" s="788">
        <f t="shared" si="4"/>
        <v>0</v>
      </c>
      <c r="E26" s="789">
        <f t="shared" si="4"/>
        <v>0</v>
      </c>
      <c r="F26" s="790">
        <f t="shared" si="4"/>
        <v>0</v>
      </c>
      <c r="G26" s="788">
        <f t="shared" si="4"/>
        <v>0</v>
      </c>
      <c r="H26" s="791">
        <f t="shared" si="4"/>
        <v>0</v>
      </c>
      <c r="I26" s="792">
        <f t="shared" si="4"/>
        <v>0</v>
      </c>
      <c r="J26" s="788">
        <f t="shared" si="4"/>
        <v>0</v>
      </c>
      <c r="K26" s="789">
        <f t="shared" si="4"/>
        <v>0</v>
      </c>
    </row>
    <row r="27" spans="1:11" ht="5" customHeight="1">
      <c r="A27" s="273"/>
      <c r="B27" s="182"/>
      <c r="C27" s="715"/>
      <c r="D27" s="715"/>
      <c r="E27" s="711"/>
      <c r="F27" s="712"/>
      <c r="G27" s="715"/>
      <c r="H27" s="713"/>
      <c r="I27" s="716"/>
      <c r="J27" s="715"/>
      <c r="K27" s="711"/>
    </row>
    <row r="28" spans="1:11" ht="11.25" customHeight="1">
      <c r="A28" s="249" t="s">
        <v>308</v>
      </c>
      <c r="B28" s="182" t="s">
        <v>519</v>
      </c>
      <c r="C28" s="715"/>
      <c r="D28" s="715"/>
      <c r="E28" s="711"/>
      <c r="F28" s="712"/>
      <c r="G28" s="715"/>
      <c r="H28" s="713"/>
      <c r="I28" s="716"/>
      <c r="J28" s="715"/>
      <c r="K28" s="711"/>
    </row>
    <row r="29" spans="1:11" ht="11.25" customHeight="1">
      <c r="A29" s="770" t="str">
        <f>A5</f>
        <v>National Government:</v>
      </c>
      <c r="B29" s="182"/>
      <c r="C29" s="715"/>
      <c r="D29" s="715"/>
      <c r="E29" s="711"/>
      <c r="F29" s="712"/>
      <c r="G29" s="715"/>
      <c r="H29" s="713"/>
      <c r="I29" s="716"/>
      <c r="J29" s="715"/>
      <c r="K29" s="711"/>
    </row>
    <row r="30" spans="1:11" ht="11.25" customHeight="1">
      <c r="A30" s="368" t="s">
        <v>1226</v>
      </c>
      <c r="B30" s="182"/>
      <c r="C30" s="1926">
        <v>76216238</v>
      </c>
      <c r="D30" s="1926">
        <v>54727875</v>
      </c>
      <c r="E30" s="1927">
        <v>38758114</v>
      </c>
      <c r="F30" s="1928">
        <v>49969215</v>
      </c>
      <c r="G30" s="1926">
        <v>0</v>
      </c>
      <c r="H30" s="1927">
        <v>0</v>
      </c>
      <c r="I30" s="1929"/>
      <c r="J30" s="1926"/>
      <c r="K30" s="1930"/>
    </row>
    <row r="31" spans="1:11" ht="11.25" customHeight="1">
      <c r="A31" s="368" t="s">
        <v>1227</v>
      </c>
      <c r="B31" s="182"/>
      <c r="C31" s="1899">
        <v>132480943</v>
      </c>
      <c r="D31" s="1899">
        <v>143624963</v>
      </c>
      <c r="E31" s="1902">
        <v>322380616</v>
      </c>
      <c r="F31" s="1901">
        <v>359340840</v>
      </c>
      <c r="G31" s="1899">
        <f>399041178+3950000</f>
        <v>402991178</v>
      </c>
      <c r="H31" s="1899">
        <f>399041178+3950000</f>
        <v>402991178</v>
      </c>
      <c r="I31" s="1899">
        <v>693293000</v>
      </c>
      <c r="J31" s="1900">
        <v>811728000</v>
      </c>
      <c r="K31" s="1900">
        <v>670209838</v>
      </c>
    </row>
    <row r="32" spans="1:11" ht="11.25" customHeight="1">
      <c r="A32" s="786" t="s">
        <v>1225</v>
      </c>
      <c r="B32" s="182"/>
      <c r="C32" s="787">
        <f t="shared" ref="C32:K32" si="5">C30+C31-C33</f>
        <v>208697181</v>
      </c>
      <c r="D32" s="788">
        <f t="shared" si="5"/>
        <v>198352838</v>
      </c>
      <c r="E32" s="789">
        <f t="shared" si="5"/>
        <v>361138730</v>
      </c>
      <c r="F32" s="790">
        <f t="shared" si="5"/>
        <v>409310055</v>
      </c>
      <c r="G32" s="788">
        <f t="shared" si="5"/>
        <v>402991178</v>
      </c>
      <c r="H32" s="791">
        <f t="shared" si="5"/>
        <v>402991178</v>
      </c>
      <c r="I32" s="792">
        <f t="shared" si="5"/>
        <v>693293000</v>
      </c>
      <c r="J32" s="788">
        <f t="shared" si="5"/>
        <v>811728000</v>
      </c>
      <c r="K32" s="789">
        <f t="shared" si="5"/>
        <v>670209838</v>
      </c>
    </row>
    <row r="33" spans="1:15" ht="11.25" customHeight="1">
      <c r="A33" s="368" t="s">
        <v>468</v>
      </c>
      <c r="B33" s="182"/>
      <c r="C33" s="1926"/>
      <c r="D33" s="1926"/>
      <c r="E33" s="1927"/>
      <c r="F33" s="1928"/>
      <c r="G33" s="1926"/>
      <c r="H33" s="1927"/>
      <c r="I33" s="1929"/>
      <c r="J33" s="1926"/>
      <c r="K33" s="1930"/>
    </row>
    <row r="34" spans="1:15" ht="11.25" customHeight="1">
      <c r="A34" s="770" t="s">
        <v>1028</v>
      </c>
      <c r="B34" s="182"/>
      <c r="C34" s="793"/>
      <c r="D34" s="793"/>
      <c r="E34" s="754"/>
      <c r="F34" s="753"/>
      <c r="G34" s="751"/>
      <c r="H34" s="754"/>
      <c r="I34" s="755"/>
      <c r="J34" s="751"/>
      <c r="K34" s="752"/>
    </row>
    <row r="35" spans="1:15" ht="11.25" customHeight="1">
      <c r="A35" s="368" t="s">
        <v>1226</v>
      </c>
      <c r="B35" s="182"/>
      <c r="C35" s="1926">
        <v>3500000</v>
      </c>
      <c r="D35" s="1926">
        <v>8000000</v>
      </c>
      <c r="E35" s="1927">
        <v>7152131</v>
      </c>
      <c r="F35" s="1928">
        <v>2967123</v>
      </c>
      <c r="G35" s="1926">
        <v>0</v>
      </c>
      <c r="H35" s="1927">
        <v>0</v>
      </c>
      <c r="I35" s="1929"/>
      <c r="J35" s="1926"/>
      <c r="K35" s="1930"/>
    </row>
    <row r="36" spans="1:15" ht="11.25" customHeight="1">
      <c r="A36" s="794" t="str">
        <f>A31</f>
        <v>Current year receipts</v>
      </c>
      <c r="B36" s="182"/>
      <c r="C36" s="1899">
        <v>11083035</v>
      </c>
      <c r="D36" s="1899">
        <v>1877885</v>
      </c>
      <c r="E36" s="1902">
        <v>432405</v>
      </c>
      <c r="F36" s="1901">
        <v>422000</v>
      </c>
      <c r="G36" s="1921">
        <v>431000</v>
      </c>
      <c r="H36" s="1924">
        <v>431000</v>
      </c>
      <c r="I36" s="1925">
        <v>670000</v>
      </c>
      <c r="J36" s="1925">
        <v>670000</v>
      </c>
      <c r="K36" s="1925">
        <v>670000</v>
      </c>
    </row>
    <row r="37" spans="1:15" ht="11.25" customHeight="1">
      <c r="A37" s="796" t="str">
        <f>A32</f>
        <v>Conditions met - transferred to revenue</v>
      </c>
      <c r="B37" s="182"/>
      <c r="C37" s="787">
        <f t="shared" ref="C37:K37" si="6">C35+C36-C38</f>
        <v>14583035</v>
      </c>
      <c r="D37" s="788">
        <f t="shared" si="6"/>
        <v>9877885</v>
      </c>
      <c r="E37" s="789">
        <f t="shared" si="6"/>
        <v>7584536</v>
      </c>
      <c r="F37" s="790">
        <f t="shared" si="6"/>
        <v>3389123</v>
      </c>
      <c r="G37" s="788">
        <f t="shared" si="6"/>
        <v>431000</v>
      </c>
      <c r="H37" s="791">
        <f t="shared" si="6"/>
        <v>431000</v>
      </c>
      <c r="I37" s="792">
        <f t="shared" si="6"/>
        <v>670000</v>
      </c>
      <c r="J37" s="788">
        <f t="shared" si="6"/>
        <v>670000</v>
      </c>
      <c r="K37" s="789">
        <f t="shared" si="6"/>
        <v>670000</v>
      </c>
      <c r="O37" s="370"/>
    </row>
    <row r="38" spans="1:15" ht="11.25" customHeight="1">
      <c r="A38" s="794" t="str">
        <f>A33</f>
        <v>Conditions still to be met - transferred to liabilities</v>
      </c>
      <c r="B38" s="182"/>
      <c r="C38" s="1926"/>
      <c r="D38" s="1926"/>
      <c r="E38" s="1927"/>
      <c r="F38" s="1928"/>
      <c r="G38" s="1926"/>
      <c r="H38" s="1927"/>
      <c r="I38" s="1929"/>
      <c r="J38" s="1926"/>
      <c r="K38" s="1930"/>
    </row>
    <row r="39" spans="1:15" ht="11.25" customHeight="1">
      <c r="A39" s="770" t="s">
        <v>1064</v>
      </c>
      <c r="B39" s="182"/>
      <c r="C39" s="785"/>
      <c r="D39" s="785"/>
      <c r="E39" s="795"/>
      <c r="F39" s="782"/>
      <c r="G39" s="780"/>
      <c r="H39" s="781"/>
      <c r="I39" s="783"/>
      <c r="J39" s="780"/>
      <c r="K39" s="784"/>
    </row>
    <row r="40" spans="1:15" ht="11.25" customHeight="1">
      <c r="A40" s="368" t="str">
        <f>A35</f>
        <v>Balance unspent at beginning of the year</v>
      </c>
      <c r="B40" s="182"/>
      <c r="C40" s="1926">
        <v>3751950</v>
      </c>
      <c r="D40" s="1926">
        <v>400000</v>
      </c>
      <c r="E40" s="1927">
        <v>600000</v>
      </c>
      <c r="F40" s="1928">
        <v>612922</v>
      </c>
      <c r="G40" s="1926">
        <v>0</v>
      </c>
      <c r="H40" s="1927"/>
      <c r="I40" s="1929"/>
      <c r="J40" s="1926"/>
      <c r="K40" s="1930"/>
    </row>
    <row r="41" spans="1:15" ht="11.25" customHeight="1">
      <c r="A41" s="794" t="str">
        <f>A36</f>
        <v>Current year receipts</v>
      </c>
      <c r="B41" s="182"/>
      <c r="C41" s="1926">
        <v>0</v>
      </c>
      <c r="D41" s="1926">
        <v>0</v>
      </c>
      <c r="E41" s="1927">
        <v>1556850</v>
      </c>
      <c r="F41" s="1928">
        <v>4500000</v>
      </c>
      <c r="G41" s="1909">
        <v>5746850</v>
      </c>
      <c r="H41" s="1912">
        <v>5746850</v>
      </c>
      <c r="I41" s="1929"/>
      <c r="J41" s="1926"/>
      <c r="K41" s="1930"/>
    </row>
    <row r="42" spans="1:15" ht="11.25" customHeight="1">
      <c r="A42" s="796" t="str">
        <f>A37</f>
        <v>Conditions met - transferred to revenue</v>
      </c>
      <c r="B42" s="182"/>
      <c r="C42" s="787">
        <f t="shared" ref="C42:K42" si="7">C40+C41-C43</f>
        <v>3751950</v>
      </c>
      <c r="D42" s="788">
        <f t="shared" si="7"/>
        <v>400000</v>
      </c>
      <c r="E42" s="789">
        <f t="shared" si="7"/>
        <v>2156850</v>
      </c>
      <c r="F42" s="790">
        <f t="shared" si="7"/>
        <v>5112922</v>
      </c>
      <c r="G42" s="788">
        <f t="shared" si="7"/>
        <v>5746850</v>
      </c>
      <c r="H42" s="791">
        <f t="shared" si="7"/>
        <v>5746850</v>
      </c>
      <c r="I42" s="792">
        <f t="shared" si="7"/>
        <v>0</v>
      </c>
      <c r="J42" s="788">
        <f t="shared" si="7"/>
        <v>0</v>
      </c>
      <c r="K42" s="789">
        <f t="shared" si="7"/>
        <v>0</v>
      </c>
    </row>
    <row r="43" spans="1:15" ht="11.25" customHeight="1">
      <c r="A43" s="794" t="str">
        <f>A38</f>
        <v>Conditions still to be met - transferred to liabilities</v>
      </c>
      <c r="B43" s="182"/>
      <c r="C43" s="1926"/>
      <c r="D43" s="1926"/>
      <c r="E43" s="1927"/>
      <c r="F43" s="1928"/>
      <c r="G43" s="1926"/>
      <c r="H43" s="1927"/>
      <c r="I43" s="1929"/>
      <c r="J43" s="1926"/>
      <c r="K43" s="1930"/>
    </row>
    <row r="44" spans="1:15" ht="11.25" customHeight="1">
      <c r="A44" s="770" t="s">
        <v>589</v>
      </c>
      <c r="B44" s="182"/>
      <c r="C44" s="785"/>
      <c r="D44" s="785"/>
      <c r="E44" s="795"/>
      <c r="F44" s="782"/>
      <c r="G44" s="780"/>
      <c r="H44" s="781"/>
      <c r="I44" s="783"/>
      <c r="J44" s="780"/>
      <c r="K44" s="784"/>
    </row>
    <row r="45" spans="1:15" ht="11.25" customHeight="1">
      <c r="A45" s="794" t="str">
        <f>A35</f>
        <v>Balance unspent at beginning of the year</v>
      </c>
      <c r="B45" s="182"/>
      <c r="C45" s="1926">
        <v>579136</v>
      </c>
      <c r="D45" s="1926">
        <v>1431209</v>
      </c>
      <c r="E45" s="1927">
        <v>533303</v>
      </c>
      <c r="F45" s="1928">
        <v>3108190</v>
      </c>
      <c r="G45" s="1926">
        <v>0</v>
      </c>
      <c r="H45" s="1927">
        <v>0</v>
      </c>
      <c r="I45" s="1929"/>
      <c r="J45" s="1926"/>
      <c r="K45" s="1930"/>
    </row>
    <row r="46" spans="1:15" ht="11.25" customHeight="1">
      <c r="A46" s="794" t="str">
        <f>A36</f>
        <v>Current year receipts</v>
      </c>
      <c r="B46" s="182"/>
      <c r="C46" s="1926">
        <v>0</v>
      </c>
      <c r="D46" s="1926">
        <v>0</v>
      </c>
      <c r="E46" s="1927">
        <v>504000</v>
      </c>
      <c r="F46" s="1928">
        <v>0</v>
      </c>
      <c r="G46" s="1926">
        <v>0</v>
      </c>
      <c r="H46" s="1927">
        <v>0</v>
      </c>
      <c r="I46" s="1929">
        <v>0</v>
      </c>
      <c r="J46" s="1926">
        <v>0</v>
      </c>
      <c r="K46" s="1930">
        <v>0</v>
      </c>
    </row>
    <row r="47" spans="1:15" ht="11.25" customHeight="1">
      <c r="A47" s="796" t="str">
        <f>A37</f>
        <v>Conditions met - transferred to revenue</v>
      </c>
      <c r="B47" s="182"/>
      <c r="C47" s="787">
        <f t="shared" ref="C47:K47" si="8">C45+C46-C48</f>
        <v>579136</v>
      </c>
      <c r="D47" s="788">
        <f t="shared" si="8"/>
        <v>1431209</v>
      </c>
      <c r="E47" s="789">
        <f t="shared" si="8"/>
        <v>1037303</v>
      </c>
      <c r="F47" s="790">
        <f t="shared" si="8"/>
        <v>3108190</v>
      </c>
      <c r="G47" s="788">
        <f t="shared" si="8"/>
        <v>0</v>
      </c>
      <c r="H47" s="791">
        <f t="shared" si="8"/>
        <v>0</v>
      </c>
      <c r="I47" s="792">
        <f t="shared" si="8"/>
        <v>0</v>
      </c>
      <c r="J47" s="788">
        <f t="shared" si="8"/>
        <v>0</v>
      </c>
      <c r="K47" s="789">
        <f t="shared" si="8"/>
        <v>0</v>
      </c>
    </row>
    <row r="48" spans="1:15" ht="11.25" customHeight="1">
      <c r="A48" s="794" t="str">
        <f>A38</f>
        <v>Conditions still to be met - transferred to liabilities</v>
      </c>
      <c r="B48" s="182"/>
      <c r="C48" s="1926"/>
      <c r="D48" s="1926"/>
      <c r="E48" s="1930"/>
      <c r="F48" s="1928"/>
      <c r="G48" s="1926"/>
      <c r="H48" s="1927"/>
      <c r="I48" s="1929"/>
      <c r="J48" s="1926"/>
      <c r="K48" s="1930"/>
    </row>
    <row r="49" spans="1:11">
      <c r="A49" s="797" t="s">
        <v>627</v>
      </c>
      <c r="B49" s="798"/>
      <c r="C49" s="799">
        <f t="shared" ref="C49:K50" si="9">C32+C37+C42+C47</f>
        <v>227611302</v>
      </c>
      <c r="D49" s="799">
        <f t="shared" si="9"/>
        <v>210061932</v>
      </c>
      <c r="E49" s="800">
        <f t="shared" si="9"/>
        <v>371917419</v>
      </c>
      <c r="F49" s="801">
        <f t="shared" si="9"/>
        <v>420920290</v>
      </c>
      <c r="G49" s="799">
        <f t="shared" si="9"/>
        <v>409169028</v>
      </c>
      <c r="H49" s="802">
        <f t="shared" si="9"/>
        <v>409169028</v>
      </c>
      <c r="I49" s="803">
        <f t="shared" si="9"/>
        <v>693963000</v>
      </c>
      <c r="J49" s="799">
        <f t="shared" si="9"/>
        <v>812398000</v>
      </c>
      <c r="K49" s="800">
        <f t="shared" si="9"/>
        <v>670879838</v>
      </c>
    </row>
    <row r="50" spans="1:11">
      <c r="A50" s="797" t="s">
        <v>356</v>
      </c>
      <c r="B50" s="798">
        <v>2</v>
      </c>
      <c r="C50" s="799">
        <f t="shared" si="9"/>
        <v>0</v>
      </c>
      <c r="D50" s="799">
        <f t="shared" si="9"/>
        <v>0</v>
      </c>
      <c r="E50" s="800">
        <f t="shared" si="9"/>
        <v>0</v>
      </c>
      <c r="F50" s="801">
        <f t="shared" si="9"/>
        <v>0</v>
      </c>
      <c r="G50" s="799">
        <f t="shared" si="9"/>
        <v>0</v>
      </c>
      <c r="H50" s="802">
        <f t="shared" si="9"/>
        <v>0</v>
      </c>
      <c r="I50" s="803">
        <f t="shared" si="9"/>
        <v>0</v>
      </c>
      <c r="J50" s="799">
        <f t="shared" si="9"/>
        <v>0</v>
      </c>
      <c r="K50" s="800">
        <f t="shared" si="9"/>
        <v>0</v>
      </c>
    </row>
    <row r="51" spans="1:11" ht="5" customHeight="1">
      <c r="A51" s="804"/>
      <c r="B51" s="182"/>
      <c r="C51" s="785"/>
      <c r="D51" s="785"/>
      <c r="E51" s="795"/>
      <c r="F51" s="782"/>
      <c r="G51" s="780"/>
      <c r="H51" s="781"/>
      <c r="I51" s="783"/>
      <c r="J51" s="780"/>
      <c r="K51" s="784"/>
    </row>
    <row r="52" spans="1:11" ht="11.25" customHeight="1">
      <c r="A52" s="1101" t="s">
        <v>291</v>
      </c>
      <c r="B52" s="1102"/>
      <c r="C52" s="1103">
        <f t="shared" ref="C52:K52" si="10">C25+C49</f>
        <v>534675234</v>
      </c>
      <c r="D52" s="1103">
        <f t="shared" si="10"/>
        <v>535584985</v>
      </c>
      <c r="E52" s="1104">
        <f t="shared" si="10"/>
        <v>644098036</v>
      </c>
      <c r="F52" s="1105">
        <f t="shared" si="10"/>
        <v>703835429</v>
      </c>
      <c r="G52" s="1103">
        <f t="shared" si="10"/>
        <v>701881411</v>
      </c>
      <c r="H52" s="1106">
        <f t="shared" si="10"/>
        <v>701881411</v>
      </c>
      <c r="I52" s="1107">
        <f t="shared" si="10"/>
        <v>1035842800</v>
      </c>
      <c r="J52" s="1103">
        <f t="shared" si="10"/>
        <v>1180821220</v>
      </c>
      <c r="K52" s="1104">
        <f t="shared" si="10"/>
        <v>1108055087</v>
      </c>
    </row>
    <row r="53" spans="1:11" ht="11.25" customHeight="1">
      <c r="A53" s="281" t="s">
        <v>1437</v>
      </c>
      <c r="B53" s="225"/>
      <c r="C53" s="728">
        <f>C26+C50</f>
        <v>0</v>
      </c>
      <c r="D53" s="728">
        <f t="shared" ref="D53:K53" si="11">D26+D50</f>
        <v>0</v>
      </c>
      <c r="E53" s="729">
        <f t="shared" si="11"/>
        <v>0</v>
      </c>
      <c r="F53" s="730">
        <f t="shared" si="11"/>
        <v>0</v>
      </c>
      <c r="G53" s="728">
        <f t="shared" si="11"/>
        <v>0</v>
      </c>
      <c r="H53" s="731">
        <f t="shared" si="11"/>
        <v>0</v>
      </c>
      <c r="I53" s="732">
        <f t="shared" si="11"/>
        <v>0</v>
      </c>
      <c r="J53" s="728">
        <f t="shared" si="11"/>
        <v>0</v>
      </c>
      <c r="K53" s="729">
        <f t="shared" si="11"/>
        <v>0</v>
      </c>
    </row>
    <row r="54" spans="1:11" s="709" customFormat="1" ht="11.25" customHeight="1">
      <c r="A54" s="1233" t="str">
        <f>head27a</f>
        <v>References</v>
      </c>
      <c r="B54" s="1082"/>
      <c r="C54" s="1079"/>
      <c r="D54" s="1079"/>
      <c r="E54" s="1079"/>
      <c r="F54" s="1079"/>
      <c r="G54" s="1079"/>
      <c r="H54" s="1079"/>
      <c r="I54" s="1079"/>
      <c r="J54" s="1079"/>
      <c r="K54" s="1079"/>
    </row>
    <row r="55" spans="1:11" s="709" customFormat="1" ht="11.25" customHeight="1">
      <c r="A55" s="2783" t="s">
        <v>626</v>
      </c>
      <c r="B55" s="2783"/>
      <c r="C55" s="2783"/>
      <c r="D55" s="2783"/>
      <c r="E55" s="2783"/>
      <c r="F55" s="2783"/>
      <c r="G55" s="2783"/>
      <c r="H55" s="2783"/>
      <c r="I55" s="2783"/>
      <c r="J55" s="2783"/>
      <c r="K55" s="2783"/>
    </row>
    <row r="56" spans="1:11" s="709" customFormat="1" ht="11.25" customHeight="1">
      <c r="A56" s="2783" t="s">
        <v>290</v>
      </c>
      <c r="B56" s="2783"/>
      <c r="C56" s="2783"/>
      <c r="D56" s="2783"/>
      <c r="E56" s="2783"/>
      <c r="F56" s="2783"/>
      <c r="G56" s="2783"/>
      <c r="H56" s="2783"/>
      <c r="I56" s="2783"/>
      <c r="J56" s="2783"/>
      <c r="K56" s="2783"/>
    </row>
    <row r="57" spans="1:11" s="709" customFormat="1" ht="11.25" customHeight="1">
      <c r="A57" s="2783" t="s">
        <v>890</v>
      </c>
      <c r="B57" s="2783"/>
      <c r="C57" s="2783"/>
      <c r="D57" s="2783"/>
      <c r="E57" s="2783"/>
      <c r="F57" s="2783"/>
      <c r="G57" s="2783"/>
      <c r="H57" s="2783"/>
      <c r="I57" s="2783"/>
      <c r="J57" s="2783"/>
      <c r="K57" s="2783"/>
    </row>
    <row r="58" spans="1:11" ht="11.25" customHeight="1">
      <c r="A58" s="806"/>
      <c r="B58" s="806"/>
      <c r="C58" s="806"/>
      <c r="D58" s="806"/>
      <c r="E58" s="806"/>
      <c r="F58" s="806"/>
      <c r="G58" s="806"/>
      <c r="H58" s="806"/>
      <c r="I58" s="806"/>
      <c r="J58" s="806"/>
      <c r="K58" s="806"/>
    </row>
    <row r="59" spans="1:11" ht="11.25" customHeight="1">
      <c r="A59" s="437" t="s">
        <v>469</v>
      </c>
      <c r="C59" s="362">
        <f>C25-'A4-FinPerf RE'!C19</f>
        <v>-135100315</v>
      </c>
      <c r="D59" s="362">
        <f>D25-'A4-FinPerf RE'!D19</f>
        <v>-118962398</v>
      </c>
      <c r="E59" s="362">
        <f>E25-'A4-FinPerf RE'!E19</f>
        <v>-190665191</v>
      </c>
      <c r="F59" s="362">
        <f>F25-'A4-FinPerf RE'!F19</f>
        <v>0</v>
      </c>
      <c r="G59" s="362">
        <f>G25-'A4-FinPerf RE'!G19</f>
        <v>-8560502</v>
      </c>
      <c r="H59" s="362">
        <f>H25-'A4-FinPerf RE'!H19</f>
        <v>-8560502</v>
      </c>
      <c r="I59" s="362">
        <f>I25-'A4-FinPerf RE'!J19</f>
        <v>0</v>
      </c>
      <c r="J59" s="362">
        <f>J25-'A4-FinPerf RE'!K19</f>
        <v>0</v>
      </c>
      <c r="K59" s="362">
        <f>K25-'A4-FinPerf RE'!L19</f>
        <v>0</v>
      </c>
    </row>
    <row r="60" spans="1:11" ht="11.25" customHeight="1">
      <c r="A60" s="437" t="s">
        <v>470</v>
      </c>
      <c r="C60" s="362">
        <f>C49-'A5-Capex'!C70</f>
        <v>76947728</v>
      </c>
      <c r="D60" s="362">
        <f>D49-'A5-Capex'!D70</f>
        <v>79000915</v>
      </c>
      <c r="E60" s="362">
        <f>E49-'A5-Capex'!E70</f>
        <v>164209393</v>
      </c>
      <c r="F60" s="362">
        <f>F49-'A5-Capex'!F70</f>
        <v>-100344657</v>
      </c>
      <c r="G60" s="362">
        <f>G49-'A5-Capex'!G70</f>
        <v>-216590531</v>
      </c>
      <c r="H60" s="362">
        <f>H49-'A5-Capex'!H70</f>
        <v>-216590531</v>
      </c>
      <c r="I60" s="362">
        <f>I49-'A5-Capex'!J70</f>
        <v>-297500</v>
      </c>
      <c r="J60" s="362">
        <f>J49-'A5-Capex'!K70</f>
        <v>320500</v>
      </c>
      <c r="K60" s="362">
        <f>K49-'A5-Capex'!L70</f>
        <v>-209128162</v>
      </c>
    </row>
    <row r="61" spans="1:11" ht="11.25" customHeight="1"/>
    <row r="62" spans="1:11" ht="11.25" customHeight="1"/>
    <row r="63" spans="1:11" ht="11.25" customHeight="1"/>
    <row r="64" spans="1:11"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sheetData>
  <sheetProtection sheet="1" objects="1" scenarios="1"/>
  <mergeCells count="5">
    <mergeCell ref="A57:K57"/>
    <mergeCell ref="F2:H2"/>
    <mergeCell ref="I2:K2"/>
    <mergeCell ref="A55:K55"/>
    <mergeCell ref="A56:K56"/>
  </mergeCells>
  <phoneticPr fontId="5" type="noConversion"/>
  <printOptions horizontalCentered="1"/>
  <pageMargins left="0" right="0" top="0.78740157480314998" bottom="0.59055118110236204" header="0.511811023622047" footer="0.511811023622047"/>
  <headerFooter alignWithMargins="0"/>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enableFormatConditionsCalculation="0">
    <tabColor indexed="42"/>
  </sheetPr>
  <dimension ref="A1:P73"/>
  <sheetViews>
    <sheetView showGridLines="0" topLeftCell="A19" workbookViewId="0">
      <selection activeCell="J25" sqref="J25:L26"/>
    </sheetView>
  </sheetViews>
  <sheetFormatPr baseColWidth="10" defaultColWidth="8.83203125" defaultRowHeight="10" x14ac:dyDescent="0"/>
  <cols>
    <col min="1" max="1" width="35.6640625" style="149" customWidth="1"/>
    <col min="2" max="2" width="3" style="247" customWidth="1"/>
    <col min="3" max="12" width="9.33203125" style="149" customWidth="1"/>
    <col min="13" max="13" width="9.83203125" style="149" customWidth="1"/>
    <col min="14" max="14" width="9.5" style="149" customWidth="1"/>
    <col min="15" max="15" width="9.83203125" style="149" customWidth="1"/>
    <col min="16" max="18" width="9.5" style="149" customWidth="1"/>
    <col min="19" max="19" width="9.83203125" style="149" customWidth="1"/>
    <col min="20" max="22" width="9.5" style="149" customWidth="1"/>
    <col min="23" max="24" width="9.83203125" style="149" customWidth="1"/>
    <col min="25" max="16384" width="8.83203125" style="149"/>
  </cols>
  <sheetData>
    <row r="1" spans="1:12" ht="13.5" customHeight="1">
      <c r="A1" s="147" t="str">
        <f>muni&amp;" - "&amp; TableA21</f>
        <v>NW373 Rustenburg - Supporting Table SA21 Transfers and grants made by the municipality</v>
      </c>
      <c r="B1" s="147"/>
      <c r="C1" s="147"/>
      <c r="D1" s="147"/>
      <c r="E1" s="147"/>
      <c r="F1" s="147"/>
      <c r="G1" s="147"/>
      <c r="H1" s="147"/>
      <c r="I1" s="147"/>
      <c r="J1" s="147"/>
      <c r="K1" s="147"/>
      <c r="L1" s="147"/>
    </row>
    <row r="2" spans="1:12" ht="28.5" customHeight="1">
      <c r="A2" s="2121" t="str">
        <f>desc</f>
        <v>Description</v>
      </c>
      <c r="B2" s="2122" t="str">
        <f>head27</f>
        <v>Ref</v>
      </c>
      <c r="C2" s="150" t="str">
        <f>head1b</f>
        <v>2009/10</v>
      </c>
      <c r="D2" s="756" t="str">
        <f>head1A</f>
        <v>2010/11</v>
      </c>
      <c r="E2" s="146" t="str">
        <f>Head1</f>
        <v>2011/12</v>
      </c>
      <c r="F2" s="2765" t="str">
        <f>Head2</f>
        <v>Current Year 2012/13</v>
      </c>
      <c r="G2" s="2766"/>
      <c r="H2" s="2766"/>
      <c r="I2" s="2770"/>
      <c r="J2" s="2762" t="str">
        <f>Head3</f>
        <v>2013/14 Medium Term Revenue &amp; Expenditure Framework</v>
      </c>
      <c r="K2" s="2763"/>
      <c r="L2" s="2764"/>
    </row>
    <row r="3" spans="1:12" ht="20">
      <c r="A3" s="180" t="s">
        <v>667</v>
      </c>
      <c r="B3" s="2123"/>
      <c r="C3" s="390" t="str">
        <f>Head5</f>
        <v>Audited Outcome</v>
      </c>
      <c r="D3" s="999" t="str">
        <f>Head5</f>
        <v>Audited Outcome</v>
      </c>
      <c r="E3" s="391" t="str">
        <f>Head5</f>
        <v>Audited Outcome</v>
      </c>
      <c r="F3" s="299" t="str">
        <f>Head6</f>
        <v>Original Budget</v>
      </c>
      <c r="G3" s="390" t="str">
        <f>Head7</f>
        <v>Adjusted Budget</v>
      </c>
      <c r="H3" s="389" t="str">
        <f>Head8</f>
        <v>Full Year Forecast</v>
      </c>
      <c r="I3" s="2200" t="str">
        <f>Head5b</f>
        <v>Pre-audit outcome</v>
      </c>
      <c r="J3" s="389" t="str">
        <f>Head9</f>
        <v>Budget Year 2013/14</v>
      </c>
      <c r="K3" s="390" t="str">
        <f>Head10</f>
        <v>Budget Year +1 2014/15</v>
      </c>
      <c r="L3" s="391" t="str">
        <f>Head11</f>
        <v>Budget Year +2 2015/16</v>
      </c>
    </row>
    <row r="4" spans="1:12" ht="5.25" customHeight="1">
      <c r="A4" s="2185"/>
      <c r="B4" s="2186"/>
      <c r="C4" s="152"/>
      <c r="D4" s="2182"/>
      <c r="E4" s="153"/>
      <c r="F4" s="151"/>
      <c r="G4" s="152"/>
      <c r="H4" s="154"/>
      <c r="I4" s="659"/>
      <c r="J4" s="154"/>
      <c r="K4" s="152"/>
      <c r="L4" s="153"/>
    </row>
    <row r="5" spans="1:12" ht="11.25" customHeight="1">
      <c r="A5" s="249" t="s">
        <v>2041</v>
      </c>
      <c r="B5" s="2124"/>
      <c r="C5" s="203"/>
      <c r="D5" s="203"/>
      <c r="E5" s="204"/>
      <c r="F5" s="205"/>
      <c r="G5" s="203"/>
      <c r="H5" s="2194"/>
      <c r="I5" s="586"/>
      <c r="J5" s="202"/>
      <c r="K5" s="203"/>
      <c r="L5" s="204"/>
    </row>
    <row r="6" spans="1:12" ht="12" customHeight="1">
      <c r="A6" s="1931" t="s">
        <v>1096</v>
      </c>
      <c r="B6" s="2124">
        <v>1</v>
      </c>
      <c r="C6" s="1615"/>
      <c r="D6" s="1615"/>
      <c r="E6" s="1635"/>
      <c r="F6" s="1636"/>
      <c r="G6" s="1615"/>
      <c r="H6" s="1616"/>
      <c r="I6" s="1810"/>
      <c r="J6" s="1637"/>
      <c r="K6" s="1615"/>
      <c r="L6" s="1635"/>
    </row>
    <row r="7" spans="1:12" ht="11.25" customHeight="1">
      <c r="A7" s="1932"/>
      <c r="B7" s="2124"/>
      <c r="C7" s="1615"/>
      <c r="D7" s="1615"/>
      <c r="E7" s="1635"/>
      <c r="F7" s="1636"/>
      <c r="G7" s="1615"/>
      <c r="H7" s="1616"/>
      <c r="I7" s="1810"/>
      <c r="J7" s="1637"/>
      <c r="K7" s="1615"/>
      <c r="L7" s="1635"/>
    </row>
    <row r="8" spans="1:12" ht="11.25" customHeight="1">
      <c r="A8" s="1932"/>
      <c r="B8" s="2124"/>
      <c r="C8" s="1615"/>
      <c r="D8" s="1615"/>
      <c r="E8" s="1635"/>
      <c r="F8" s="1636"/>
      <c r="G8" s="1615"/>
      <c r="H8" s="1616"/>
      <c r="I8" s="1810"/>
      <c r="J8" s="1637"/>
      <c r="K8" s="1615"/>
      <c r="L8" s="1635"/>
    </row>
    <row r="9" spans="1:12" ht="11.25" customHeight="1">
      <c r="A9" s="797" t="s">
        <v>2043</v>
      </c>
      <c r="B9" s="2125"/>
      <c r="C9" s="276">
        <f>SUM(C6:C8)</f>
        <v>0</v>
      </c>
      <c r="D9" s="276">
        <f t="shared" ref="D9:L9" si="0">SUM(D6:D8)</f>
        <v>0</v>
      </c>
      <c r="E9" s="277">
        <f t="shared" si="0"/>
        <v>0</v>
      </c>
      <c r="F9" s="278">
        <f t="shared" si="0"/>
        <v>0</v>
      </c>
      <c r="G9" s="276">
        <f t="shared" si="0"/>
        <v>0</v>
      </c>
      <c r="H9" s="2195">
        <f t="shared" si="0"/>
        <v>0</v>
      </c>
      <c r="I9" s="2201">
        <f t="shared" si="0"/>
        <v>0</v>
      </c>
      <c r="J9" s="275">
        <f t="shared" si="0"/>
        <v>0</v>
      </c>
      <c r="K9" s="276">
        <f t="shared" si="0"/>
        <v>0</v>
      </c>
      <c r="L9" s="277">
        <f t="shared" si="0"/>
        <v>0</v>
      </c>
    </row>
    <row r="10" spans="1:12" ht="6" customHeight="1">
      <c r="A10" s="273"/>
      <c r="B10" s="2124"/>
      <c r="C10" s="203"/>
      <c r="D10" s="203"/>
      <c r="E10" s="204"/>
      <c r="F10" s="205"/>
      <c r="G10" s="203"/>
      <c r="H10" s="2194"/>
      <c r="I10" s="586"/>
      <c r="J10" s="202"/>
      <c r="K10" s="203"/>
      <c r="L10" s="204"/>
    </row>
    <row r="11" spans="1:12" ht="11.25" customHeight="1">
      <c r="A11" s="810" t="s">
        <v>2044</v>
      </c>
      <c r="B11" s="2126"/>
      <c r="C11" s="207"/>
      <c r="D11" s="207"/>
      <c r="E11" s="264"/>
      <c r="F11" s="251"/>
      <c r="G11" s="207"/>
      <c r="H11" s="558"/>
      <c r="I11" s="1070"/>
      <c r="J11" s="210"/>
      <c r="K11" s="207"/>
      <c r="L11" s="264"/>
    </row>
    <row r="12" spans="1:12" ht="11.25" customHeight="1">
      <c r="A12" s="1931" t="str">
        <f>$A$6</f>
        <v>Insert description</v>
      </c>
      <c r="B12" s="2126">
        <v>2</v>
      </c>
      <c r="C12" s="1615"/>
      <c r="D12" s="1615"/>
      <c r="E12" s="1635"/>
      <c r="F12" s="1636"/>
      <c r="G12" s="1615"/>
      <c r="H12" s="1616"/>
      <c r="I12" s="1810"/>
      <c r="J12" s="1637"/>
      <c r="K12" s="1615"/>
      <c r="L12" s="1635"/>
    </row>
    <row r="13" spans="1:12" ht="11.25" customHeight="1">
      <c r="A13" s="1904"/>
      <c r="B13" s="2126"/>
      <c r="C13" s="1615"/>
      <c r="D13" s="1615"/>
      <c r="E13" s="1635"/>
      <c r="F13" s="1636"/>
      <c r="G13" s="1615"/>
      <c r="H13" s="1616"/>
      <c r="I13" s="1810"/>
      <c r="J13" s="1637"/>
      <c r="K13" s="1615"/>
      <c r="L13" s="1635"/>
    </row>
    <row r="14" spans="1:12" ht="11.25" customHeight="1">
      <c r="A14" s="1904"/>
      <c r="B14" s="2126"/>
      <c r="C14" s="1615"/>
      <c r="D14" s="1615"/>
      <c r="E14" s="1635"/>
      <c r="F14" s="1636"/>
      <c r="G14" s="1615"/>
      <c r="H14" s="1616"/>
      <c r="I14" s="1810"/>
      <c r="J14" s="1637"/>
      <c r="K14" s="1615"/>
      <c r="L14" s="1635"/>
    </row>
    <row r="15" spans="1:12" ht="11.25" customHeight="1">
      <c r="A15" s="811" t="s">
        <v>2045</v>
      </c>
      <c r="B15" s="2127"/>
      <c r="C15" s="813">
        <f>SUM(C12:C14)</f>
        <v>0</v>
      </c>
      <c r="D15" s="813">
        <f t="shared" ref="D15:L15" si="1">SUM(D12:D14)</f>
        <v>0</v>
      </c>
      <c r="E15" s="814">
        <f t="shared" si="1"/>
        <v>0</v>
      </c>
      <c r="F15" s="815">
        <f t="shared" si="1"/>
        <v>0</v>
      </c>
      <c r="G15" s="813">
        <f t="shared" si="1"/>
        <v>0</v>
      </c>
      <c r="H15" s="2196">
        <f t="shared" si="1"/>
        <v>0</v>
      </c>
      <c r="I15" s="2202">
        <f t="shared" si="1"/>
        <v>0</v>
      </c>
      <c r="J15" s="816">
        <f t="shared" si="1"/>
        <v>0</v>
      </c>
      <c r="K15" s="813">
        <f t="shared" si="1"/>
        <v>0</v>
      </c>
      <c r="L15" s="814">
        <f t="shared" si="1"/>
        <v>0</v>
      </c>
    </row>
    <row r="16" spans="1:12">
      <c r="A16" s="650"/>
      <c r="B16" s="2126"/>
      <c r="C16" s="394"/>
      <c r="D16" s="394"/>
      <c r="E16" s="345"/>
      <c r="F16" s="395"/>
      <c r="G16" s="394"/>
      <c r="H16" s="2197"/>
      <c r="I16" s="2203"/>
      <c r="J16" s="396"/>
      <c r="K16" s="394"/>
      <c r="L16" s="345"/>
    </row>
    <row r="17" spans="1:12" ht="11.25" customHeight="1">
      <c r="A17" s="810" t="s">
        <v>2046</v>
      </c>
      <c r="B17" s="2126"/>
      <c r="C17" s="207"/>
      <c r="D17" s="207"/>
      <c r="E17" s="264"/>
      <c r="F17" s="251"/>
      <c r="G17" s="207"/>
      <c r="H17" s="558"/>
      <c r="I17" s="1070"/>
      <c r="J17" s="210"/>
      <c r="K17" s="207"/>
      <c r="L17" s="264"/>
    </row>
    <row r="18" spans="1:12" ht="11.25" customHeight="1">
      <c r="A18" s="1931" t="str">
        <f>$A$6</f>
        <v>Insert description</v>
      </c>
      <c r="B18" s="2126">
        <v>3</v>
      </c>
      <c r="C18" s="1615"/>
      <c r="D18" s="1615"/>
      <c r="E18" s="1635"/>
      <c r="F18" s="1636"/>
      <c r="G18" s="1615"/>
      <c r="H18" s="1616"/>
      <c r="I18" s="1810"/>
      <c r="J18" s="1637"/>
      <c r="K18" s="1615"/>
      <c r="L18" s="1635"/>
    </row>
    <row r="19" spans="1:12" ht="11.25" customHeight="1">
      <c r="A19" s="1904"/>
      <c r="B19" s="2126"/>
      <c r="C19" s="1615"/>
      <c r="D19" s="1615"/>
      <c r="E19" s="1635"/>
      <c r="F19" s="1636"/>
      <c r="G19" s="1615"/>
      <c r="H19" s="1616"/>
      <c r="I19" s="1810"/>
      <c r="J19" s="1637"/>
      <c r="K19" s="1615"/>
      <c r="L19" s="1635"/>
    </row>
    <row r="20" spans="1:12" ht="11.25" customHeight="1">
      <c r="A20" s="1904"/>
      <c r="B20" s="2126"/>
      <c r="C20" s="1615"/>
      <c r="D20" s="1615"/>
      <c r="E20" s="1635"/>
      <c r="F20" s="1636"/>
      <c r="G20" s="1615"/>
      <c r="H20" s="1616"/>
      <c r="I20" s="1810"/>
      <c r="J20" s="1637"/>
      <c r="K20" s="1615"/>
      <c r="L20" s="1635"/>
    </row>
    <row r="21" spans="1:12" ht="11.25" customHeight="1">
      <c r="A21" s="811" t="s">
        <v>2047</v>
      </c>
      <c r="B21" s="2127"/>
      <c r="C21" s="813">
        <f>SUM(C18:C20)</f>
        <v>0</v>
      </c>
      <c r="D21" s="813">
        <f t="shared" ref="D21:L21" si="2">SUM(D18:D20)</f>
        <v>0</v>
      </c>
      <c r="E21" s="814">
        <f t="shared" si="2"/>
        <v>0</v>
      </c>
      <c r="F21" s="815">
        <f t="shared" si="2"/>
        <v>0</v>
      </c>
      <c r="G21" s="813">
        <f t="shared" si="2"/>
        <v>0</v>
      </c>
      <c r="H21" s="2196">
        <f t="shared" si="2"/>
        <v>0</v>
      </c>
      <c r="I21" s="2202">
        <f t="shared" si="2"/>
        <v>0</v>
      </c>
      <c r="J21" s="816">
        <f t="shared" si="2"/>
        <v>0</v>
      </c>
      <c r="K21" s="813">
        <f>SUM(K18:K20)</f>
        <v>0</v>
      </c>
      <c r="L21" s="814">
        <f t="shared" si="2"/>
        <v>0</v>
      </c>
    </row>
    <row r="22" spans="1:12" ht="11.25" customHeight="1">
      <c r="A22" s="650"/>
      <c r="B22" s="2126"/>
      <c r="C22" s="394"/>
      <c r="D22" s="394"/>
      <c r="E22" s="345"/>
      <c r="F22" s="395"/>
      <c r="G22" s="394"/>
      <c r="H22" s="2197"/>
      <c r="I22" s="2203"/>
      <c r="J22" s="396"/>
      <c r="K22" s="394"/>
      <c r="L22" s="345"/>
    </row>
    <row r="23" spans="1:12" ht="11.25" customHeight="1">
      <c r="A23" s="810" t="s">
        <v>2048</v>
      </c>
      <c r="B23" s="2126"/>
      <c r="C23" s="207"/>
      <c r="D23" s="207"/>
      <c r="E23" s="264"/>
      <c r="F23" s="251"/>
      <c r="G23" s="207"/>
      <c r="H23" s="558"/>
      <c r="I23" s="1070"/>
      <c r="J23" s="210"/>
      <c r="K23" s="207"/>
      <c r="L23" s="264"/>
    </row>
    <row r="24" spans="1:12" ht="11.25" customHeight="1">
      <c r="A24" s="2583" t="s">
        <v>2545</v>
      </c>
      <c r="B24" s="2126">
        <v>4</v>
      </c>
      <c r="C24" s="1615"/>
      <c r="D24" s="1615"/>
      <c r="E24" s="1635"/>
      <c r="F24" s="1637">
        <v>39388</v>
      </c>
      <c r="G24" s="1637">
        <v>39388</v>
      </c>
      <c r="H24" s="1637">
        <v>39388</v>
      </c>
      <c r="I24" s="1637">
        <v>39388</v>
      </c>
      <c r="J24" s="1637">
        <v>41400</v>
      </c>
      <c r="K24" s="1615">
        <v>50000</v>
      </c>
      <c r="L24" s="1635">
        <v>52800</v>
      </c>
    </row>
    <row r="25" spans="1:12" ht="11.25" customHeight="1">
      <c r="A25" s="2584" t="s">
        <v>2546</v>
      </c>
      <c r="B25" s="2126"/>
      <c r="C25" s="1615"/>
      <c r="D25" s="1615"/>
      <c r="E25" s="1635"/>
      <c r="F25" s="1637">
        <v>200000</v>
      </c>
      <c r="G25" s="1637">
        <v>200000</v>
      </c>
      <c r="H25" s="1637">
        <v>200000</v>
      </c>
      <c r="I25" s="1637">
        <v>200000</v>
      </c>
      <c r="J25" s="1637">
        <v>385000</v>
      </c>
      <c r="K25" s="1615">
        <v>385000</v>
      </c>
      <c r="L25" s="1635">
        <v>385000</v>
      </c>
    </row>
    <row r="26" spans="1:12" ht="11.25" customHeight="1">
      <c r="A26" s="2584" t="s">
        <v>2547</v>
      </c>
      <c r="B26" s="2126"/>
      <c r="C26" s="1615"/>
      <c r="D26" s="1615"/>
      <c r="E26" s="1635"/>
      <c r="F26" s="1637">
        <v>50000</v>
      </c>
      <c r="G26" s="1637">
        <v>50000</v>
      </c>
      <c r="H26" s="1637">
        <v>50000</v>
      </c>
      <c r="I26" s="1637">
        <v>50000</v>
      </c>
      <c r="J26" s="1637">
        <v>50000</v>
      </c>
      <c r="K26" s="1615">
        <v>50000</v>
      </c>
      <c r="L26" s="1635">
        <v>50000</v>
      </c>
    </row>
    <row r="27" spans="1:12" ht="12" customHeight="1">
      <c r="A27" s="1571" t="s">
        <v>2049</v>
      </c>
      <c r="B27" s="2127"/>
      <c r="C27" s="813">
        <f>SUM(C24:C26)</f>
        <v>0</v>
      </c>
      <c r="D27" s="813">
        <f t="shared" ref="D27:L27" si="3">SUM(D24:D26)</f>
        <v>0</v>
      </c>
      <c r="E27" s="814">
        <f t="shared" si="3"/>
        <v>0</v>
      </c>
      <c r="F27" s="815">
        <f t="shared" si="3"/>
        <v>289388</v>
      </c>
      <c r="G27" s="813">
        <f t="shared" si="3"/>
        <v>289388</v>
      </c>
      <c r="H27" s="2196">
        <f t="shared" si="3"/>
        <v>289388</v>
      </c>
      <c r="I27" s="2202">
        <f t="shared" si="3"/>
        <v>289388</v>
      </c>
      <c r="J27" s="816">
        <f t="shared" si="3"/>
        <v>476400</v>
      </c>
      <c r="K27" s="813">
        <f>SUM(K24:K26)</f>
        <v>485000</v>
      </c>
      <c r="L27" s="814">
        <f t="shared" si="3"/>
        <v>487800</v>
      </c>
    </row>
    <row r="28" spans="1:12" ht="12" customHeight="1">
      <c r="A28" s="2184"/>
      <c r="B28" s="2126"/>
      <c r="C28" s="394"/>
      <c r="D28" s="394"/>
      <c r="E28" s="345"/>
      <c r="F28" s="395"/>
      <c r="G28" s="394"/>
      <c r="H28" s="2197"/>
      <c r="I28" s="2203"/>
      <c r="J28" s="396"/>
      <c r="K28" s="394"/>
      <c r="L28" s="345"/>
    </row>
    <row r="29" spans="1:12">
      <c r="A29" s="810" t="s">
        <v>2050</v>
      </c>
      <c r="B29" s="2126"/>
      <c r="C29" s="207"/>
      <c r="D29" s="207"/>
      <c r="E29" s="264"/>
      <c r="F29" s="251"/>
      <c r="G29" s="207"/>
      <c r="H29" s="558"/>
      <c r="I29" s="1070"/>
      <c r="J29" s="210"/>
      <c r="K29" s="207"/>
      <c r="L29" s="264"/>
    </row>
    <row r="30" spans="1:12" ht="11.25" customHeight="1">
      <c r="A30" s="1931" t="str">
        <f>$A$6</f>
        <v>Insert description</v>
      </c>
      <c r="B30" s="2126">
        <v>5</v>
      </c>
      <c r="C30" s="1615"/>
      <c r="D30" s="1615"/>
      <c r="E30" s="1635"/>
      <c r="F30" s="1636"/>
      <c r="G30" s="1615"/>
      <c r="H30" s="1616"/>
      <c r="I30" s="1810"/>
      <c r="J30" s="1637"/>
      <c r="K30" s="1615"/>
      <c r="L30" s="1635"/>
    </row>
    <row r="31" spans="1:12" ht="11.25" customHeight="1">
      <c r="A31" s="1904"/>
      <c r="B31" s="2126"/>
      <c r="C31" s="1615"/>
      <c r="D31" s="1615"/>
      <c r="E31" s="1635"/>
      <c r="F31" s="1636"/>
      <c r="G31" s="1615"/>
      <c r="H31" s="1616"/>
      <c r="I31" s="1810"/>
      <c r="J31" s="1637"/>
      <c r="K31" s="1615"/>
      <c r="L31" s="1635"/>
    </row>
    <row r="32" spans="1:12" ht="11.25" customHeight="1">
      <c r="A32" s="1904"/>
      <c r="B32" s="2126"/>
      <c r="C32" s="1615"/>
      <c r="D32" s="1615"/>
      <c r="E32" s="1635"/>
      <c r="F32" s="1636"/>
      <c r="G32" s="1615"/>
      <c r="H32" s="1616"/>
      <c r="I32" s="1810"/>
      <c r="J32" s="1637"/>
      <c r="K32" s="1615"/>
      <c r="L32" s="1635"/>
    </row>
    <row r="33" spans="1:16" ht="11.25" customHeight="1">
      <c r="A33" s="1571" t="s">
        <v>2051</v>
      </c>
      <c r="B33" s="2127"/>
      <c r="C33" s="813">
        <f>SUM(C30:C32)</f>
        <v>0</v>
      </c>
      <c r="D33" s="813">
        <f t="shared" ref="D33:L33" si="4">SUM(D30:D32)</f>
        <v>0</v>
      </c>
      <c r="E33" s="814">
        <f t="shared" si="4"/>
        <v>0</v>
      </c>
      <c r="F33" s="815">
        <f>SUM(F30:F32)</f>
        <v>0</v>
      </c>
      <c r="G33" s="813">
        <f t="shared" si="4"/>
        <v>0</v>
      </c>
      <c r="H33" s="2196">
        <f>SUM(H30:H32)</f>
        <v>0</v>
      </c>
      <c r="I33" s="2202">
        <f>SUM(I30:I32)</f>
        <v>0</v>
      </c>
      <c r="J33" s="816">
        <f t="shared" si="4"/>
        <v>0</v>
      </c>
      <c r="K33" s="813">
        <f>SUM(K30:K32)</f>
        <v>0</v>
      </c>
      <c r="L33" s="814">
        <f t="shared" si="4"/>
        <v>0</v>
      </c>
    </row>
    <row r="34" spans="1:16" ht="15" customHeight="1">
      <c r="A34" s="818" t="s">
        <v>2042</v>
      </c>
      <c r="B34" s="2128">
        <v>6</v>
      </c>
      <c r="C34" s="227">
        <f t="shared" ref="C34:L34" si="5">C9+C15+C21+C27+C33</f>
        <v>0</v>
      </c>
      <c r="D34" s="227">
        <f t="shared" si="5"/>
        <v>0</v>
      </c>
      <c r="E34" s="352">
        <f t="shared" si="5"/>
        <v>0</v>
      </c>
      <c r="F34" s="353">
        <f t="shared" si="5"/>
        <v>289388</v>
      </c>
      <c r="G34" s="227">
        <f t="shared" si="5"/>
        <v>289388</v>
      </c>
      <c r="H34" s="2198">
        <f t="shared" si="5"/>
        <v>289388</v>
      </c>
      <c r="I34" s="2204">
        <f t="shared" si="5"/>
        <v>289388</v>
      </c>
      <c r="J34" s="226">
        <f t="shared" si="5"/>
        <v>476400</v>
      </c>
      <c r="K34" s="227">
        <f t="shared" si="5"/>
        <v>485000</v>
      </c>
      <c r="L34" s="352">
        <f t="shared" si="5"/>
        <v>487800</v>
      </c>
    </row>
    <row r="35" spans="1:16" ht="7.5" customHeight="1">
      <c r="A35" s="2187"/>
      <c r="B35" s="2188"/>
      <c r="C35" s="2189"/>
      <c r="D35" s="2189"/>
      <c r="E35" s="2189"/>
      <c r="F35" s="2189"/>
      <c r="G35" s="2189"/>
      <c r="H35" s="2189"/>
      <c r="I35" s="2205"/>
      <c r="J35" s="2189"/>
      <c r="K35" s="2189"/>
      <c r="L35" s="2189"/>
    </row>
    <row r="36" spans="1:16" ht="11.25" customHeight="1">
      <c r="A36" s="897" t="s">
        <v>2159</v>
      </c>
      <c r="B36" s="2190"/>
      <c r="C36" s="426"/>
      <c r="D36" s="426"/>
      <c r="E36" s="2191"/>
      <c r="F36" s="2192"/>
      <c r="G36" s="426"/>
      <c r="H36" s="2199"/>
      <c r="I36" s="2206"/>
      <c r="J36" s="2193"/>
      <c r="K36" s="426"/>
      <c r="L36" s="2191"/>
    </row>
    <row r="37" spans="1:16" ht="11.25" customHeight="1">
      <c r="A37" s="1931" t="s">
        <v>1096</v>
      </c>
      <c r="B37" s="2124">
        <v>1</v>
      </c>
      <c r="C37" s="1615"/>
      <c r="D37" s="1615"/>
      <c r="E37" s="1635"/>
      <c r="F37" s="1636"/>
      <c r="G37" s="1615"/>
      <c r="H37" s="1616"/>
      <c r="I37" s="1810"/>
      <c r="J37" s="1637"/>
      <c r="K37" s="1615"/>
      <c r="L37" s="1635"/>
    </row>
    <row r="38" spans="1:16" ht="11.25" customHeight="1">
      <c r="A38" s="1932"/>
      <c r="B38" s="2124"/>
      <c r="C38" s="1615"/>
      <c r="D38" s="1615"/>
      <c r="E38" s="1635"/>
      <c r="F38" s="1636"/>
      <c r="G38" s="1615"/>
      <c r="H38" s="1616"/>
      <c r="I38" s="1810"/>
      <c r="J38" s="1637"/>
      <c r="K38" s="1615"/>
      <c r="L38" s="1635"/>
      <c r="P38" s="370"/>
    </row>
    <row r="39" spans="1:16" ht="11.25" customHeight="1">
      <c r="A39" s="1932"/>
      <c r="B39" s="2124"/>
      <c r="C39" s="1615"/>
      <c r="D39" s="1615"/>
      <c r="E39" s="1635"/>
      <c r="F39" s="1636"/>
      <c r="G39" s="1615"/>
      <c r="H39" s="1616"/>
      <c r="I39" s="1810"/>
      <c r="J39" s="1637"/>
      <c r="K39" s="1615"/>
      <c r="L39" s="1635"/>
    </row>
    <row r="40" spans="1:16" ht="11.25" customHeight="1">
      <c r="A40" s="797" t="s">
        <v>2160</v>
      </c>
      <c r="B40" s="2125"/>
      <c r="C40" s="276">
        <f>SUM(C37:C39)</f>
        <v>0</v>
      </c>
      <c r="D40" s="276">
        <f t="shared" ref="D40:L40" si="6">SUM(D37:D39)</f>
        <v>0</v>
      </c>
      <c r="E40" s="277">
        <f t="shared" si="6"/>
        <v>0</v>
      </c>
      <c r="F40" s="278">
        <f t="shared" si="6"/>
        <v>0</v>
      </c>
      <c r="G40" s="276">
        <f t="shared" si="6"/>
        <v>0</v>
      </c>
      <c r="H40" s="2195">
        <f t="shared" si="6"/>
        <v>0</v>
      </c>
      <c r="I40" s="2201">
        <f t="shared" si="6"/>
        <v>0</v>
      </c>
      <c r="J40" s="275">
        <f t="shared" si="6"/>
        <v>0</v>
      </c>
      <c r="K40" s="276">
        <f t="shared" si="6"/>
        <v>0</v>
      </c>
      <c r="L40" s="277">
        <f t="shared" si="6"/>
        <v>0</v>
      </c>
    </row>
    <row r="41" spans="1:16" ht="11.25" customHeight="1">
      <c r="A41" s="273"/>
      <c r="B41" s="2124"/>
      <c r="C41" s="203"/>
      <c r="D41" s="203"/>
      <c r="E41" s="204"/>
      <c r="F41" s="205"/>
      <c r="G41" s="203"/>
      <c r="H41" s="2194"/>
      <c r="I41" s="586"/>
      <c r="J41" s="202"/>
      <c r="K41" s="203"/>
      <c r="L41" s="204"/>
    </row>
    <row r="42" spans="1:16" ht="11.25" customHeight="1">
      <c r="A42" s="810" t="s">
        <v>2161</v>
      </c>
      <c r="B42" s="2126"/>
      <c r="C42" s="207"/>
      <c r="D42" s="207"/>
      <c r="E42" s="264"/>
      <c r="F42" s="251"/>
      <c r="G42" s="207"/>
      <c r="H42" s="558"/>
      <c r="I42" s="1070"/>
      <c r="J42" s="210"/>
      <c r="K42" s="207"/>
      <c r="L42" s="264"/>
    </row>
    <row r="43" spans="1:16" ht="11.25" customHeight="1">
      <c r="A43" s="1931" t="str">
        <f>$A$6</f>
        <v>Insert description</v>
      </c>
      <c r="B43" s="2126">
        <v>2</v>
      </c>
      <c r="C43" s="1615"/>
      <c r="D43" s="1615"/>
      <c r="E43" s="1635"/>
      <c r="F43" s="1636"/>
      <c r="G43" s="1615"/>
      <c r="H43" s="1616"/>
      <c r="I43" s="1810"/>
      <c r="J43" s="1637"/>
      <c r="K43" s="1615"/>
      <c r="L43" s="1635"/>
    </row>
    <row r="44" spans="1:16" ht="11.25" customHeight="1">
      <c r="A44" s="1904"/>
      <c r="B44" s="2126"/>
      <c r="C44" s="1615"/>
      <c r="D44" s="1615"/>
      <c r="E44" s="1635"/>
      <c r="F44" s="1636"/>
      <c r="G44" s="1615"/>
      <c r="H44" s="1616"/>
      <c r="I44" s="1810"/>
      <c r="J44" s="1637"/>
      <c r="K44" s="1615"/>
      <c r="L44" s="1635"/>
    </row>
    <row r="45" spans="1:16" ht="11.25" customHeight="1">
      <c r="A45" s="1904"/>
      <c r="B45" s="2126"/>
      <c r="C45" s="1615"/>
      <c r="D45" s="1615"/>
      <c r="E45" s="1635"/>
      <c r="F45" s="1636"/>
      <c r="G45" s="1615"/>
      <c r="H45" s="1616"/>
      <c r="I45" s="1810"/>
      <c r="J45" s="1637"/>
      <c r="K45" s="1615"/>
      <c r="L45" s="1635"/>
    </row>
    <row r="46" spans="1:16" ht="11.25" customHeight="1">
      <c r="A46" s="811" t="s">
        <v>2162</v>
      </c>
      <c r="B46" s="2127"/>
      <c r="C46" s="813">
        <f>SUM(C43:C45)</f>
        <v>0</v>
      </c>
      <c r="D46" s="813">
        <f t="shared" ref="D46:L46" si="7">SUM(D43:D45)</f>
        <v>0</v>
      </c>
      <c r="E46" s="814">
        <f t="shared" si="7"/>
        <v>0</v>
      </c>
      <c r="F46" s="815">
        <f t="shared" si="7"/>
        <v>0</v>
      </c>
      <c r="G46" s="813">
        <f t="shared" si="7"/>
        <v>0</v>
      </c>
      <c r="H46" s="2196">
        <f t="shared" si="7"/>
        <v>0</v>
      </c>
      <c r="I46" s="2202">
        <f t="shared" si="7"/>
        <v>0</v>
      </c>
      <c r="J46" s="816">
        <f t="shared" si="7"/>
        <v>0</v>
      </c>
      <c r="K46" s="813">
        <f t="shared" si="7"/>
        <v>0</v>
      </c>
      <c r="L46" s="814">
        <f t="shared" si="7"/>
        <v>0</v>
      </c>
    </row>
    <row r="47" spans="1:16" ht="11.25" customHeight="1">
      <c r="A47" s="650"/>
      <c r="B47" s="2126"/>
      <c r="C47" s="394"/>
      <c r="D47" s="394"/>
      <c r="E47" s="345"/>
      <c r="F47" s="395"/>
      <c r="G47" s="394"/>
      <c r="H47" s="2197"/>
      <c r="I47" s="2203"/>
      <c r="J47" s="396"/>
      <c r="K47" s="394"/>
      <c r="L47" s="345"/>
    </row>
    <row r="48" spans="1:16" ht="11.25" customHeight="1">
      <c r="A48" s="810" t="s">
        <v>2163</v>
      </c>
      <c r="B48" s="2126"/>
      <c r="C48" s="207"/>
      <c r="D48" s="207"/>
      <c r="E48" s="264"/>
      <c r="F48" s="251"/>
      <c r="G48" s="207"/>
      <c r="H48" s="558"/>
      <c r="I48" s="1070"/>
      <c r="J48" s="210"/>
      <c r="K48" s="207"/>
      <c r="L48" s="264"/>
    </row>
    <row r="49" spans="1:12" ht="11.25" customHeight="1">
      <c r="A49" s="1931" t="str">
        <f>$A$6</f>
        <v>Insert description</v>
      </c>
      <c r="B49" s="2126">
        <v>3</v>
      </c>
      <c r="C49" s="1615"/>
      <c r="D49" s="1615"/>
      <c r="E49" s="1635"/>
      <c r="F49" s="1636"/>
      <c r="G49" s="1615"/>
      <c r="H49" s="1616"/>
      <c r="I49" s="1810"/>
      <c r="J49" s="1637"/>
      <c r="K49" s="1615"/>
      <c r="L49" s="1635"/>
    </row>
    <row r="50" spans="1:12" ht="11.25" customHeight="1">
      <c r="A50" s="1904"/>
      <c r="B50" s="2126"/>
      <c r="C50" s="1615"/>
      <c r="D50" s="1615"/>
      <c r="E50" s="1635"/>
      <c r="F50" s="1636"/>
      <c r="G50" s="1615"/>
      <c r="H50" s="1616"/>
      <c r="I50" s="1810"/>
      <c r="J50" s="1637"/>
      <c r="K50" s="1615"/>
      <c r="L50" s="1635"/>
    </row>
    <row r="51" spans="1:12" ht="11.25" customHeight="1">
      <c r="A51" s="1904"/>
      <c r="B51" s="2126"/>
      <c r="C51" s="1615"/>
      <c r="D51" s="1615"/>
      <c r="E51" s="1635"/>
      <c r="F51" s="1636"/>
      <c r="G51" s="1615"/>
      <c r="H51" s="1616"/>
      <c r="I51" s="1810"/>
      <c r="J51" s="1637"/>
      <c r="K51" s="1615"/>
      <c r="L51" s="1635"/>
    </row>
    <row r="52" spans="1:12" ht="11.25" customHeight="1">
      <c r="A52" s="811" t="s">
        <v>2164</v>
      </c>
      <c r="B52" s="2127"/>
      <c r="C52" s="813">
        <f>SUM(C49:C51)</f>
        <v>0</v>
      </c>
      <c r="D52" s="813">
        <f t="shared" ref="D52:J52" si="8">SUM(D49:D51)</f>
        <v>0</v>
      </c>
      <c r="E52" s="814">
        <f t="shared" si="8"/>
        <v>0</v>
      </c>
      <c r="F52" s="815">
        <f t="shared" si="8"/>
        <v>0</v>
      </c>
      <c r="G52" s="813">
        <f t="shared" si="8"/>
        <v>0</v>
      </c>
      <c r="H52" s="2196">
        <f t="shared" si="8"/>
        <v>0</v>
      </c>
      <c r="I52" s="2202">
        <f t="shared" si="8"/>
        <v>0</v>
      </c>
      <c r="J52" s="816">
        <f t="shared" si="8"/>
        <v>0</v>
      </c>
      <c r="K52" s="813">
        <f>SUM(K49:K51)</f>
        <v>0</v>
      </c>
      <c r="L52" s="814">
        <f>SUM(L49:L51)</f>
        <v>0</v>
      </c>
    </row>
    <row r="53" spans="1:12" ht="11.25" customHeight="1">
      <c r="A53" s="650"/>
      <c r="B53" s="2126"/>
      <c r="C53" s="394"/>
      <c r="D53" s="394"/>
      <c r="E53" s="345"/>
      <c r="F53" s="395"/>
      <c r="G53" s="394"/>
      <c r="H53" s="2197"/>
      <c r="I53" s="2203"/>
      <c r="J53" s="396"/>
      <c r="K53" s="394"/>
      <c r="L53" s="345"/>
    </row>
    <row r="54" spans="1:12" ht="11.25" customHeight="1">
      <c r="A54" s="810" t="s">
        <v>2165</v>
      </c>
      <c r="B54" s="2126"/>
      <c r="C54" s="207"/>
      <c r="D54" s="207"/>
      <c r="E54" s="264"/>
      <c r="F54" s="251"/>
      <c r="G54" s="207"/>
      <c r="H54" s="558"/>
      <c r="I54" s="1070"/>
      <c r="J54" s="210"/>
      <c r="K54" s="207"/>
      <c r="L54" s="264"/>
    </row>
    <row r="55" spans="1:12" ht="11.25" customHeight="1">
      <c r="A55" s="1931" t="str">
        <f>$A$6</f>
        <v>Insert description</v>
      </c>
      <c r="B55" s="2126">
        <v>4</v>
      </c>
      <c r="C55" s="1615"/>
      <c r="D55" s="1615"/>
      <c r="E55" s="1635"/>
      <c r="F55" s="1636"/>
      <c r="G55" s="1615"/>
      <c r="H55" s="1616"/>
      <c r="I55" s="1810"/>
      <c r="J55" s="1637"/>
      <c r="K55" s="1615"/>
      <c r="L55" s="1635"/>
    </row>
    <row r="56" spans="1:12" ht="11.25" customHeight="1">
      <c r="A56" s="1904"/>
      <c r="B56" s="2126"/>
      <c r="C56" s="1615"/>
      <c r="D56" s="1615"/>
      <c r="E56" s="1635"/>
      <c r="F56" s="1636"/>
      <c r="G56" s="1615"/>
      <c r="H56" s="1616"/>
      <c r="I56" s="1810"/>
      <c r="J56" s="1637"/>
      <c r="K56" s="1615"/>
      <c r="L56" s="1635"/>
    </row>
    <row r="57" spans="1:12" ht="11.25" customHeight="1">
      <c r="A57" s="1904"/>
      <c r="B57" s="2126"/>
      <c r="C57" s="1615"/>
      <c r="D57" s="1615"/>
      <c r="E57" s="1635"/>
      <c r="F57" s="1636"/>
      <c r="G57" s="1615"/>
      <c r="H57" s="1616"/>
      <c r="I57" s="1810"/>
      <c r="J57" s="1637"/>
      <c r="K57" s="1615"/>
      <c r="L57" s="1635"/>
    </row>
    <row r="58" spans="1:12" ht="11.25" customHeight="1">
      <c r="A58" s="1571" t="s">
        <v>2166</v>
      </c>
      <c r="B58" s="2127"/>
      <c r="C58" s="813">
        <f>SUM(C55:C57)</f>
        <v>0</v>
      </c>
      <c r="D58" s="813">
        <f t="shared" ref="D58:J58" si="9">SUM(D55:D57)</f>
        <v>0</v>
      </c>
      <c r="E58" s="814">
        <f t="shared" si="9"/>
        <v>0</v>
      </c>
      <c r="F58" s="815">
        <f t="shared" si="9"/>
        <v>0</v>
      </c>
      <c r="G58" s="813">
        <f t="shared" si="9"/>
        <v>0</v>
      </c>
      <c r="H58" s="2196">
        <f t="shared" si="9"/>
        <v>0</v>
      </c>
      <c r="I58" s="2202">
        <f t="shared" si="9"/>
        <v>0</v>
      </c>
      <c r="J58" s="816">
        <f t="shared" si="9"/>
        <v>0</v>
      </c>
      <c r="K58" s="813">
        <f>SUM(K55:K57)</f>
        <v>0</v>
      </c>
      <c r="L58" s="814">
        <f>SUM(L55:L57)</f>
        <v>0</v>
      </c>
    </row>
    <row r="59" spans="1:12" ht="11.25" customHeight="1">
      <c r="A59" s="2184"/>
      <c r="B59" s="2126"/>
      <c r="C59" s="394"/>
      <c r="D59" s="394"/>
      <c r="E59" s="345"/>
      <c r="F59" s="395"/>
      <c r="G59" s="394"/>
      <c r="H59" s="2197"/>
      <c r="I59" s="2203"/>
      <c r="J59" s="396"/>
      <c r="K59" s="394"/>
      <c r="L59" s="345"/>
    </row>
    <row r="60" spans="1:12" ht="11.25" customHeight="1">
      <c r="A60" s="810" t="s">
        <v>2038</v>
      </c>
      <c r="B60" s="2126"/>
      <c r="C60" s="207"/>
      <c r="D60" s="207"/>
      <c r="E60" s="264"/>
      <c r="F60" s="251"/>
      <c r="G60" s="207"/>
      <c r="H60" s="558"/>
      <c r="I60" s="1070"/>
      <c r="J60" s="210"/>
      <c r="K60" s="207"/>
      <c r="L60" s="264"/>
    </row>
    <row r="61" spans="1:12" ht="11.25" customHeight="1">
      <c r="A61" s="1931" t="str">
        <f>$A$6</f>
        <v>Insert description</v>
      </c>
      <c r="B61" s="2126">
        <v>5</v>
      </c>
      <c r="C61" s="1615"/>
      <c r="D61" s="1615"/>
      <c r="E61" s="1635"/>
      <c r="F61" s="1636"/>
      <c r="G61" s="1615"/>
      <c r="H61" s="1616"/>
      <c r="I61" s="1810"/>
      <c r="J61" s="1637"/>
      <c r="K61" s="1615"/>
      <c r="L61" s="1635"/>
    </row>
    <row r="62" spans="1:12" ht="11.25" customHeight="1">
      <c r="A62" s="1904"/>
      <c r="B62" s="2126"/>
      <c r="C62" s="1615"/>
      <c r="D62" s="1615"/>
      <c r="E62" s="1635"/>
      <c r="F62" s="1636"/>
      <c r="G62" s="1615"/>
      <c r="H62" s="1616"/>
      <c r="I62" s="1810"/>
      <c r="J62" s="1637"/>
      <c r="K62" s="1615"/>
      <c r="L62" s="1635"/>
    </row>
    <row r="63" spans="1:12" ht="11.25" customHeight="1">
      <c r="A63" s="1904"/>
      <c r="B63" s="2126"/>
      <c r="C63" s="1615"/>
      <c r="D63" s="1615"/>
      <c r="E63" s="1635"/>
      <c r="F63" s="1636"/>
      <c r="G63" s="1615"/>
      <c r="H63" s="1616"/>
      <c r="I63" s="1810"/>
      <c r="J63" s="1637"/>
      <c r="K63" s="1615"/>
      <c r="L63" s="1635"/>
    </row>
    <row r="64" spans="1:12" ht="11.25" customHeight="1">
      <c r="A64" s="1571" t="s">
        <v>2167</v>
      </c>
      <c r="B64" s="2127"/>
      <c r="C64" s="813">
        <f t="shared" ref="C64:L64" si="10">SUM(C61:C63)</f>
        <v>0</v>
      </c>
      <c r="D64" s="813">
        <f t="shared" si="10"/>
        <v>0</v>
      </c>
      <c r="E64" s="814">
        <f t="shared" si="10"/>
        <v>0</v>
      </c>
      <c r="F64" s="815">
        <f t="shared" si="10"/>
        <v>0</v>
      </c>
      <c r="G64" s="813">
        <f t="shared" si="10"/>
        <v>0</v>
      </c>
      <c r="H64" s="2196">
        <f t="shared" si="10"/>
        <v>0</v>
      </c>
      <c r="I64" s="2202">
        <f t="shared" si="10"/>
        <v>0</v>
      </c>
      <c r="J64" s="816">
        <f t="shared" si="10"/>
        <v>0</v>
      </c>
      <c r="K64" s="813">
        <f t="shared" si="10"/>
        <v>0</v>
      </c>
      <c r="L64" s="814">
        <f t="shared" si="10"/>
        <v>0</v>
      </c>
    </row>
    <row r="65" spans="1:12" ht="15" customHeight="1">
      <c r="A65" s="818" t="s">
        <v>2168</v>
      </c>
      <c r="B65" s="2128"/>
      <c r="C65" s="227">
        <f t="shared" ref="C65:L65" si="11">C40+C46+C52+C58+C64</f>
        <v>0</v>
      </c>
      <c r="D65" s="227">
        <f t="shared" si="11"/>
        <v>0</v>
      </c>
      <c r="E65" s="352">
        <f t="shared" si="11"/>
        <v>0</v>
      </c>
      <c r="F65" s="353">
        <f t="shared" si="11"/>
        <v>0</v>
      </c>
      <c r="G65" s="227">
        <f t="shared" si="11"/>
        <v>0</v>
      </c>
      <c r="H65" s="2198">
        <f t="shared" si="11"/>
        <v>0</v>
      </c>
      <c r="I65" s="2204">
        <f t="shared" si="11"/>
        <v>0</v>
      </c>
      <c r="J65" s="226">
        <f t="shared" si="11"/>
        <v>0</v>
      </c>
      <c r="K65" s="227">
        <f t="shared" si="11"/>
        <v>0</v>
      </c>
      <c r="L65" s="352">
        <f t="shared" si="11"/>
        <v>0</v>
      </c>
    </row>
    <row r="66" spans="1:12" ht="15" customHeight="1">
      <c r="A66" s="818" t="s">
        <v>310</v>
      </c>
      <c r="B66" s="2128">
        <v>6</v>
      </c>
      <c r="C66" s="227">
        <f>C34+C65</f>
        <v>0</v>
      </c>
      <c r="D66" s="227">
        <f t="shared" ref="D66:L66" si="12">D34+D65</f>
        <v>0</v>
      </c>
      <c r="E66" s="352">
        <f t="shared" si="12"/>
        <v>0</v>
      </c>
      <c r="F66" s="353">
        <f t="shared" si="12"/>
        <v>289388</v>
      </c>
      <c r="G66" s="227">
        <f t="shared" si="12"/>
        <v>289388</v>
      </c>
      <c r="H66" s="2198">
        <f t="shared" si="12"/>
        <v>289388</v>
      </c>
      <c r="I66" s="2204">
        <f t="shared" si="12"/>
        <v>289388</v>
      </c>
      <c r="J66" s="226">
        <f t="shared" si="12"/>
        <v>476400</v>
      </c>
      <c r="K66" s="227">
        <f t="shared" si="12"/>
        <v>485000</v>
      </c>
      <c r="L66" s="352">
        <f t="shared" si="12"/>
        <v>487800</v>
      </c>
    </row>
    <row r="67" spans="1:12" ht="11.25" customHeight="1">
      <c r="A67" s="235" t="str">
        <f>head27a</f>
        <v>References</v>
      </c>
      <c r="B67" s="236"/>
      <c r="C67" s="241"/>
      <c r="D67" s="241"/>
      <c r="E67" s="241"/>
      <c r="F67" s="241"/>
      <c r="G67" s="241"/>
      <c r="H67" s="241"/>
      <c r="I67" s="241"/>
      <c r="J67" s="241"/>
      <c r="K67" s="241"/>
      <c r="L67" s="241"/>
    </row>
    <row r="68" spans="1:12">
      <c r="A68" s="242" t="s">
        <v>1338</v>
      </c>
    </row>
    <row r="69" spans="1:12">
      <c r="A69" s="242" t="s">
        <v>1295</v>
      </c>
    </row>
    <row r="70" spans="1:12">
      <c r="A70" s="242" t="s">
        <v>1396</v>
      </c>
    </row>
    <row r="71" spans="1:12">
      <c r="A71" s="242" t="s">
        <v>1731</v>
      </c>
    </row>
    <row r="72" spans="1:12">
      <c r="A72" s="242" t="s">
        <v>2040</v>
      </c>
    </row>
    <row r="73" spans="1:12">
      <c r="A73" s="242" t="s">
        <v>2039</v>
      </c>
    </row>
  </sheetData>
  <sheetProtection sheet="1" objects="1" scenarios="1"/>
  <mergeCells count="2">
    <mergeCell ref="J2:L2"/>
    <mergeCell ref="F2:I2"/>
  </mergeCells>
  <phoneticPr fontId="5" type="noConversion"/>
  <printOptions horizontalCentered="1"/>
  <pageMargins left="0" right="0" top="0.78740157480314998" bottom="0.59055118110236204" header="0.511811023622047" footer="0.39370078740157499"/>
  <headerFooter alignWithMargins="0"/>
  <ignoredErrors>
    <ignoredError sqref="A12 A18 A30 A43 A49 A55 A61" unlockedFormula="1"/>
  </ignoredErrors>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enableFormatConditionsCalculation="0">
    <tabColor indexed="42"/>
  </sheetPr>
  <dimension ref="A1:O195"/>
  <sheetViews>
    <sheetView showGridLines="0" workbookViewId="0">
      <pane xSplit="2" ySplit="4" topLeftCell="C89" activePane="bottomRight" state="frozen"/>
      <selection pane="topRight"/>
      <selection pane="bottomLeft"/>
      <selection pane="bottomRight" activeCell="H23" sqref="H23"/>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"&amp;TableA22</f>
        <v>NW373 Rustenburg - Supporting Table SA22 Summary councillor and staff benefits</v>
      </c>
      <c r="B1" s="147"/>
      <c r="C1" s="147"/>
      <c r="D1" s="147"/>
      <c r="E1" s="147"/>
      <c r="F1" s="147"/>
      <c r="G1" s="147"/>
      <c r="H1" s="147"/>
      <c r="I1" s="147"/>
      <c r="J1" s="147"/>
      <c r="K1" s="147"/>
    </row>
    <row r="2" spans="1:12" ht="28.5" customHeight="1">
      <c r="A2" s="985" t="s">
        <v>1645</v>
      </c>
      <c r="B2" s="419" t="str">
        <f>head27</f>
        <v>Ref</v>
      </c>
      <c r="C2" s="150" t="str">
        <f>head1b</f>
        <v>2009/10</v>
      </c>
      <c r="D2" s="756" t="str">
        <f>head1A</f>
        <v>2010/11</v>
      </c>
      <c r="E2" s="146" t="str">
        <f>Head1</f>
        <v>2011/12</v>
      </c>
      <c r="F2" s="2765" t="str">
        <f>Head2</f>
        <v>Current Year 2012/13</v>
      </c>
      <c r="G2" s="2766"/>
      <c r="H2" s="2770"/>
      <c r="I2" s="2763" t="str">
        <f>Head3</f>
        <v>2013/14 Medium Term Revenue &amp; Expenditure Framework</v>
      </c>
      <c r="J2" s="2763"/>
      <c r="K2" s="2764"/>
    </row>
    <row r="3" spans="1:12" ht="20">
      <c r="A3" s="180" t="s">
        <v>667</v>
      </c>
      <c r="B3" s="990"/>
      <c r="C3" s="390" t="str">
        <f>Head5</f>
        <v>Audited Outcome</v>
      </c>
      <c r="D3" s="999" t="str">
        <f>Head5</f>
        <v>Audited Outcome</v>
      </c>
      <c r="E3" s="391" t="str">
        <f>Head5</f>
        <v>Audited Outcome</v>
      </c>
      <c r="F3" s="299" t="str">
        <f>Head6</f>
        <v>Original Budget</v>
      </c>
      <c r="G3" s="390" t="str">
        <f>Head7</f>
        <v>Adjusted Budget</v>
      </c>
      <c r="H3" s="391" t="str">
        <f>Head8</f>
        <v>Full Year Forecast</v>
      </c>
      <c r="I3" s="389" t="str">
        <f>Head9</f>
        <v>Budget Year 2013/14</v>
      </c>
      <c r="J3" s="390" t="str">
        <f>Head10</f>
        <v>Budget Year +1 2014/15</v>
      </c>
      <c r="K3" s="391" t="str">
        <f>Head11</f>
        <v>Budget Year +2 2015/16</v>
      </c>
    </row>
    <row r="4" spans="1:12">
      <c r="A4" s="249"/>
      <c r="B4" s="182">
        <v>1</v>
      </c>
      <c r="C4" s="182" t="s">
        <v>408</v>
      </c>
      <c r="D4" s="182" t="s">
        <v>1340</v>
      </c>
      <c r="E4" s="820" t="s">
        <v>497</v>
      </c>
      <c r="F4" s="821" t="s">
        <v>547</v>
      </c>
      <c r="G4" s="182" t="s">
        <v>1554</v>
      </c>
      <c r="H4" s="820" t="s">
        <v>1555</v>
      </c>
      <c r="I4" s="652" t="s">
        <v>1556</v>
      </c>
      <c r="J4" s="182" t="s">
        <v>561</v>
      </c>
      <c r="K4" s="820" t="s">
        <v>562</v>
      </c>
    </row>
    <row r="5" spans="1:12" ht="11.25" customHeight="1">
      <c r="A5" s="249" t="s">
        <v>764</v>
      </c>
      <c r="B5" s="182"/>
      <c r="C5" s="203"/>
      <c r="D5" s="203"/>
      <c r="E5" s="204"/>
      <c r="F5" s="205"/>
      <c r="G5" s="203"/>
      <c r="H5" s="204"/>
      <c r="I5" s="202"/>
      <c r="J5" s="203"/>
      <c r="K5" s="204"/>
    </row>
    <row r="6" spans="1:12" ht="11.25" customHeight="1">
      <c r="A6" s="250" t="s">
        <v>1305</v>
      </c>
      <c r="B6" s="182"/>
      <c r="C6" s="1615">
        <v>8549778.4699999988</v>
      </c>
      <c r="D6" s="1615">
        <v>9375532.9000000004</v>
      </c>
      <c r="E6" s="1635">
        <v>10322213.529999999</v>
      </c>
      <c r="F6" s="1637">
        <v>12007476</v>
      </c>
      <c r="G6" s="1615">
        <f>12847998-46205</f>
        <v>12801793</v>
      </c>
      <c r="H6" s="1615">
        <f>12847998-46205</f>
        <v>12801793</v>
      </c>
      <c r="I6" s="1637">
        <v>19922749</v>
      </c>
      <c r="J6" s="1615">
        <v>21217728</v>
      </c>
      <c r="K6" s="1635">
        <v>22596880</v>
      </c>
    </row>
    <row r="7" spans="1:12" ht="11.25" customHeight="1">
      <c r="A7" s="250" t="s">
        <v>2057</v>
      </c>
      <c r="B7" s="182"/>
      <c r="C7" s="1615">
        <v>1233524.33</v>
      </c>
      <c r="D7" s="1615">
        <v>1366661.97</v>
      </c>
      <c r="E7" s="1635">
        <v>1432861.8599999999</v>
      </c>
      <c r="F7" s="1637">
        <v>2118970</v>
      </c>
      <c r="G7" s="1615">
        <v>2267298</v>
      </c>
      <c r="H7" s="1615">
        <v>2267298</v>
      </c>
      <c r="I7" s="1637">
        <v>2294695</v>
      </c>
      <c r="J7" s="1615">
        <v>2443850</v>
      </c>
      <c r="K7" s="1635">
        <v>2602701</v>
      </c>
    </row>
    <row r="8" spans="1:12" ht="11.25" customHeight="1">
      <c r="A8" s="250" t="s">
        <v>765</v>
      </c>
      <c r="B8" s="182"/>
      <c r="C8" s="1615">
        <v>343283.19</v>
      </c>
      <c r="D8" s="1615">
        <v>507003.82000000007</v>
      </c>
      <c r="E8" s="1635">
        <v>578954.3600000001</v>
      </c>
      <c r="F8" s="1637">
        <v>1294274</v>
      </c>
      <c r="G8" s="1615">
        <v>1384873</v>
      </c>
      <c r="H8" s="1615">
        <v>1384873</v>
      </c>
      <c r="I8" s="1637">
        <v>301636</v>
      </c>
      <c r="J8" s="1615">
        <v>321242</v>
      </c>
      <c r="K8" s="1635">
        <v>342123</v>
      </c>
    </row>
    <row r="9" spans="1:12" ht="11.25" customHeight="1">
      <c r="A9" s="250" t="s">
        <v>2213</v>
      </c>
      <c r="B9" s="182"/>
      <c r="C9" s="1615">
        <v>3154123.46</v>
      </c>
      <c r="D9" s="1615">
        <v>3483211.16</v>
      </c>
      <c r="E9" s="1635">
        <v>3726918.3200000003</v>
      </c>
      <c r="F9" s="1637">
        <v>4928150</v>
      </c>
      <c r="G9" s="1615">
        <v>5273122</v>
      </c>
      <c r="H9" s="1615">
        <v>5273122</v>
      </c>
      <c r="I9" s="1637">
        <v>3279551</v>
      </c>
      <c r="J9" s="1615">
        <v>3492722</v>
      </c>
      <c r="K9" s="1635">
        <v>3719750</v>
      </c>
      <c r="L9" s="370"/>
    </row>
    <row r="10" spans="1:12" ht="11.25" customHeight="1">
      <c r="A10" s="190" t="s">
        <v>2058</v>
      </c>
      <c r="B10" s="182"/>
      <c r="C10" s="1615">
        <v>723069</v>
      </c>
      <c r="D10" s="1615">
        <v>799593.66</v>
      </c>
      <c r="E10" s="1635">
        <v>846891.69</v>
      </c>
      <c r="F10" s="1637">
        <v>951829</v>
      </c>
      <c r="G10" s="1615">
        <v>1018456</v>
      </c>
      <c r="H10" s="1615">
        <v>1018456</v>
      </c>
      <c r="I10" s="1637">
        <v>1120658</v>
      </c>
      <c r="J10" s="1615">
        <v>1193503</v>
      </c>
      <c r="K10" s="1635">
        <v>1271080</v>
      </c>
      <c r="L10" s="370"/>
    </row>
    <row r="11" spans="1:12" ht="11.25" customHeight="1">
      <c r="A11" s="190" t="s">
        <v>2214</v>
      </c>
      <c r="B11" s="182"/>
      <c r="C11" s="1615">
        <v>0</v>
      </c>
      <c r="D11" s="1615">
        <v>0</v>
      </c>
      <c r="E11" s="1615">
        <v>0</v>
      </c>
      <c r="F11" s="1615">
        <v>0</v>
      </c>
      <c r="G11" s="1615">
        <v>0</v>
      </c>
      <c r="H11" s="1615">
        <v>0</v>
      </c>
      <c r="I11" s="1615">
        <v>0</v>
      </c>
      <c r="J11" s="1615">
        <v>0</v>
      </c>
      <c r="K11" s="1615">
        <v>0</v>
      </c>
      <c r="L11" s="370"/>
    </row>
    <row r="12" spans="1:12" ht="11.25" customHeight="1">
      <c r="A12" s="190" t="s">
        <v>1539</v>
      </c>
      <c r="B12" s="182"/>
      <c r="C12" s="1615">
        <v>0</v>
      </c>
      <c r="D12" s="1615">
        <v>0</v>
      </c>
      <c r="E12" s="1615">
        <v>0</v>
      </c>
      <c r="F12" s="1615">
        <v>0</v>
      </c>
      <c r="G12" s="1615">
        <v>0</v>
      </c>
      <c r="H12" s="1615">
        <v>0</v>
      </c>
      <c r="I12" s="1615">
        <v>0</v>
      </c>
      <c r="J12" s="1615">
        <v>0</v>
      </c>
      <c r="K12" s="1615">
        <v>0</v>
      </c>
      <c r="L12" s="370"/>
    </row>
    <row r="13" spans="1:12" ht="11.25" customHeight="1">
      <c r="A13" s="265" t="s">
        <v>766</v>
      </c>
      <c r="B13" s="182"/>
      <c r="C13" s="267">
        <f t="shared" ref="C13:K13" si="0">SUM(C6:C12)</f>
        <v>14003778.449999999</v>
      </c>
      <c r="D13" s="213">
        <f t="shared" si="0"/>
        <v>15532003.510000002</v>
      </c>
      <c r="E13" s="214">
        <f t="shared" si="0"/>
        <v>16907839.759999998</v>
      </c>
      <c r="F13" s="215">
        <f t="shared" si="0"/>
        <v>21300699</v>
      </c>
      <c r="G13" s="213">
        <f t="shared" si="0"/>
        <v>22745542</v>
      </c>
      <c r="H13" s="214">
        <f t="shared" si="0"/>
        <v>22745542</v>
      </c>
      <c r="I13" s="212">
        <f t="shared" si="0"/>
        <v>26919289</v>
      </c>
      <c r="J13" s="213">
        <f t="shared" si="0"/>
        <v>28669045</v>
      </c>
      <c r="K13" s="214">
        <f t="shared" si="0"/>
        <v>30532534</v>
      </c>
      <c r="L13" s="370"/>
    </row>
    <row r="14" spans="1:12" ht="11.25" customHeight="1">
      <c r="A14" s="373" t="s">
        <v>929</v>
      </c>
      <c r="B14" s="182">
        <v>4</v>
      </c>
      <c r="C14" s="822"/>
      <c r="D14" s="823">
        <f>IF(ISERROR((D13/C13)-1),0,((D13/C13)-1))</f>
        <v>0.10912947997974087</v>
      </c>
      <c r="E14" s="858">
        <f t="shared" ref="E14:K14" si="1">IF(ISERROR((E13/D13)-1),0,((E13/D13)-1))</f>
        <v>8.8580732621788894E-2</v>
      </c>
      <c r="F14" s="1185">
        <f t="shared" si="1"/>
        <v>0.25981197493913344</v>
      </c>
      <c r="G14" s="823">
        <f t="shared" si="1"/>
        <v>6.7830778698858563E-2</v>
      </c>
      <c r="H14" s="858">
        <f t="shared" si="1"/>
        <v>0</v>
      </c>
      <c r="I14" s="1185">
        <f t="shared" si="1"/>
        <v>0.18349736401093453</v>
      </c>
      <c r="J14" s="823">
        <f t="shared" si="1"/>
        <v>6.5000082283005245E-2</v>
      </c>
      <c r="K14" s="858">
        <f t="shared" si="1"/>
        <v>6.5000037496889096E-2</v>
      </c>
      <c r="L14" s="370"/>
    </row>
    <row r="15" spans="1:12" ht="5" customHeight="1">
      <c r="A15" s="273"/>
      <c r="B15" s="182"/>
      <c r="C15" s="517"/>
      <c r="D15" s="403"/>
      <c r="E15" s="195"/>
      <c r="F15" s="400"/>
      <c r="G15" s="403"/>
      <c r="H15" s="195"/>
      <c r="I15" s="309"/>
      <c r="J15" s="403"/>
      <c r="K15" s="195"/>
      <c r="L15" s="370"/>
    </row>
    <row r="16" spans="1:12" ht="11.25" customHeight="1">
      <c r="A16" s="249" t="s">
        <v>1304</v>
      </c>
      <c r="B16" s="182">
        <v>2</v>
      </c>
      <c r="C16" s="207"/>
      <c r="D16" s="203"/>
      <c r="E16" s="204"/>
      <c r="F16" s="205"/>
      <c r="G16" s="203"/>
      <c r="H16" s="204"/>
      <c r="I16" s="202"/>
      <c r="J16" s="203"/>
      <c r="K16" s="204"/>
      <c r="L16" s="370"/>
    </row>
    <row r="17" spans="1:12" ht="11.25" customHeight="1">
      <c r="A17" s="190" t="s">
        <v>1305</v>
      </c>
      <c r="B17" s="182"/>
      <c r="C17" s="1615">
        <v>3893000</v>
      </c>
      <c r="D17" s="1615">
        <v>5361390</v>
      </c>
      <c r="E17" s="1635">
        <v>5310996</v>
      </c>
      <c r="F17" s="1636">
        <v>7817446</v>
      </c>
      <c r="G17" s="1615">
        <v>7817446</v>
      </c>
      <c r="H17" s="1635">
        <v>10732037</v>
      </c>
      <c r="I17" s="1637">
        <v>10693777.689999999</v>
      </c>
      <c r="J17" s="1615">
        <f>+I17*1.065</f>
        <v>11388873.23985</v>
      </c>
      <c r="K17" s="1615">
        <f>+J17*1.065</f>
        <v>12129150.000440249</v>
      </c>
      <c r="L17" s="370"/>
    </row>
    <row r="18" spans="1:12" ht="11.25" customHeight="1">
      <c r="A18" s="190" t="s">
        <v>2057</v>
      </c>
      <c r="B18" s="182"/>
      <c r="C18" s="1615">
        <v>97254</v>
      </c>
      <c r="D18" s="1615">
        <v>0</v>
      </c>
      <c r="E18" s="1635">
        <v>0</v>
      </c>
      <c r="F18" s="1636">
        <v>1151466</v>
      </c>
      <c r="G18" s="1615">
        <v>1151466</v>
      </c>
      <c r="H18" s="1615">
        <v>1151466</v>
      </c>
      <c r="I18" s="1637">
        <v>0</v>
      </c>
      <c r="J18" s="1615">
        <v>0</v>
      </c>
      <c r="K18" s="1635">
        <v>0</v>
      </c>
      <c r="L18" s="370"/>
    </row>
    <row r="19" spans="1:12" ht="11.25" customHeight="1">
      <c r="A19" s="190" t="s">
        <v>765</v>
      </c>
      <c r="B19" s="182"/>
      <c r="C19" s="1615">
        <v>0</v>
      </c>
      <c r="D19" s="1615">
        <v>0</v>
      </c>
      <c r="E19" s="1635">
        <v>0</v>
      </c>
      <c r="F19" s="1636">
        <v>0</v>
      </c>
      <c r="G19" s="1615">
        <v>0</v>
      </c>
      <c r="H19" s="1615">
        <v>0</v>
      </c>
      <c r="I19" s="1637">
        <v>0</v>
      </c>
      <c r="J19" s="1615">
        <v>0</v>
      </c>
      <c r="K19" s="1635">
        <v>0</v>
      </c>
      <c r="L19" s="370"/>
    </row>
    <row r="20" spans="1:12" ht="11.25" customHeight="1">
      <c r="A20" s="190" t="s">
        <v>1093</v>
      </c>
      <c r="B20" s="182"/>
      <c r="C20" s="1615">
        <v>802000</v>
      </c>
      <c r="D20" s="1615">
        <v>955452</v>
      </c>
      <c r="E20" s="1635">
        <v>864000</v>
      </c>
      <c r="F20" s="1636"/>
      <c r="G20" s="1615"/>
      <c r="H20" s="1615"/>
      <c r="I20" s="1637">
        <v>0</v>
      </c>
      <c r="J20" s="1615">
        <v>0</v>
      </c>
      <c r="K20" s="1635">
        <v>0</v>
      </c>
      <c r="L20" s="370"/>
    </row>
    <row r="21" spans="1:12" ht="11.25" customHeight="1">
      <c r="A21" s="190" t="s">
        <v>767</v>
      </c>
      <c r="B21" s="182"/>
      <c r="C21" s="1615">
        <v>0</v>
      </c>
      <c r="D21" s="1615">
        <v>0</v>
      </c>
      <c r="E21" s="1635">
        <v>0</v>
      </c>
      <c r="F21" s="1636">
        <v>0</v>
      </c>
      <c r="G21" s="1615">
        <v>0</v>
      </c>
      <c r="H21" s="1615">
        <v>0</v>
      </c>
      <c r="I21" s="1637">
        <v>0</v>
      </c>
      <c r="J21" s="1615">
        <v>0</v>
      </c>
      <c r="K21" s="1635">
        <v>0</v>
      </c>
      <c r="L21" s="370"/>
    </row>
    <row r="22" spans="1:12" ht="11.25" customHeight="1">
      <c r="A22" s="190" t="s">
        <v>2213</v>
      </c>
      <c r="B22" s="182">
        <v>3</v>
      </c>
      <c r="C22" s="1615">
        <v>0</v>
      </c>
      <c r="D22" s="1615">
        <v>0</v>
      </c>
      <c r="E22" s="1635">
        <v>0</v>
      </c>
      <c r="F22" s="1636">
        <v>780000</v>
      </c>
      <c r="G22" s="1615">
        <v>780000</v>
      </c>
      <c r="H22" s="1615">
        <v>780000</v>
      </c>
      <c r="I22" s="1637">
        <v>842400</v>
      </c>
      <c r="J22" s="1615">
        <v>842400</v>
      </c>
      <c r="K22" s="1635">
        <v>842400</v>
      </c>
      <c r="L22" s="370"/>
    </row>
    <row r="23" spans="1:12" ht="11.25" customHeight="1">
      <c r="A23" s="190" t="s">
        <v>2058</v>
      </c>
      <c r="B23" s="182">
        <v>3</v>
      </c>
      <c r="C23" s="1615">
        <v>605000</v>
      </c>
      <c r="D23" s="1615">
        <v>0</v>
      </c>
      <c r="E23" s="1635">
        <v>0</v>
      </c>
      <c r="F23" s="1636">
        <v>0</v>
      </c>
      <c r="G23" s="1615">
        <v>0</v>
      </c>
      <c r="H23" s="1615">
        <v>0</v>
      </c>
      <c r="I23" s="1637">
        <v>0</v>
      </c>
      <c r="J23" s="1615">
        <v>0</v>
      </c>
      <c r="K23" s="1635">
        <v>0</v>
      </c>
      <c r="L23" s="370"/>
    </row>
    <row r="24" spans="1:12" ht="11.25" customHeight="1">
      <c r="A24" s="190" t="s">
        <v>2214</v>
      </c>
      <c r="B24" s="182">
        <v>3</v>
      </c>
      <c r="C24" s="1615">
        <v>402335</v>
      </c>
      <c r="D24" s="1615">
        <v>361930</v>
      </c>
      <c r="E24" s="1635">
        <v>487211</v>
      </c>
      <c r="F24" s="1636">
        <v>11978.88</v>
      </c>
      <c r="G24" s="1615">
        <v>11978.88</v>
      </c>
      <c r="H24" s="1615">
        <v>11978.88</v>
      </c>
      <c r="I24" s="1637">
        <v>3000</v>
      </c>
      <c r="J24" s="1615">
        <v>0</v>
      </c>
      <c r="K24" s="1635">
        <v>0</v>
      </c>
      <c r="L24" s="370"/>
    </row>
    <row r="25" spans="1:12" ht="11.25" customHeight="1">
      <c r="A25" s="190" t="s">
        <v>1539</v>
      </c>
      <c r="B25" s="182">
        <v>3</v>
      </c>
      <c r="C25" s="1615"/>
      <c r="D25" s="1615">
        <v>0</v>
      </c>
      <c r="E25" s="1635">
        <v>0</v>
      </c>
      <c r="F25" s="1636">
        <v>2518010</v>
      </c>
      <c r="G25" s="1615">
        <v>2518010</v>
      </c>
      <c r="H25" s="1615">
        <v>2518010</v>
      </c>
      <c r="I25" s="1637">
        <v>0</v>
      </c>
      <c r="J25" s="1615">
        <v>0</v>
      </c>
      <c r="K25" s="1635">
        <v>0</v>
      </c>
      <c r="L25" s="370"/>
    </row>
    <row r="26" spans="1:12" ht="11.25" customHeight="1">
      <c r="A26" s="190" t="s">
        <v>1668</v>
      </c>
      <c r="B26" s="182"/>
      <c r="C26" s="1615"/>
      <c r="D26" s="1615"/>
      <c r="E26" s="1635"/>
      <c r="F26" s="1636"/>
      <c r="G26" s="1615"/>
      <c r="H26" s="1615"/>
      <c r="I26" s="1637"/>
      <c r="J26" s="1615"/>
      <c r="K26" s="1635"/>
      <c r="L26" s="370"/>
    </row>
    <row r="27" spans="1:12" ht="11.25" customHeight="1">
      <c r="A27" s="190" t="s">
        <v>1094</v>
      </c>
      <c r="B27" s="182"/>
      <c r="C27" s="1615"/>
      <c r="D27" s="1615"/>
      <c r="E27" s="1635"/>
      <c r="F27" s="1636"/>
      <c r="G27" s="1615"/>
      <c r="H27" s="1615"/>
      <c r="I27" s="1637"/>
      <c r="J27" s="1615"/>
      <c r="K27" s="1635"/>
      <c r="L27" s="370"/>
    </row>
    <row r="28" spans="1:12" ht="11.25" customHeight="1">
      <c r="A28" s="190" t="s">
        <v>1669</v>
      </c>
      <c r="B28" s="182">
        <v>6</v>
      </c>
      <c r="C28" s="1615"/>
      <c r="D28" s="1615"/>
      <c r="E28" s="1635"/>
      <c r="F28" s="1636"/>
      <c r="G28" s="1615"/>
      <c r="H28" s="1635"/>
      <c r="I28" s="1637"/>
      <c r="J28" s="1615"/>
      <c r="K28" s="1635"/>
      <c r="L28" s="370"/>
    </row>
    <row r="29" spans="1:12" ht="11.25" customHeight="1">
      <c r="A29" s="265" t="s">
        <v>768</v>
      </c>
      <c r="B29" s="182"/>
      <c r="C29" s="267">
        <f>SUM(C17:C28)</f>
        <v>5799589</v>
      </c>
      <c r="D29" s="213">
        <f t="shared" ref="D29:K29" si="2">SUM(D17:D28)</f>
        <v>6678772</v>
      </c>
      <c r="E29" s="214">
        <f t="shared" si="2"/>
        <v>6662207</v>
      </c>
      <c r="F29" s="215">
        <f t="shared" si="2"/>
        <v>12278900.880000001</v>
      </c>
      <c r="G29" s="213">
        <f t="shared" si="2"/>
        <v>12278900.880000001</v>
      </c>
      <c r="H29" s="214">
        <f t="shared" si="2"/>
        <v>15193491.880000001</v>
      </c>
      <c r="I29" s="212">
        <f t="shared" si="2"/>
        <v>11539177.689999999</v>
      </c>
      <c r="J29" s="213">
        <f t="shared" si="2"/>
        <v>12231273.23985</v>
      </c>
      <c r="K29" s="214">
        <f t="shared" si="2"/>
        <v>12971550.000440249</v>
      </c>
      <c r="L29" s="370"/>
    </row>
    <row r="30" spans="1:12" ht="11.25" customHeight="1">
      <c r="A30" s="373" t="str">
        <f>$A$14</f>
        <v>% increase</v>
      </c>
      <c r="B30" s="182">
        <f>$B$14</f>
        <v>4</v>
      </c>
      <c r="C30" s="822"/>
      <c r="D30" s="823">
        <f>IF(ISERROR((D29/C29)-1),0,((D29/C29)-1))</f>
        <v>0.15159401812783635</v>
      </c>
      <c r="E30" s="824">
        <f t="shared" ref="E30:K30" si="3">IF(ISERROR((E29/D29)-1),0,((E29/D29)-1))</f>
        <v>-2.4802463686438569E-3</v>
      </c>
      <c r="F30" s="825">
        <f t="shared" si="3"/>
        <v>0.84306805237363536</v>
      </c>
      <c r="G30" s="823">
        <f t="shared" si="3"/>
        <v>0</v>
      </c>
      <c r="H30" s="824">
        <f t="shared" si="3"/>
        <v>0.23736578937185793</v>
      </c>
      <c r="I30" s="826">
        <f t="shared" si="3"/>
        <v>-0.24051838898274391</v>
      </c>
      <c r="J30" s="823">
        <f t="shared" si="3"/>
        <v>5.9977891704517061E-2</v>
      </c>
      <c r="K30" s="824">
        <f t="shared" si="3"/>
        <v>6.0523278817645743E-2</v>
      </c>
      <c r="L30" s="370"/>
    </row>
    <row r="31" spans="1:12" ht="5" customHeight="1">
      <c r="A31" s="273"/>
      <c r="B31" s="182"/>
      <c r="C31" s="517"/>
      <c r="D31" s="403"/>
      <c r="E31" s="195"/>
      <c r="F31" s="400"/>
      <c r="G31" s="403"/>
      <c r="H31" s="195"/>
      <c r="I31" s="309"/>
      <c r="J31" s="403"/>
      <c r="K31" s="195"/>
      <c r="L31" s="370"/>
    </row>
    <row r="32" spans="1:12" ht="11.25" customHeight="1">
      <c r="A32" s="249" t="s">
        <v>769</v>
      </c>
      <c r="B32" s="182"/>
      <c r="C32" s="207"/>
      <c r="D32" s="203"/>
      <c r="E32" s="204"/>
      <c r="F32" s="205"/>
      <c r="G32" s="203"/>
      <c r="H32" s="204"/>
      <c r="I32" s="202"/>
      <c r="J32" s="203"/>
      <c r="K32" s="204"/>
      <c r="L32" s="370"/>
    </row>
    <row r="33" spans="1:15" ht="11.25" customHeight="1">
      <c r="A33" s="250" t="s">
        <v>1305</v>
      </c>
      <c r="B33" s="182"/>
      <c r="C33" s="1615">
        <v>123374666.14</v>
      </c>
      <c r="D33" s="1615">
        <v>131844847.11</v>
      </c>
      <c r="E33" s="1635">
        <v>152795862.28999999</v>
      </c>
      <c r="F33" s="1636">
        <v>175000870</v>
      </c>
      <c r="G33" s="1615">
        <v>175712308.88</v>
      </c>
      <c r="H33" s="1618">
        <v>175712308.88</v>
      </c>
      <c r="I33" s="1637">
        <f>322241596-I17</f>
        <v>311547818.31</v>
      </c>
      <c r="J33" s="1615">
        <f>348831739-J17</f>
        <v>337442865.76015002</v>
      </c>
      <c r="K33" s="1635">
        <f>372760748-K17</f>
        <v>360631597.99955976</v>
      </c>
      <c r="L33" s="370"/>
    </row>
    <row r="34" spans="1:15" ht="11.25" customHeight="1">
      <c r="A34" s="250" t="s">
        <v>2057</v>
      </c>
      <c r="B34" s="182"/>
      <c r="C34" s="1615">
        <v>23660080.710000005</v>
      </c>
      <c r="D34" s="1615">
        <v>25593048.510000002</v>
      </c>
      <c r="E34" s="1635">
        <v>28087984.229999997</v>
      </c>
      <c r="F34" s="1636">
        <v>30512127</v>
      </c>
      <c r="G34" s="1615">
        <v>33535142</v>
      </c>
      <c r="H34" s="1618">
        <v>33535142</v>
      </c>
      <c r="I34" s="1637">
        <v>60036434</v>
      </c>
      <c r="J34" s="1615">
        <v>63938808</v>
      </c>
      <c r="K34" s="1635">
        <v>68094835</v>
      </c>
      <c r="L34" s="370"/>
    </row>
    <row r="35" spans="1:15" ht="11.25" customHeight="1">
      <c r="A35" s="250" t="s">
        <v>765</v>
      </c>
      <c r="B35" s="182"/>
      <c r="C35" s="1615">
        <v>11025794.529999999</v>
      </c>
      <c r="D35" s="1615">
        <v>12112511.960000001</v>
      </c>
      <c r="E35" s="1635">
        <v>13801655.52</v>
      </c>
      <c r="F35" s="1636">
        <v>14224714</v>
      </c>
      <c r="G35" s="1615">
        <v>14929204</v>
      </c>
      <c r="H35" s="1618">
        <v>14929204</v>
      </c>
      <c r="I35" s="1637">
        <v>22642891</v>
      </c>
      <c r="J35" s="1615">
        <v>24114679</v>
      </c>
      <c r="K35" s="1635">
        <v>25682129</v>
      </c>
      <c r="L35" s="370"/>
    </row>
    <row r="36" spans="1:15" ht="11.25" customHeight="1">
      <c r="A36" s="250" t="s">
        <v>1093</v>
      </c>
      <c r="B36" s="182"/>
      <c r="C36" s="1615">
        <v>0</v>
      </c>
      <c r="D36" s="1615">
        <v>0</v>
      </c>
      <c r="E36" s="1635">
        <v>0</v>
      </c>
      <c r="F36" s="1636">
        <v>0</v>
      </c>
      <c r="G36" s="1615">
        <v>0</v>
      </c>
      <c r="H36" s="1618">
        <v>0</v>
      </c>
      <c r="I36" s="1637">
        <v>29879881</v>
      </c>
      <c r="J36" s="1615">
        <v>31822072</v>
      </c>
      <c r="K36" s="1635">
        <v>33890508</v>
      </c>
      <c r="L36" s="370"/>
    </row>
    <row r="37" spans="1:15" ht="11.25" customHeight="1">
      <c r="A37" s="250" t="s">
        <v>767</v>
      </c>
      <c r="B37" s="182"/>
      <c r="C37" s="1615">
        <v>0</v>
      </c>
      <c r="D37" s="1615">
        <v>0</v>
      </c>
      <c r="E37" s="1635">
        <v>0</v>
      </c>
      <c r="F37" s="1636">
        <v>0</v>
      </c>
      <c r="G37" s="1615">
        <v>0</v>
      </c>
      <c r="H37" s="1618">
        <v>0</v>
      </c>
      <c r="I37" s="1637">
        <v>5280741</v>
      </c>
      <c r="J37" s="1615">
        <v>5623986</v>
      </c>
      <c r="K37" s="1635">
        <v>5989555</v>
      </c>
      <c r="L37" s="370"/>
    </row>
    <row r="38" spans="1:15" ht="11.25" customHeight="1">
      <c r="A38" s="250" t="s">
        <v>2213</v>
      </c>
      <c r="B38" s="182">
        <v>3</v>
      </c>
      <c r="C38" s="1615">
        <v>6091751.8099999996</v>
      </c>
      <c r="D38" s="1615">
        <v>6513428.7400000002</v>
      </c>
      <c r="E38" s="1635">
        <v>6895589.0199999996</v>
      </c>
      <c r="F38" s="1636">
        <v>7990798</v>
      </c>
      <c r="G38" s="1615">
        <v>7992755</v>
      </c>
      <c r="H38" s="1618">
        <v>7992755</v>
      </c>
      <c r="I38" s="1637">
        <f>12716949-I22</f>
        <v>11874549</v>
      </c>
      <c r="J38" s="1615">
        <f>13543546-J22</f>
        <v>12701146</v>
      </c>
      <c r="K38" s="1635">
        <f>14423785-K22</f>
        <v>13581385</v>
      </c>
      <c r="L38" s="370"/>
    </row>
    <row r="39" spans="1:15" ht="11.25" customHeight="1">
      <c r="A39" s="250" t="s">
        <v>2058</v>
      </c>
      <c r="B39" s="182">
        <v>3</v>
      </c>
      <c r="C39" s="1615">
        <v>55312.770000000004</v>
      </c>
      <c r="D39" s="1615">
        <v>56292.070000000007</v>
      </c>
      <c r="E39" s="1635">
        <v>56075.81</v>
      </c>
      <c r="F39" s="1636">
        <v>58743</v>
      </c>
      <c r="G39" s="1615">
        <v>58743</v>
      </c>
      <c r="H39" s="1618">
        <v>58743</v>
      </c>
      <c r="I39" s="1637">
        <v>135451</v>
      </c>
      <c r="J39" s="1615">
        <v>144256</v>
      </c>
      <c r="K39" s="1635">
        <v>153635</v>
      </c>
      <c r="L39" s="370"/>
      <c r="O39" s="370"/>
    </row>
    <row r="40" spans="1:15" ht="11.25" customHeight="1">
      <c r="A40" s="250" t="s">
        <v>2214</v>
      </c>
      <c r="B40" s="182">
        <v>3</v>
      </c>
      <c r="C40" s="1615">
        <v>2343356.7799999998</v>
      </c>
      <c r="D40" s="1615">
        <v>2847726.7600000002</v>
      </c>
      <c r="E40" s="1635">
        <v>2015013.4100000001</v>
      </c>
      <c r="F40" s="1636">
        <v>2483024</v>
      </c>
      <c r="G40" s="1615">
        <v>2483024</v>
      </c>
      <c r="H40" s="1618">
        <v>2483024</v>
      </c>
      <c r="I40" s="1637">
        <v>1695903</v>
      </c>
      <c r="J40" s="1615">
        <v>1806134</v>
      </c>
      <c r="K40" s="1635">
        <v>1923533</v>
      </c>
      <c r="L40" s="370"/>
      <c r="O40" s="370"/>
    </row>
    <row r="41" spans="1:15" ht="11.25" customHeight="1">
      <c r="A41" s="250" t="s">
        <v>1539</v>
      </c>
      <c r="B41" s="182">
        <v>3</v>
      </c>
      <c r="C41" s="1615">
        <v>30732795.25</v>
      </c>
      <c r="D41" s="1615">
        <v>64470160.380000003</v>
      </c>
      <c r="E41" s="1635">
        <v>-32636687.390000001</v>
      </c>
      <c r="F41" s="1636">
        <v>40985020.119999997</v>
      </c>
      <c r="G41" s="1615">
        <v>49218686.119999997</v>
      </c>
      <c r="H41" s="1618">
        <v>49218686.119999997</v>
      </c>
      <c r="I41" s="1637">
        <v>16680852</v>
      </c>
      <c r="J41" s="1615">
        <v>17765652</v>
      </c>
      <c r="K41" s="1635">
        <v>18920424</v>
      </c>
      <c r="L41" s="370"/>
      <c r="O41" s="370"/>
    </row>
    <row r="42" spans="1:15" ht="11.25" customHeight="1">
      <c r="A42" s="250" t="s">
        <v>1668</v>
      </c>
      <c r="B42" s="182"/>
      <c r="C42" s="1615"/>
      <c r="D42" s="1615"/>
      <c r="E42" s="1635"/>
      <c r="F42" s="1636"/>
      <c r="G42" s="1615"/>
      <c r="H42" s="1635"/>
      <c r="I42" s="1637"/>
      <c r="J42" s="1615"/>
      <c r="K42" s="1635"/>
      <c r="L42" s="370"/>
    </row>
    <row r="43" spans="1:15" ht="11.25" customHeight="1">
      <c r="A43" s="250" t="s">
        <v>1094</v>
      </c>
      <c r="B43" s="182"/>
      <c r="C43" s="1615"/>
      <c r="D43" s="1615"/>
      <c r="E43" s="1635"/>
      <c r="F43" s="1636"/>
      <c r="G43" s="1615"/>
      <c r="H43" s="1635"/>
      <c r="I43" s="1637"/>
      <c r="J43" s="1615"/>
      <c r="K43" s="1635"/>
      <c r="L43" s="370"/>
    </row>
    <row r="44" spans="1:15" ht="11.25" customHeight="1">
      <c r="A44" s="250" t="s">
        <v>1669</v>
      </c>
      <c r="B44" s="182">
        <v>6</v>
      </c>
      <c r="C44" s="1615"/>
      <c r="D44" s="1615"/>
      <c r="E44" s="1635"/>
      <c r="F44" s="1636"/>
      <c r="G44" s="1615"/>
      <c r="H44" s="1635"/>
      <c r="I44" s="1637"/>
      <c r="J44" s="1615"/>
      <c r="K44" s="1635"/>
      <c r="L44" s="370"/>
    </row>
    <row r="45" spans="1:15" ht="11.25" customHeight="1">
      <c r="A45" s="265" t="s">
        <v>1813</v>
      </c>
      <c r="B45" s="182"/>
      <c r="C45" s="213">
        <f t="shared" ref="C45:K45" si="4">SUM(C33:C44)</f>
        <v>197283757.99000001</v>
      </c>
      <c r="D45" s="213">
        <f t="shared" si="4"/>
        <v>243438015.53</v>
      </c>
      <c r="E45" s="214">
        <f t="shared" si="4"/>
        <v>171015492.88999999</v>
      </c>
      <c r="F45" s="215">
        <f t="shared" si="4"/>
        <v>271255296.12</v>
      </c>
      <c r="G45" s="213">
        <f t="shared" si="4"/>
        <v>283929863</v>
      </c>
      <c r="H45" s="214">
        <f t="shared" si="4"/>
        <v>283929863</v>
      </c>
      <c r="I45" s="212">
        <f t="shared" si="4"/>
        <v>459774520.31</v>
      </c>
      <c r="J45" s="213">
        <f t="shared" si="4"/>
        <v>495359598.76015002</v>
      </c>
      <c r="K45" s="214">
        <f t="shared" si="4"/>
        <v>528867601.99955976</v>
      </c>
      <c r="L45" s="370"/>
    </row>
    <row r="46" spans="1:15" ht="11.25" customHeight="1">
      <c r="A46" s="373" t="str">
        <f>$A$14</f>
        <v>% increase</v>
      </c>
      <c r="B46" s="182">
        <f>$B$14</f>
        <v>4</v>
      </c>
      <c r="C46" s="827"/>
      <c r="D46" s="823">
        <f>IF(ISERROR((D45/C45)-1),0,((D45/C45)-1))</f>
        <v>0.23394859267806267</v>
      </c>
      <c r="E46" s="824">
        <f t="shared" ref="E46:K46" si="5">IF(ISERROR((E45/D45)-1),0,((E45/D45)-1))</f>
        <v>-0.29749882113656589</v>
      </c>
      <c r="F46" s="825">
        <f t="shared" si="5"/>
        <v>0.5861445740151503</v>
      </c>
      <c r="G46" s="823">
        <f t="shared" si="5"/>
        <v>4.6725601532192407E-2</v>
      </c>
      <c r="H46" s="824">
        <f t="shared" si="5"/>
        <v>0</v>
      </c>
      <c r="I46" s="826">
        <f t="shared" si="5"/>
        <v>0.61932427766500919</v>
      </c>
      <c r="J46" s="823">
        <f t="shared" si="5"/>
        <v>7.7396804038111888E-2</v>
      </c>
      <c r="K46" s="824">
        <f t="shared" si="5"/>
        <v>6.7643795180870381E-2</v>
      </c>
      <c r="L46" s="370"/>
    </row>
    <row r="47" spans="1:15" ht="5" customHeight="1">
      <c r="A47" s="273"/>
      <c r="B47" s="182"/>
      <c r="C47" s="403"/>
      <c r="D47" s="403"/>
      <c r="E47" s="195"/>
      <c r="F47" s="400"/>
      <c r="G47" s="403"/>
      <c r="H47" s="195"/>
      <c r="I47" s="309"/>
      <c r="J47" s="403"/>
      <c r="K47" s="195"/>
      <c r="L47" s="370"/>
    </row>
    <row r="48" spans="1:15" ht="11.25" customHeight="1">
      <c r="A48" s="797" t="s">
        <v>1559</v>
      </c>
      <c r="B48" s="798"/>
      <c r="C48" s="276">
        <f t="shared" ref="C48:K48" si="6">C13+C29+C45</f>
        <v>217087125.44</v>
      </c>
      <c r="D48" s="276">
        <f t="shared" si="6"/>
        <v>265648791.03999999</v>
      </c>
      <c r="E48" s="277">
        <f t="shared" si="6"/>
        <v>194585539.64999998</v>
      </c>
      <c r="F48" s="278">
        <f t="shared" si="6"/>
        <v>304834896</v>
      </c>
      <c r="G48" s="276">
        <f t="shared" si="6"/>
        <v>318954305.88</v>
      </c>
      <c r="H48" s="277">
        <f t="shared" si="6"/>
        <v>321868896.88</v>
      </c>
      <c r="I48" s="275">
        <f t="shared" si="6"/>
        <v>498232987</v>
      </c>
      <c r="J48" s="276">
        <f t="shared" si="6"/>
        <v>536259917</v>
      </c>
      <c r="K48" s="277">
        <f t="shared" si="6"/>
        <v>572371686</v>
      </c>
      <c r="L48" s="370"/>
    </row>
    <row r="49" spans="1:12" ht="11.25" customHeight="1">
      <c r="A49" s="273"/>
      <c r="B49" s="182"/>
      <c r="C49" s="828"/>
      <c r="D49" s="823">
        <f>IF(ISERROR((D48/C48)-1),0,((D48/C48)-1))</f>
        <v>0.22369666327090321</v>
      </c>
      <c r="E49" s="824">
        <f t="shared" ref="E49:K49" si="7">IF(ISERROR((E48/D48)-1),0,((E48/D48)-1))</f>
        <v>-0.26750828080862488</v>
      </c>
      <c r="F49" s="825">
        <f t="shared" si="7"/>
        <v>0.56658555691396684</v>
      </c>
      <c r="G49" s="823">
        <f t="shared" si="7"/>
        <v>4.6318220339183203E-2</v>
      </c>
      <c r="H49" s="824">
        <f t="shared" si="7"/>
        <v>9.1379578399437555E-3</v>
      </c>
      <c r="I49" s="826">
        <f t="shared" si="7"/>
        <v>0.5479376598036203</v>
      </c>
      <c r="J49" s="823">
        <f t="shared" si="7"/>
        <v>7.6323589549882609E-2</v>
      </c>
      <c r="K49" s="824">
        <f t="shared" si="7"/>
        <v>6.7340048836803224E-2</v>
      </c>
      <c r="L49" s="370"/>
    </row>
    <row r="50" spans="1:12" ht="5" customHeight="1">
      <c r="A50" s="273"/>
      <c r="B50" s="182"/>
      <c r="C50" s="403"/>
      <c r="D50" s="829"/>
      <c r="E50" s="830"/>
      <c r="F50" s="831"/>
      <c r="G50" s="829"/>
      <c r="H50" s="830"/>
      <c r="I50" s="832"/>
      <c r="J50" s="829"/>
      <c r="K50" s="830"/>
      <c r="L50" s="370"/>
    </row>
    <row r="51" spans="1:12" ht="11.25" customHeight="1">
      <c r="A51" s="249" t="s">
        <v>917</v>
      </c>
      <c r="B51" s="182"/>
      <c r="C51" s="203"/>
      <c r="D51" s="203"/>
      <c r="E51" s="204"/>
      <c r="F51" s="205"/>
      <c r="G51" s="203"/>
      <c r="H51" s="204"/>
      <c r="I51" s="202"/>
      <c r="J51" s="203"/>
      <c r="K51" s="204"/>
      <c r="L51" s="370"/>
    </row>
    <row r="52" spans="1:12" ht="11.25" customHeight="1">
      <c r="A52" s="190" t="s">
        <v>1305</v>
      </c>
      <c r="B52" s="182"/>
      <c r="C52" s="1615"/>
      <c r="D52" s="1615"/>
      <c r="E52" s="1635"/>
      <c r="F52" s="1636"/>
      <c r="G52" s="1615"/>
      <c r="H52" s="1635"/>
      <c r="I52" s="1637"/>
      <c r="J52" s="1615"/>
      <c r="K52" s="1635"/>
      <c r="L52" s="370"/>
    </row>
    <row r="53" spans="1:12" ht="11.25" customHeight="1">
      <c r="A53" s="190" t="s">
        <v>2057</v>
      </c>
      <c r="B53" s="182"/>
      <c r="C53" s="1615"/>
      <c r="D53" s="1615"/>
      <c r="E53" s="1635"/>
      <c r="F53" s="1636"/>
      <c r="G53" s="1615"/>
      <c r="H53" s="1635"/>
      <c r="I53" s="1637"/>
      <c r="J53" s="1615"/>
      <c r="K53" s="1635"/>
      <c r="L53" s="370"/>
    </row>
    <row r="54" spans="1:12" ht="11.25" customHeight="1">
      <c r="A54" s="190" t="s">
        <v>765</v>
      </c>
      <c r="B54" s="182"/>
      <c r="C54" s="1615"/>
      <c r="D54" s="1615"/>
      <c r="E54" s="1635"/>
      <c r="F54" s="1636"/>
      <c r="G54" s="1615"/>
      <c r="H54" s="1635"/>
      <c r="I54" s="1637"/>
      <c r="J54" s="1615"/>
      <c r="K54" s="1635"/>
      <c r="L54" s="370"/>
    </row>
    <row r="55" spans="1:12" ht="11.25" customHeight="1">
      <c r="A55" s="190" t="s">
        <v>1093</v>
      </c>
      <c r="B55" s="182"/>
      <c r="C55" s="1615"/>
      <c r="D55" s="1615"/>
      <c r="E55" s="1635"/>
      <c r="F55" s="1636"/>
      <c r="G55" s="1615"/>
      <c r="H55" s="1635"/>
      <c r="I55" s="1637"/>
      <c r="J55" s="1615"/>
      <c r="K55" s="1635"/>
      <c r="L55" s="370"/>
    </row>
    <row r="56" spans="1:12" ht="11.25" customHeight="1">
      <c r="A56" s="190" t="s">
        <v>767</v>
      </c>
      <c r="B56" s="182"/>
      <c r="C56" s="1615"/>
      <c r="D56" s="1615"/>
      <c r="E56" s="1635"/>
      <c r="F56" s="1636"/>
      <c r="G56" s="1615"/>
      <c r="H56" s="1635"/>
      <c r="I56" s="1637"/>
      <c r="J56" s="1615"/>
      <c r="K56" s="1635"/>
      <c r="L56" s="370"/>
    </row>
    <row r="57" spans="1:12" ht="11.25" customHeight="1">
      <c r="A57" s="190" t="s">
        <v>2213</v>
      </c>
      <c r="B57" s="182">
        <v>3</v>
      </c>
      <c r="C57" s="1615"/>
      <c r="D57" s="1615"/>
      <c r="E57" s="1635"/>
      <c r="F57" s="1636"/>
      <c r="G57" s="1615"/>
      <c r="H57" s="1635"/>
      <c r="I57" s="1637"/>
      <c r="J57" s="1615"/>
      <c r="K57" s="1635"/>
      <c r="L57" s="370"/>
    </row>
    <row r="58" spans="1:12" ht="11.25" customHeight="1">
      <c r="A58" s="190" t="s">
        <v>2058</v>
      </c>
      <c r="B58" s="182">
        <v>3</v>
      </c>
      <c r="C58" s="1615"/>
      <c r="D58" s="1615"/>
      <c r="E58" s="1635"/>
      <c r="F58" s="1636"/>
      <c r="G58" s="1615"/>
      <c r="H58" s="1635"/>
      <c r="I58" s="1637"/>
      <c r="J58" s="1615"/>
      <c r="K58" s="1635"/>
      <c r="L58" s="370"/>
    </row>
    <row r="59" spans="1:12" ht="11.25" customHeight="1">
      <c r="A59" s="190" t="s">
        <v>2214</v>
      </c>
      <c r="B59" s="182">
        <v>3</v>
      </c>
      <c r="C59" s="1615"/>
      <c r="D59" s="1615"/>
      <c r="E59" s="1635"/>
      <c r="F59" s="1636"/>
      <c r="G59" s="1615"/>
      <c r="H59" s="1635"/>
      <c r="I59" s="1637"/>
      <c r="J59" s="1615"/>
      <c r="K59" s="1635"/>
      <c r="L59" s="370"/>
    </row>
    <row r="60" spans="1:12" ht="11.25" customHeight="1">
      <c r="A60" s="190" t="s">
        <v>1539</v>
      </c>
      <c r="B60" s="182">
        <v>3</v>
      </c>
      <c r="C60" s="1615"/>
      <c r="D60" s="1615"/>
      <c r="E60" s="1635"/>
      <c r="F60" s="1636"/>
      <c r="G60" s="1615"/>
      <c r="H60" s="1635"/>
      <c r="I60" s="1637"/>
      <c r="J60" s="1615"/>
      <c r="K60" s="1635"/>
      <c r="L60" s="370"/>
    </row>
    <row r="61" spans="1:12" ht="11.25" customHeight="1">
      <c r="A61" s="190" t="s">
        <v>2218</v>
      </c>
      <c r="B61" s="182"/>
      <c r="C61" s="1615"/>
      <c r="D61" s="1615"/>
      <c r="E61" s="1635"/>
      <c r="F61" s="1636"/>
      <c r="G61" s="1615"/>
      <c r="H61" s="1635"/>
      <c r="I61" s="1637"/>
      <c r="J61" s="1615"/>
      <c r="K61" s="1635"/>
      <c r="L61" s="370"/>
    </row>
    <row r="62" spans="1:12" ht="11.25" customHeight="1">
      <c r="A62" s="190" t="s">
        <v>1668</v>
      </c>
      <c r="B62" s="182"/>
      <c r="C62" s="1615"/>
      <c r="D62" s="1615"/>
      <c r="E62" s="1635"/>
      <c r="F62" s="1636"/>
      <c r="G62" s="1615"/>
      <c r="H62" s="1635"/>
      <c r="I62" s="1637"/>
      <c r="J62" s="1615"/>
      <c r="K62" s="1635"/>
      <c r="L62" s="370"/>
    </row>
    <row r="63" spans="1:12" ht="11.25" customHeight="1">
      <c r="A63" s="190" t="s">
        <v>1094</v>
      </c>
      <c r="B63" s="182"/>
      <c r="C63" s="1615"/>
      <c r="D63" s="1615"/>
      <c r="E63" s="1635"/>
      <c r="F63" s="1636"/>
      <c r="G63" s="1615"/>
      <c r="H63" s="1635"/>
      <c r="I63" s="1637"/>
      <c r="J63" s="1615"/>
      <c r="K63" s="1635"/>
      <c r="L63" s="370"/>
    </row>
    <row r="64" spans="1:12" ht="11.25" customHeight="1">
      <c r="A64" s="190" t="s">
        <v>1669</v>
      </c>
      <c r="B64" s="182">
        <v>6</v>
      </c>
      <c r="C64" s="1615"/>
      <c r="D64" s="1615"/>
      <c r="E64" s="1635"/>
      <c r="F64" s="1636"/>
      <c r="G64" s="1615"/>
      <c r="H64" s="1635"/>
      <c r="I64" s="1637"/>
      <c r="J64" s="1615"/>
      <c r="K64" s="1635"/>
      <c r="L64" s="370"/>
    </row>
    <row r="65" spans="1:12" ht="11.25" customHeight="1">
      <c r="A65" s="265" t="s">
        <v>1331</v>
      </c>
      <c r="B65" s="182"/>
      <c r="C65" s="213">
        <f>SUM(C52:C64)</f>
        <v>0</v>
      </c>
      <c r="D65" s="213">
        <f t="shared" ref="D65:K65" si="8">SUM(D52:D64)</f>
        <v>0</v>
      </c>
      <c r="E65" s="214">
        <f t="shared" si="8"/>
        <v>0</v>
      </c>
      <c r="F65" s="215">
        <f t="shared" si="8"/>
        <v>0</v>
      </c>
      <c r="G65" s="213">
        <f t="shared" si="8"/>
        <v>0</v>
      </c>
      <c r="H65" s="214">
        <f t="shared" si="8"/>
        <v>0</v>
      </c>
      <c r="I65" s="212">
        <f t="shared" si="8"/>
        <v>0</v>
      </c>
      <c r="J65" s="213">
        <f t="shared" si="8"/>
        <v>0</v>
      </c>
      <c r="K65" s="214">
        <f t="shared" si="8"/>
        <v>0</v>
      </c>
      <c r="L65" s="370"/>
    </row>
    <row r="66" spans="1:12" ht="11.25" customHeight="1">
      <c r="A66" s="373" t="str">
        <f>$A$14</f>
        <v>% increase</v>
      </c>
      <c r="B66" s="182">
        <f>$B$14</f>
        <v>4</v>
      </c>
      <c r="C66" s="827"/>
      <c r="D66" s="823">
        <f>IF(ISERROR((D65/C65)-1),0,((D65/C65)-1))</f>
        <v>0</v>
      </c>
      <c r="E66" s="824">
        <f t="shared" ref="E66:K66" si="9">IF(ISERROR((E65/D65)-1),0,((E65/D65)-1))</f>
        <v>0</v>
      </c>
      <c r="F66" s="825">
        <f t="shared" si="9"/>
        <v>0</v>
      </c>
      <c r="G66" s="823">
        <f t="shared" si="9"/>
        <v>0</v>
      </c>
      <c r="H66" s="824">
        <f t="shared" si="9"/>
        <v>0</v>
      </c>
      <c r="I66" s="826">
        <f t="shared" si="9"/>
        <v>0</v>
      </c>
      <c r="J66" s="823">
        <f t="shared" si="9"/>
        <v>0</v>
      </c>
      <c r="K66" s="824">
        <f t="shared" si="9"/>
        <v>0</v>
      </c>
      <c r="L66" s="370"/>
    </row>
    <row r="67" spans="1:12" ht="5" customHeight="1">
      <c r="A67" s="273"/>
      <c r="B67" s="182"/>
      <c r="C67" s="403"/>
      <c r="D67" s="403"/>
      <c r="E67" s="195"/>
      <c r="F67" s="400"/>
      <c r="G67" s="403"/>
      <c r="H67" s="195"/>
      <c r="I67" s="309"/>
      <c r="J67" s="403"/>
      <c r="K67" s="195"/>
      <c r="L67" s="370"/>
    </row>
    <row r="68" spans="1:12" ht="11.25" customHeight="1">
      <c r="A68" s="249" t="s">
        <v>286</v>
      </c>
      <c r="B68" s="182"/>
      <c r="C68" s="203"/>
      <c r="D68" s="203"/>
      <c r="E68" s="204"/>
      <c r="F68" s="205"/>
      <c r="G68" s="203"/>
      <c r="H68" s="204"/>
      <c r="I68" s="202"/>
      <c r="J68" s="203"/>
      <c r="K68" s="204"/>
      <c r="L68" s="370"/>
    </row>
    <row r="69" spans="1:12" ht="11.25" customHeight="1">
      <c r="A69" s="250" t="s">
        <v>1305</v>
      </c>
      <c r="B69" s="182"/>
      <c r="C69" s="1615"/>
      <c r="D69" s="1615"/>
      <c r="E69" s="1635"/>
      <c r="F69" s="1636"/>
      <c r="G69" s="1615"/>
      <c r="H69" s="1635"/>
      <c r="I69" s="1637"/>
      <c r="J69" s="1615"/>
      <c r="K69" s="1635"/>
      <c r="L69" s="370"/>
    </row>
    <row r="70" spans="1:12" ht="11.25" customHeight="1">
      <c r="A70" s="250" t="s">
        <v>2057</v>
      </c>
      <c r="B70" s="182"/>
      <c r="C70" s="1615"/>
      <c r="D70" s="1615"/>
      <c r="E70" s="1635"/>
      <c r="F70" s="1636"/>
      <c r="G70" s="1615"/>
      <c r="H70" s="1635"/>
      <c r="I70" s="1637"/>
      <c r="J70" s="1615"/>
      <c r="K70" s="1635"/>
      <c r="L70" s="370"/>
    </row>
    <row r="71" spans="1:12" ht="11.25" customHeight="1">
      <c r="A71" s="250" t="s">
        <v>765</v>
      </c>
      <c r="B71" s="182"/>
      <c r="C71" s="1615"/>
      <c r="D71" s="1615"/>
      <c r="E71" s="1635"/>
      <c r="F71" s="1636"/>
      <c r="G71" s="1615"/>
      <c r="H71" s="1635"/>
      <c r="I71" s="1637"/>
      <c r="J71" s="1615"/>
      <c r="K71" s="1635"/>
      <c r="L71" s="370"/>
    </row>
    <row r="72" spans="1:12" ht="11.25" customHeight="1">
      <c r="A72" s="250" t="s">
        <v>1093</v>
      </c>
      <c r="B72" s="182"/>
      <c r="C72" s="1615"/>
      <c r="D72" s="1615"/>
      <c r="E72" s="1635"/>
      <c r="F72" s="1636"/>
      <c r="G72" s="1615"/>
      <c r="H72" s="1635"/>
      <c r="I72" s="1637"/>
      <c r="J72" s="1615"/>
      <c r="K72" s="1635"/>
      <c r="L72" s="370"/>
    </row>
    <row r="73" spans="1:12" ht="11.25" customHeight="1">
      <c r="A73" s="250" t="s">
        <v>767</v>
      </c>
      <c r="B73" s="182"/>
      <c r="C73" s="1615"/>
      <c r="D73" s="1615"/>
      <c r="E73" s="1635"/>
      <c r="F73" s="1636"/>
      <c r="G73" s="1615"/>
      <c r="H73" s="1635"/>
      <c r="I73" s="1637"/>
      <c r="J73" s="1615"/>
      <c r="K73" s="1635"/>
      <c r="L73" s="370"/>
    </row>
    <row r="74" spans="1:12" ht="11.25" customHeight="1">
      <c r="A74" s="250" t="s">
        <v>2213</v>
      </c>
      <c r="B74" s="182">
        <v>3</v>
      </c>
      <c r="C74" s="1615"/>
      <c r="D74" s="1615"/>
      <c r="E74" s="1635"/>
      <c r="F74" s="1636"/>
      <c r="G74" s="1615"/>
      <c r="H74" s="1635"/>
      <c r="I74" s="1637"/>
      <c r="J74" s="1615"/>
      <c r="K74" s="1635"/>
      <c r="L74" s="370"/>
    </row>
    <row r="75" spans="1:12" ht="11.25" customHeight="1">
      <c r="A75" s="250" t="s">
        <v>2058</v>
      </c>
      <c r="B75" s="182">
        <v>3</v>
      </c>
      <c r="C75" s="1615"/>
      <c r="D75" s="1615"/>
      <c r="E75" s="1635"/>
      <c r="F75" s="1636"/>
      <c r="G75" s="1615"/>
      <c r="H75" s="1635"/>
      <c r="I75" s="1637"/>
      <c r="J75" s="1615"/>
      <c r="K75" s="1635"/>
      <c r="L75" s="370"/>
    </row>
    <row r="76" spans="1:12" ht="11.25" customHeight="1">
      <c r="A76" s="250" t="s">
        <v>2214</v>
      </c>
      <c r="B76" s="182">
        <v>3</v>
      </c>
      <c r="C76" s="1615"/>
      <c r="D76" s="1615"/>
      <c r="E76" s="1635"/>
      <c r="F76" s="1636"/>
      <c r="G76" s="1615"/>
      <c r="H76" s="1635"/>
      <c r="I76" s="1637"/>
      <c r="J76" s="1615"/>
      <c r="K76" s="1635"/>
      <c r="L76" s="370"/>
    </row>
    <row r="77" spans="1:12" ht="11.25" customHeight="1">
      <c r="A77" s="250" t="s">
        <v>1539</v>
      </c>
      <c r="B77" s="182">
        <v>3</v>
      </c>
      <c r="C77" s="1615"/>
      <c r="D77" s="1615"/>
      <c r="E77" s="1635"/>
      <c r="F77" s="1636"/>
      <c r="G77" s="1615"/>
      <c r="H77" s="1635"/>
      <c r="I77" s="1637"/>
      <c r="J77" s="1615"/>
      <c r="K77" s="1635"/>
      <c r="L77" s="370"/>
    </row>
    <row r="78" spans="1:12" ht="11.25" customHeight="1">
      <c r="A78" s="250" t="s">
        <v>1668</v>
      </c>
      <c r="B78" s="182"/>
      <c r="C78" s="1615"/>
      <c r="D78" s="1615"/>
      <c r="E78" s="1635"/>
      <c r="F78" s="1636"/>
      <c r="G78" s="1615"/>
      <c r="H78" s="1635"/>
      <c r="I78" s="1637"/>
      <c r="J78" s="1615"/>
      <c r="K78" s="1635"/>
      <c r="L78" s="370"/>
    </row>
    <row r="79" spans="1:12" ht="11.25" customHeight="1">
      <c r="A79" s="250" t="s">
        <v>1094</v>
      </c>
      <c r="B79" s="182"/>
      <c r="C79" s="1615"/>
      <c r="D79" s="1615"/>
      <c r="E79" s="1635"/>
      <c r="F79" s="1636"/>
      <c r="G79" s="1615"/>
      <c r="H79" s="1635"/>
      <c r="I79" s="1637"/>
      <c r="J79" s="1615"/>
      <c r="K79" s="1635"/>
      <c r="L79" s="370"/>
    </row>
    <row r="80" spans="1:12" ht="11.25" customHeight="1">
      <c r="A80" s="250" t="s">
        <v>1669</v>
      </c>
      <c r="B80" s="182">
        <v>6</v>
      </c>
      <c r="C80" s="1615"/>
      <c r="D80" s="1615"/>
      <c r="E80" s="1635"/>
      <c r="F80" s="1636"/>
      <c r="G80" s="1615"/>
      <c r="H80" s="1635"/>
      <c r="I80" s="1637"/>
      <c r="J80" s="1615"/>
      <c r="K80" s="1635"/>
      <c r="L80" s="370"/>
    </row>
    <row r="81" spans="1:12" ht="11.25" customHeight="1">
      <c r="A81" s="265" t="s">
        <v>287</v>
      </c>
      <c r="B81" s="182"/>
      <c r="C81" s="213">
        <f>SUM(C69:C80)</f>
        <v>0</v>
      </c>
      <c r="D81" s="213">
        <f t="shared" ref="D81:K81" si="10">SUM(D69:D80)</f>
        <v>0</v>
      </c>
      <c r="E81" s="214">
        <f t="shared" si="10"/>
        <v>0</v>
      </c>
      <c r="F81" s="215">
        <f t="shared" si="10"/>
        <v>0</v>
      </c>
      <c r="G81" s="213">
        <f t="shared" si="10"/>
        <v>0</v>
      </c>
      <c r="H81" s="214">
        <f t="shared" si="10"/>
        <v>0</v>
      </c>
      <c r="I81" s="212">
        <f t="shared" si="10"/>
        <v>0</v>
      </c>
      <c r="J81" s="213">
        <f t="shared" si="10"/>
        <v>0</v>
      </c>
      <c r="K81" s="214">
        <f t="shared" si="10"/>
        <v>0</v>
      </c>
      <c r="L81" s="370"/>
    </row>
    <row r="82" spans="1:12" ht="11.25" customHeight="1">
      <c r="A82" s="373" t="str">
        <f>$A$14</f>
        <v>% increase</v>
      </c>
      <c r="B82" s="182">
        <f>$B$14</f>
        <v>4</v>
      </c>
      <c r="C82" s="827"/>
      <c r="D82" s="823">
        <f>IF(ISERROR((D81/C81)-1),0,((D81/C81)-1))</f>
        <v>0</v>
      </c>
      <c r="E82" s="824">
        <f t="shared" ref="E82:K82" si="11">IF(ISERROR((E81/D81)-1),0,((E81/D81)-1))</f>
        <v>0</v>
      </c>
      <c r="F82" s="825">
        <f t="shared" si="11"/>
        <v>0</v>
      </c>
      <c r="G82" s="823">
        <f t="shared" si="11"/>
        <v>0</v>
      </c>
      <c r="H82" s="824">
        <f t="shared" si="11"/>
        <v>0</v>
      </c>
      <c r="I82" s="826">
        <f t="shared" si="11"/>
        <v>0</v>
      </c>
      <c r="J82" s="823">
        <f t="shared" si="11"/>
        <v>0</v>
      </c>
      <c r="K82" s="824">
        <f t="shared" si="11"/>
        <v>0</v>
      </c>
      <c r="L82" s="370"/>
    </row>
    <row r="83" spans="1:12" ht="5" customHeight="1">
      <c r="A83" s="273"/>
      <c r="B83" s="182"/>
      <c r="C83" s="403"/>
      <c r="D83" s="403"/>
      <c r="E83" s="195"/>
      <c r="F83" s="400"/>
      <c r="G83" s="403"/>
      <c r="H83" s="195"/>
      <c r="I83" s="309"/>
      <c r="J83" s="403"/>
      <c r="K83" s="195"/>
      <c r="L83" s="370"/>
    </row>
    <row r="84" spans="1:12" ht="11.25" customHeight="1">
      <c r="A84" s="249" t="s">
        <v>288</v>
      </c>
      <c r="B84" s="182"/>
      <c r="C84" s="203"/>
      <c r="D84" s="203"/>
      <c r="E84" s="204"/>
      <c r="F84" s="205"/>
      <c r="G84" s="203"/>
      <c r="H84" s="204"/>
      <c r="I84" s="202"/>
      <c r="J84" s="203"/>
      <c r="K84" s="204"/>
      <c r="L84" s="370"/>
    </row>
    <row r="85" spans="1:12" ht="11.25" customHeight="1">
      <c r="A85" s="250" t="s">
        <v>1305</v>
      </c>
      <c r="B85" s="182"/>
      <c r="C85" s="1615"/>
      <c r="D85" s="1615"/>
      <c r="E85" s="1635"/>
      <c r="F85" s="1636"/>
      <c r="G85" s="1615"/>
      <c r="H85" s="1635"/>
      <c r="I85" s="1637"/>
      <c r="J85" s="1615"/>
      <c r="K85" s="1635"/>
      <c r="L85" s="370"/>
    </row>
    <row r="86" spans="1:12" ht="11.25" customHeight="1">
      <c r="A86" s="250" t="s">
        <v>2057</v>
      </c>
      <c r="B86" s="182"/>
      <c r="C86" s="1615"/>
      <c r="D86" s="1615"/>
      <c r="E86" s="1635"/>
      <c r="F86" s="1636"/>
      <c r="G86" s="1615"/>
      <c r="H86" s="1635"/>
      <c r="I86" s="1637"/>
      <c r="J86" s="1615"/>
      <c r="K86" s="1635"/>
      <c r="L86" s="370"/>
    </row>
    <row r="87" spans="1:12" ht="11.25" customHeight="1">
      <c r="A87" s="250" t="s">
        <v>765</v>
      </c>
      <c r="B87" s="182"/>
      <c r="C87" s="1615"/>
      <c r="D87" s="1615"/>
      <c r="E87" s="1635"/>
      <c r="F87" s="1636"/>
      <c r="G87" s="1615"/>
      <c r="H87" s="1635"/>
      <c r="I87" s="1637"/>
      <c r="J87" s="1615"/>
      <c r="K87" s="1635"/>
      <c r="L87" s="370"/>
    </row>
    <row r="88" spans="1:12" ht="11.25" customHeight="1">
      <c r="A88" s="250" t="s">
        <v>1093</v>
      </c>
      <c r="B88" s="182"/>
      <c r="C88" s="1615"/>
      <c r="D88" s="1615"/>
      <c r="E88" s="1635"/>
      <c r="F88" s="1636"/>
      <c r="G88" s="1615"/>
      <c r="H88" s="1635"/>
      <c r="I88" s="1637"/>
      <c r="J88" s="1615"/>
      <c r="K88" s="1635"/>
      <c r="L88" s="370"/>
    </row>
    <row r="89" spans="1:12" ht="11.25" customHeight="1">
      <c r="A89" s="250" t="s">
        <v>767</v>
      </c>
      <c r="B89" s="182"/>
      <c r="C89" s="1615"/>
      <c r="D89" s="1615"/>
      <c r="E89" s="1635"/>
      <c r="F89" s="1636"/>
      <c r="G89" s="1615"/>
      <c r="H89" s="1635"/>
      <c r="I89" s="1637"/>
      <c r="J89" s="1615"/>
      <c r="K89" s="1635"/>
      <c r="L89" s="370"/>
    </row>
    <row r="90" spans="1:12" ht="11.25" customHeight="1">
      <c r="A90" s="250" t="s">
        <v>2213</v>
      </c>
      <c r="B90" s="182">
        <v>3</v>
      </c>
      <c r="C90" s="1615"/>
      <c r="D90" s="1615"/>
      <c r="E90" s="1635"/>
      <c r="F90" s="1636"/>
      <c r="G90" s="1615"/>
      <c r="H90" s="1635"/>
      <c r="I90" s="1637"/>
      <c r="J90" s="1615"/>
      <c r="K90" s="1635"/>
      <c r="L90" s="370"/>
    </row>
    <row r="91" spans="1:12" ht="11.25" customHeight="1">
      <c r="A91" s="250" t="s">
        <v>2058</v>
      </c>
      <c r="B91" s="182">
        <v>3</v>
      </c>
      <c r="C91" s="1615"/>
      <c r="D91" s="1615"/>
      <c r="E91" s="1635"/>
      <c r="F91" s="1636"/>
      <c r="G91" s="1615"/>
      <c r="H91" s="1635"/>
      <c r="I91" s="1637"/>
      <c r="J91" s="1615"/>
      <c r="K91" s="1635"/>
      <c r="L91" s="370"/>
    </row>
    <row r="92" spans="1:12" ht="11.25" customHeight="1">
      <c r="A92" s="250" t="s">
        <v>2214</v>
      </c>
      <c r="B92" s="182">
        <v>3</v>
      </c>
      <c r="C92" s="1615"/>
      <c r="D92" s="1615"/>
      <c r="E92" s="1635"/>
      <c r="F92" s="1636"/>
      <c r="G92" s="1615"/>
      <c r="H92" s="1635"/>
      <c r="I92" s="1637"/>
      <c r="J92" s="1615"/>
      <c r="K92" s="1635"/>
      <c r="L92" s="370"/>
    </row>
    <row r="93" spans="1:12" ht="11.25" customHeight="1">
      <c r="A93" s="250" t="s">
        <v>1539</v>
      </c>
      <c r="B93" s="182">
        <v>3</v>
      </c>
      <c r="C93" s="1615"/>
      <c r="D93" s="1615"/>
      <c r="E93" s="1635"/>
      <c r="F93" s="1636"/>
      <c r="G93" s="1615"/>
      <c r="H93" s="1635"/>
      <c r="I93" s="1637"/>
      <c r="J93" s="1615"/>
      <c r="K93" s="1635"/>
      <c r="L93" s="370"/>
    </row>
    <row r="94" spans="1:12" ht="11.25" customHeight="1">
      <c r="A94" s="250" t="s">
        <v>1668</v>
      </c>
      <c r="B94" s="182"/>
      <c r="C94" s="1615"/>
      <c r="D94" s="1615"/>
      <c r="E94" s="1635"/>
      <c r="F94" s="1636"/>
      <c r="G94" s="1615"/>
      <c r="H94" s="1635"/>
      <c r="I94" s="1637"/>
      <c r="J94" s="1615"/>
      <c r="K94" s="1635"/>
      <c r="L94" s="370"/>
    </row>
    <row r="95" spans="1:12" ht="11.25" customHeight="1">
      <c r="A95" s="250" t="s">
        <v>1094</v>
      </c>
      <c r="B95" s="182"/>
      <c r="C95" s="1615"/>
      <c r="D95" s="1615"/>
      <c r="E95" s="1635"/>
      <c r="F95" s="1636"/>
      <c r="G95" s="1615"/>
      <c r="H95" s="1635"/>
      <c r="I95" s="1637"/>
      <c r="J95" s="1615"/>
      <c r="K95" s="1635"/>
      <c r="L95" s="370"/>
    </row>
    <row r="96" spans="1:12" ht="11.25" customHeight="1">
      <c r="A96" s="250" t="s">
        <v>1669</v>
      </c>
      <c r="B96" s="182">
        <v>6</v>
      </c>
      <c r="C96" s="1615"/>
      <c r="D96" s="1615"/>
      <c r="E96" s="1635"/>
      <c r="F96" s="1636"/>
      <c r="G96" s="1615"/>
      <c r="H96" s="1635"/>
      <c r="I96" s="1637"/>
      <c r="J96" s="1615"/>
      <c r="K96" s="1635"/>
      <c r="L96" s="370"/>
    </row>
    <row r="97" spans="1:14" ht="11.25" customHeight="1">
      <c r="A97" s="265" t="s">
        <v>1303</v>
      </c>
      <c r="B97" s="182"/>
      <c r="C97" s="213">
        <f>SUM(C85:C96)</f>
        <v>0</v>
      </c>
      <c r="D97" s="213">
        <f t="shared" ref="D97:K97" si="12">SUM(D85:D96)</f>
        <v>0</v>
      </c>
      <c r="E97" s="214">
        <f t="shared" si="12"/>
        <v>0</v>
      </c>
      <c r="F97" s="215">
        <f t="shared" si="12"/>
        <v>0</v>
      </c>
      <c r="G97" s="213">
        <f t="shared" si="12"/>
        <v>0</v>
      </c>
      <c r="H97" s="214">
        <f t="shared" si="12"/>
        <v>0</v>
      </c>
      <c r="I97" s="212">
        <f t="shared" si="12"/>
        <v>0</v>
      </c>
      <c r="J97" s="213">
        <f t="shared" si="12"/>
        <v>0</v>
      </c>
      <c r="K97" s="214">
        <f t="shared" si="12"/>
        <v>0</v>
      </c>
      <c r="L97" s="370"/>
    </row>
    <row r="98" spans="1:14" ht="11.25" customHeight="1">
      <c r="A98" s="373" t="str">
        <f>$A$14</f>
        <v>% increase</v>
      </c>
      <c r="B98" s="182">
        <f>$B$14</f>
        <v>4</v>
      </c>
      <c r="C98" s="827"/>
      <c r="D98" s="823">
        <f>IF(ISERROR((D97/C97)-1),0,((D97/C97)-1))</f>
        <v>0</v>
      </c>
      <c r="E98" s="824">
        <f t="shared" ref="E98:K98" si="13">IF(ISERROR((E97/D97)-1),0,((E97/D97)-1))</f>
        <v>0</v>
      </c>
      <c r="F98" s="825">
        <f t="shared" si="13"/>
        <v>0</v>
      </c>
      <c r="G98" s="823">
        <f t="shared" si="13"/>
        <v>0</v>
      </c>
      <c r="H98" s="824">
        <f t="shared" si="13"/>
        <v>0</v>
      </c>
      <c r="I98" s="826">
        <f t="shared" si="13"/>
        <v>0</v>
      </c>
      <c r="J98" s="823">
        <f t="shared" si="13"/>
        <v>0</v>
      </c>
      <c r="K98" s="824">
        <f t="shared" si="13"/>
        <v>0</v>
      </c>
      <c r="L98" s="370"/>
    </row>
    <row r="99" spans="1:14" ht="5" customHeight="1">
      <c r="A99" s="273"/>
      <c r="B99" s="182"/>
      <c r="C99" s="403"/>
      <c r="D99" s="403"/>
      <c r="E99" s="195"/>
      <c r="F99" s="400"/>
      <c r="G99" s="403"/>
      <c r="H99" s="195"/>
      <c r="I99" s="309"/>
      <c r="J99" s="403"/>
      <c r="K99" s="195"/>
      <c r="L99" s="370"/>
    </row>
    <row r="100" spans="1:14" ht="11.25" customHeight="1">
      <c r="A100" s="797" t="s">
        <v>1560</v>
      </c>
      <c r="B100" s="798"/>
      <c r="C100" s="276">
        <f>C65+C81+C97</f>
        <v>0</v>
      </c>
      <c r="D100" s="276">
        <f t="shared" ref="D100:K100" si="14">D65+D81+D97</f>
        <v>0</v>
      </c>
      <c r="E100" s="277">
        <f t="shared" si="14"/>
        <v>0</v>
      </c>
      <c r="F100" s="278">
        <f t="shared" si="14"/>
        <v>0</v>
      </c>
      <c r="G100" s="276">
        <f t="shared" si="14"/>
        <v>0</v>
      </c>
      <c r="H100" s="277">
        <f t="shared" si="14"/>
        <v>0</v>
      </c>
      <c r="I100" s="275">
        <f t="shared" si="14"/>
        <v>0</v>
      </c>
      <c r="J100" s="276">
        <f t="shared" si="14"/>
        <v>0</v>
      </c>
      <c r="K100" s="277">
        <f t="shared" si="14"/>
        <v>0</v>
      </c>
      <c r="L100" s="370"/>
    </row>
    <row r="101" spans="1:14" ht="6" customHeight="1">
      <c r="A101" s="273"/>
      <c r="B101" s="182"/>
      <c r="C101" s="403"/>
      <c r="D101" s="403"/>
      <c r="E101" s="195"/>
      <c r="F101" s="400"/>
      <c r="G101" s="403"/>
      <c r="H101" s="195"/>
      <c r="I101" s="309"/>
      <c r="J101" s="403"/>
      <c r="K101" s="195"/>
      <c r="L101" s="370"/>
    </row>
    <row r="102" spans="1:14">
      <c r="A102" s="1360" t="s">
        <v>567</v>
      </c>
      <c r="B102" s="382"/>
      <c r="C102" s="283">
        <f>C48+C100</f>
        <v>217087125.44</v>
      </c>
      <c r="D102" s="283">
        <f>D48+D100</f>
        <v>265648791.03999999</v>
      </c>
      <c r="E102" s="284">
        <f t="shared" ref="E102:K102" si="15">E48+E100</f>
        <v>194585539.64999998</v>
      </c>
      <c r="F102" s="285">
        <f t="shared" si="15"/>
        <v>304834896</v>
      </c>
      <c r="G102" s="283">
        <f t="shared" si="15"/>
        <v>318954305.88</v>
      </c>
      <c r="H102" s="284">
        <f t="shared" si="15"/>
        <v>321868896.88</v>
      </c>
      <c r="I102" s="282">
        <f t="shared" si="15"/>
        <v>498232987</v>
      </c>
      <c r="J102" s="283">
        <f t="shared" si="15"/>
        <v>536259917</v>
      </c>
      <c r="K102" s="284">
        <f t="shared" si="15"/>
        <v>572371686</v>
      </c>
      <c r="L102" s="370"/>
    </row>
    <row r="103" spans="1:14" ht="12.75" customHeight="1">
      <c r="A103" s="373" t="str">
        <f>$A$14</f>
        <v>% increase</v>
      </c>
      <c r="B103" s="182">
        <f>$B$14</f>
        <v>4</v>
      </c>
      <c r="C103" s="828"/>
      <c r="D103" s="823">
        <f>IF(ISERROR((D102/C102)-1),0,((D102/C102)-1))</f>
        <v>0.22369666327090321</v>
      </c>
      <c r="E103" s="826">
        <f t="shared" ref="E103:K103" si="16">IF(ISERROR((E102/D102)-1),0,((E102/D102)-1))</f>
        <v>-0.26750828080862488</v>
      </c>
      <c r="F103" s="825">
        <f t="shared" si="16"/>
        <v>0.56658555691396684</v>
      </c>
      <c r="G103" s="823">
        <f t="shared" si="16"/>
        <v>4.6318220339183203E-2</v>
      </c>
      <c r="H103" s="824">
        <f t="shared" si="16"/>
        <v>9.1379578399437555E-3</v>
      </c>
      <c r="I103" s="826">
        <f t="shared" si="16"/>
        <v>0.5479376598036203</v>
      </c>
      <c r="J103" s="823">
        <f t="shared" si="16"/>
        <v>7.6323589549882609E-2</v>
      </c>
      <c r="K103" s="824">
        <f t="shared" si="16"/>
        <v>6.7340048836803224E-2</v>
      </c>
      <c r="L103" s="360"/>
      <c r="M103" s="246"/>
      <c r="N103" s="246"/>
    </row>
    <row r="104" spans="1:14" ht="12.75" customHeight="1">
      <c r="A104" s="281" t="s">
        <v>1438</v>
      </c>
      <c r="B104" s="225">
        <v>5</v>
      </c>
      <c r="C104" s="230">
        <f t="shared" ref="C104:K104" si="17">C29+C45+C81+C97</f>
        <v>203083346.99000001</v>
      </c>
      <c r="D104" s="230">
        <f t="shared" si="17"/>
        <v>250116787.53</v>
      </c>
      <c r="E104" s="231">
        <f t="shared" si="17"/>
        <v>177677699.88999999</v>
      </c>
      <c r="F104" s="229">
        <f t="shared" si="17"/>
        <v>283534197</v>
      </c>
      <c r="G104" s="230">
        <f t="shared" si="17"/>
        <v>296208763.88</v>
      </c>
      <c r="H104" s="228">
        <f t="shared" si="17"/>
        <v>299123354.88</v>
      </c>
      <c r="I104" s="231">
        <f t="shared" si="17"/>
        <v>471313698</v>
      </c>
      <c r="J104" s="230">
        <f t="shared" si="17"/>
        <v>507590872</v>
      </c>
      <c r="K104" s="228">
        <f t="shared" si="17"/>
        <v>541839152</v>
      </c>
      <c r="L104" s="360"/>
      <c r="M104" s="246"/>
      <c r="N104" s="246"/>
    </row>
    <row r="105" spans="1:14" s="709" customFormat="1">
      <c r="A105" s="1262" t="str">
        <f>head27a</f>
        <v>References</v>
      </c>
      <c r="B105" s="1038"/>
      <c r="C105" s="1080"/>
      <c r="D105" s="1080"/>
      <c r="E105" s="1080"/>
      <c r="F105" s="1080"/>
      <c r="G105" s="1080"/>
      <c r="H105" s="1080"/>
      <c r="I105" s="1080"/>
      <c r="J105" s="1080"/>
      <c r="K105" s="1080"/>
      <c r="L105" s="1062"/>
      <c r="M105" s="1062"/>
      <c r="N105" s="1062"/>
    </row>
    <row r="106" spans="1:14" s="709" customFormat="1">
      <c r="A106" s="1263" t="s">
        <v>1661</v>
      </c>
      <c r="B106" s="1038"/>
      <c r="C106" s="1080"/>
      <c r="D106" s="1080"/>
      <c r="E106" s="1080"/>
      <c r="F106" s="1080"/>
      <c r="G106" s="1080"/>
      <c r="H106" s="1080"/>
      <c r="I106" s="1080"/>
      <c r="J106" s="1080"/>
      <c r="K106" s="1080"/>
      <c r="L106" s="1062"/>
      <c r="M106" s="1062"/>
      <c r="N106" s="1062"/>
    </row>
    <row r="107" spans="1:14" s="709" customFormat="1">
      <c r="A107" s="1419" t="s">
        <v>682</v>
      </c>
      <c r="B107" s="1038"/>
      <c r="C107" s="1080"/>
      <c r="D107" s="1080"/>
      <c r="E107" s="1080"/>
      <c r="F107" s="1080"/>
      <c r="G107" s="1080"/>
      <c r="H107" s="1080"/>
      <c r="I107" s="1080"/>
      <c r="J107" s="1080"/>
      <c r="K107" s="1080"/>
      <c r="L107" s="1062"/>
      <c r="M107" s="1062"/>
      <c r="N107" s="1062"/>
    </row>
    <row r="108" spans="1:14" s="709" customFormat="1">
      <c r="A108" s="1263" t="s">
        <v>2245</v>
      </c>
      <c r="B108" s="1038"/>
      <c r="C108" s="1080"/>
      <c r="D108" s="1080"/>
      <c r="E108" s="1080"/>
      <c r="F108" s="1080"/>
      <c r="G108" s="1080"/>
      <c r="H108" s="1080"/>
      <c r="I108" s="1080"/>
      <c r="J108" s="1080"/>
      <c r="K108" s="1080"/>
      <c r="L108" s="1062"/>
      <c r="M108" s="1062"/>
      <c r="N108" s="1062"/>
    </row>
    <row r="109" spans="1:14" s="709" customFormat="1">
      <c r="A109" s="1419" t="s">
        <v>1662</v>
      </c>
      <c r="B109" s="1048"/>
      <c r="C109" s="1084"/>
    </row>
    <row r="110" spans="1:14" s="709" customFormat="1">
      <c r="A110" s="1419" t="s">
        <v>128</v>
      </c>
      <c r="B110" s="1048"/>
      <c r="C110" s="1084"/>
    </row>
    <row r="111" spans="1:14" s="709" customFormat="1">
      <c r="A111" s="1419" t="s">
        <v>2059</v>
      </c>
      <c r="B111" s="1048"/>
      <c r="C111" s="1084"/>
    </row>
    <row r="112" spans="1:14" s="709" customFormat="1" ht="3.75" customHeight="1">
      <c r="A112" s="1419"/>
      <c r="B112" s="1048"/>
      <c r="C112" s="1084"/>
    </row>
    <row r="113" spans="1:2" s="709" customFormat="1">
      <c r="A113" s="1420" t="s">
        <v>546</v>
      </c>
      <c r="B113" s="1048"/>
    </row>
    <row r="114" spans="1:2" s="709" customFormat="1">
      <c r="A114" s="1419" t="s">
        <v>1732</v>
      </c>
      <c r="B114" s="1048"/>
    </row>
    <row r="115" spans="1:2" s="709" customFormat="1">
      <c r="A115" s="1419" t="s">
        <v>166</v>
      </c>
      <c r="B115" s="1048"/>
    </row>
    <row r="116" spans="1:2" s="709" customFormat="1">
      <c r="A116" s="1419" t="s">
        <v>167</v>
      </c>
      <c r="B116" s="1048"/>
    </row>
    <row r="117" spans="1:2" s="709" customFormat="1">
      <c r="A117" s="1419" t="s">
        <v>168</v>
      </c>
      <c r="B117" s="1048"/>
    </row>
    <row r="118" spans="1:2" s="709" customFormat="1">
      <c r="A118" s="1419" t="s">
        <v>169</v>
      </c>
      <c r="B118" s="1048"/>
    </row>
    <row r="119" spans="1:2" s="709" customFormat="1">
      <c r="A119" s="1419" t="s">
        <v>170</v>
      </c>
      <c r="B119" s="1048"/>
    </row>
    <row r="121" spans="1:2">
      <c r="B121" s="149"/>
    </row>
    <row r="122" spans="1:2">
      <c r="B122" s="149"/>
    </row>
    <row r="123" spans="1:2">
      <c r="B123" s="149"/>
    </row>
    <row r="124" spans="1:2">
      <c r="B124" s="149"/>
    </row>
    <row r="125" spans="1:2">
      <c r="B125" s="149"/>
    </row>
    <row r="126" spans="1:2">
      <c r="B126" s="149"/>
    </row>
    <row r="127" spans="1:2">
      <c r="B127" s="149"/>
    </row>
    <row r="128" spans="1:2">
      <c r="B128" s="149"/>
    </row>
    <row r="129" spans="2:2">
      <c r="B129" s="149"/>
    </row>
    <row r="130" spans="2:2">
      <c r="B130" s="149"/>
    </row>
    <row r="131" spans="2:2">
      <c r="B131" s="149"/>
    </row>
    <row r="132" spans="2:2">
      <c r="B132" s="149"/>
    </row>
    <row r="133" spans="2:2">
      <c r="B133" s="149"/>
    </row>
    <row r="134" spans="2:2">
      <c r="B134" s="149"/>
    </row>
    <row r="135" spans="2:2">
      <c r="B135" s="149"/>
    </row>
    <row r="136" spans="2:2">
      <c r="B136" s="149"/>
    </row>
    <row r="137" spans="2:2">
      <c r="B137" s="149"/>
    </row>
    <row r="138" spans="2:2">
      <c r="B138" s="149"/>
    </row>
    <row r="139" spans="2:2">
      <c r="B139" s="149"/>
    </row>
    <row r="140" spans="2:2">
      <c r="B140" s="149"/>
    </row>
    <row r="141" spans="2:2">
      <c r="B141" s="149"/>
    </row>
    <row r="142" spans="2:2">
      <c r="B142" s="149"/>
    </row>
    <row r="143" spans="2:2">
      <c r="B143" s="149"/>
    </row>
    <row r="144" spans="2:2">
      <c r="B144" s="149"/>
    </row>
    <row r="145" spans="2:2">
      <c r="B145" s="149"/>
    </row>
    <row r="146" spans="2:2">
      <c r="B146" s="149"/>
    </row>
    <row r="147" spans="2:2">
      <c r="B147" s="149"/>
    </row>
    <row r="148" spans="2:2">
      <c r="B148" s="149"/>
    </row>
    <row r="149" spans="2:2">
      <c r="B149" s="149"/>
    </row>
    <row r="150" spans="2:2">
      <c r="B150" s="149"/>
    </row>
    <row r="151" spans="2:2">
      <c r="B151" s="149"/>
    </row>
    <row r="152" spans="2:2">
      <c r="B152" s="149"/>
    </row>
    <row r="153" spans="2:2">
      <c r="B153" s="149"/>
    </row>
    <row r="154" spans="2:2">
      <c r="B154" s="149"/>
    </row>
    <row r="155" spans="2:2">
      <c r="B155" s="149"/>
    </row>
    <row r="156" spans="2:2">
      <c r="B156" s="149"/>
    </row>
    <row r="157" spans="2:2">
      <c r="B157" s="149"/>
    </row>
    <row r="158" spans="2:2">
      <c r="B158" s="149"/>
    </row>
    <row r="159" spans="2:2">
      <c r="B159" s="149"/>
    </row>
    <row r="160" spans="2:2">
      <c r="B160" s="149"/>
    </row>
    <row r="161" spans="2:2">
      <c r="B161" s="149"/>
    </row>
    <row r="162" spans="2:2">
      <c r="B162" s="149"/>
    </row>
    <row r="163" spans="2:2">
      <c r="B163" s="149"/>
    </row>
    <row r="164" spans="2:2">
      <c r="B164" s="149"/>
    </row>
    <row r="165" spans="2:2">
      <c r="B165" s="149"/>
    </row>
    <row r="166" spans="2:2">
      <c r="B166" s="149"/>
    </row>
    <row r="167" spans="2:2">
      <c r="B167" s="149"/>
    </row>
    <row r="168" spans="2:2">
      <c r="B168" s="149"/>
    </row>
    <row r="169" spans="2:2">
      <c r="B169" s="149"/>
    </row>
    <row r="170" spans="2:2">
      <c r="B170" s="149"/>
    </row>
    <row r="171" spans="2:2">
      <c r="B171" s="149"/>
    </row>
    <row r="172" spans="2:2">
      <c r="B172" s="149"/>
    </row>
    <row r="173" spans="2:2">
      <c r="B173" s="149"/>
    </row>
    <row r="174" spans="2:2">
      <c r="B174" s="149"/>
    </row>
    <row r="175" spans="2:2">
      <c r="B175" s="149"/>
    </row>
    <row r="176" spans="2:2">
      <c r="B176" s="149"/>
    </row>
    <row r="177" spans="2:2">
      <c r="B177" s="149"/>
    </row>
    <row r="178" spans="2:2">
      <c r="B178" s="149"/>
    </row>
    <row r="179" spans="2:2">
      <c r="B179" s="149"/>
    </row>
    <row r="180" spans="2:2">
      <c r="B180" s="149"/>
    </row>
    <row r="181" spans="2:2">
      <c r="B181" s="149"/>
    </row>
    <row r="182" spans="2:2">
      <c r="B182" s="149"/>
    </row>
    <row r="183" spans="2:2">
      <c r="B183" s="149"/>
    </row>
    <row r="184" spans="2:2">
      <c r="B184" s="149"/>
    </row>
    <row r="185" spans="2:2">
      <c r="B185" s="149"/>
    </row>
    <row r="186" spans="2:2">
      <c r="B186" s="149"/>
    </row>
    <row r="187" spans="2:2">
      <c r="B187" s="149"/>
    </row>
    <row r="188" spans="2:2">
      <c r="B188" s="149"/>
    </row>
    <row r="189" spans="2:2">
      <c r="B189" s="149"/>
    </row>
    <row r="190" spans="2:2">
      <c r="B190" s="149"/>
    </row>
    <row r="191" spans="2:2">
      <c r="B191" s="149"/>
    </row>
    <row r="192" spans="2:2">
      <c r="B192" s="149"/>
    </row>
    <row r="193" spans="2:2">
      <c r="B193" s="149"/>
    </row>
    <row r="194" spans="2:2">
      <c r="B194" s="149"/>
    </row>
    <row r="195" spans="2:2">
      <c r="B195" s="149"/>
    </row>
  </sheetData>
  <sheetProtection password="C646" sheet="1" objects="1" scenarios="1"/>
  <mergeCells count="2">
    <mergeCell ref="F2:H2"/>
    <mergeCell ref="I2:K2"/>
  </mergeCells>
  <phoneticPr fontId="5"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98" bottom="0.39370078740157499" header="0.511811023622047" footer="0.39370078740157499"/>
  <headerFooter alignWithMargins="0"/>
  <rowBreaks count="1" manualBreakCount="1">
    <brk id="82" max="10" man="1"/>
  </rowBreaks>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enableFormatConditionsCalculation="0">
    <tabColor indexed="42"/>
    <pageSetUpPr fitToPage="1"/>
  </sheetPr>
  <dimension ref="A1:O70"/>
  <sheetViews>
    <sheetView showGridLines="0" workbookViewId="0">
      <pane xSplit="2" ySplit="3" topLeftCell="C34" activePane="bottomRight" state="frozen"/>
      <selection pane="topRight"/>
      <selection pane="bottomLeft"/>
      <selection pane="bottomRight" activeCell="F35" sqref="F35"/>
    </sheetView>
  </sheetViews>
  <sheetFormatPr baseColWidth="10" defaultColWidth="8.83203125" defaultRowHeight="10" x14ac:dyDescent="0"/>
  <cols>
    <col min="1" max="1" width="38.83203125" style="149" customWidth="1"/>
    <col min="2" max="2" width="3" style="247" customWidth="1"/>
    <col min="3" max="3" width="4.1640625" style="247" customWidth="1"/>
    <col min="4" max="4" width="9.33203125" style="149" customWidth="1"/>
    <col min="5" max="5" width="9.83203125" style="149" customWidth="1"/>
    <col min="6" max="9" width="9.33203125" style="149" customWidth="1"/>
    <col min="10" max="10" width="9.83203125" style="149" customWidth="1"/>
    <col min="11" max="11" width="9.5" style="149" customWidth="1"/>
    <col min="12" max="12" width="9.83203125" style="149" customWidth="1"/>
    <col min="13" max="15" width="9.5" style="149" customWidth="1"/>
    <col min="16" max="16" width="9.83203125" style="149" customWidth="1"/>
    <col min="17" max="19" width="9.5" style="149" customWidth="1"/>
    <col min="20" max="21" width="9.83203125" style="149" customWidth="1"/>
    <col min="22" max="16384" width="8.83203125" style="149"/>
  </cols>
  <sheetData>
    <row r="1" spans="1:9" ht="13.5" customHeight="1">
      <c r="A1" s="147" t="str">
        <f>muni&amp;" - "&amp;TableA23</f>
        <v>NW373 Rustenburg - Supporting Table SA23 Salaries, allowances &amp; benefits (political office bearers/councillors/senior managers)</v>
      </c>
      <c r="B1" s="147"/>
      <c r="C1" s="147"/>
      <c r="D1" s="147"/>
      <c r="E1" s="147"/>
      <c r="F1" s="147"/>
      <c r="G1" s="147"/>
      <c r="H1" s="147"/>
      <c r="I1" s="147"/>
    </row>
    <row r="2" spans="1:9" ht="24.75" customHeight="1">
      <c r="A2" s="985" t="s">
        <v>333</v>
      </c>
      <c r="B2" s="419" t="str">
        <f>head27</f>
        <v>Ref</v>
      </c>
      <c r="C2" s="2812" t="s">
        <v>2242</v>
      </c>
      <c r="D2" s="2816" t="s">
        <v>112</v>
      </c>
      <c r="E2" s="2516" t="s">
        <v>2244</v>
      </c>
      <c r="F2" s="2816" t="s">
        <v>113</v>
      </c>
      <c r="G2" s="2816" t="s">
        <v>762</v>
      </c>
      <c r="H2" s="835" t="s">
        <v>971</v>
      </c>
      <c r="I2" s="835" t="s">
        <v>972</v>
      </c>
    </row>
    <row r="3" spans="1:9" ht="29.25" customHeight="1">
      <c r="A3" s="180" t="s">
        <v>780</v>
      </c>
      <c r="B3" s="1534"/>
      <c r="C3" s="2813"/>
      <c r="D3" s="2817"/>
      <c r="E3" s="2515" t="s">
        <v>2243</v>
      </c>
      <c r="F3" s="2817"/>
      <c r="G3" s="2817"/>
      <c r="H3" s="1000"/>
      <c r="I3" s="1000" t="s">
        <v>1820</v>
      </c>
    </row>
    <row r="4" spans="1:9" ht="11.25" customHeight="1">
      <c r="A4" s="249" t="s">
        <v>111</v>
      </c>
      <c r="B4" s="182">
        <v>3</v>
      </c>
      <c r="C4" s="836"/>
      <c r="D4" s="837"/>
      <c r="E4" s="837"/>
      <c r="F4" s="837"/>
      <c r="G4" s="392"/>
      <c r="H4" s="393"/>
      <c r="I4" s="838"/>
    </row>
    <row r="5" spans="1:9" ht="11.25" customHeight="1">
      <c r="A5" s="250" t="s">
        <v>722</v>
      </c>
      <c r="B5" s="182">
        <v>4</v>
      </c>
      <c r="C5" s="1933"/>
      <c r="D5" s="1666">
        <v>524122</v>
      </c>
      <c r="E5" s="1666">
        <v>48204</v>
      </c>
      <c r="F5" s="1666">
        <v>120973</v>
      </c>
      <c r="G5" s="1984"/>
      <c r="H5" s="1985"/>
      <c r="I5" s="838">
        <f t="shared" ref="I5:I10" si="0">SUM(D5:F5)</f>
        <v>693299</v>
      </c>
    </row>
    <row r="6" spans="1:9" ht="11.25" customHeight="1">
      <c r="A6" s="250" t="s">
        <v>1306</v>
      </c>
      <c r="B6" s="182"/>
      <c r="C6" s="1933"/>
      <c r="D6" s="1666">
        <v>468858</v>
      </c>
      <c r="E6" s="1666">
        <v>89872</v>
      </c>
      <c r="F6" s="1666">
        <v>85053</v>
      </c>
      <c r="G6" s="1984"/>
      <c r="H6" s="1985"/>
      <c r="I6" s="838">
        <f t="shared" si="0"/>
        <v>643783</v>
      </c>
    </row>
    <row r="7" spans="1:9" ht="11.25" customHeight="1">
      <c r="A7" s="250" t="s">
        <v>723</v>
      </c>
      <c r="B7" s="182"/>
      <c r="C7" s="1933"/>
      <c r="D7" s="1666">
        <v>2180264</v>
      </c>
      <c r="E7" s="1666">
        <v>0</v>
      </c>
      <c r="F7" s="1666">
        <v>252520</v>
      </c>
      <c r="G7" s="1984"/>
      <c r="H7" s="1985"/>
      <c r="I7" s="838">
        <f t="shared" si="0"/>
        <v>2432784</v>
      </c>
    </row>
    <row r="8" spans="1:9" ht="11.25" customHeight="1">
      <c r="A8" s="250" t="s">
        <v>282</v>
      </c>
      <c r="B8" s="182"/>
      <c r="C8" s="1933"/>
      <c r="D8" s="1666">
        <v>0</v>
      </c>
      <c r="E8" s="1666">
        <v>0</v>
      </c>
      <c r="F8" s="1666">
        <v>0</v>
      </c>
      <c r="G8" s="1984"/>
      <c r="H8" s="1985"/>
      <c r="I8" s="838">
        <f t="shared" si="0"/>
        <v>0</v>
      </c>
    </row>
    <row r="9" spans="1:9" ht="11.25" customHeight="1">
      <c r="A9" s="250" t="s">
        <v>462</v>
      </c>
      <c r="B9" s="182"/>
      <c r="C9" s="1933"/>
      <c r="D9" s="1666">
        <v>4057865</v>
      </c>
      <c r="E9" s="1666">
        <v>679308</v>
      </c>
      <c r="F9" s="1666">
        <v>1598651</v>
      </c>
      <c r="G9" s="1984"/>
      <c r="H9" s="1985"/>
      <c r="I9" s="838">
        <f t="shared" si="0"/>
        <v>6335824</v>
      </c>
    </row>
    <row r="10" spans="1:9" ht="11.25" customHeight="1">
      <c r="A10" s="250" t="s">
        <v>463</v>
      </c>
      <c r="B10" s="182"/>
      <c r="C10" s="1933"/>
      <c r="D10" s="1666">
        <v>12691640</v>
      </c>
      <c r="E10" s="1666">
        <v>1778947</v>
      </c>
      <c r="F10" s="1666">
        <v>2343012</v>
      </c>
      <c r="G10" s="1984"/>
      <c r="H10" s="1985"/>
      <c r="I10" s="838">
        <f t="shared" si="0"/>
        <v>16813599</v>
      </c>
    </row>
    <row r="11" spans="1:9" ht="11.25" customHeight="1">
      <c r="A11" s="797" t="str">
        <f>"Total "&amp;A4</f>
        <v>Total Councillors</v>
      </c>
      <c r="B11" s="798">
        <v>8</v>
      </c>
      <c r="C11" s="840">
        <f t="shared" ref="C11:I11" si="1">SUM(C5:C10)</f>
        <v>0</v>
      </c>
      <c r="D11" s="841">
        <f t="shared" si="1"/>
        <v>19922749</v>
      </c>
      <c r="E11" s="841">
        <f t="shared" si="1"/>
        <v>2596331</v>
      </c>
      <c r="F11" s="842">
        <f t="shared" si="1"/>
        <v>4400209</v>
      </c>
      <c r="G11" s="841"/>
      <c r="H11" s="846"/>
      <c r="I11" s="843">
        <f t="shared" si="1"/>
        <v>26919289</v>
      </c>
    </row>
    <row r="12" spans="1:9">
      <c r="A12" s="273"/>
      <c r="B12" s="182"/>
      <c r="C12" s="836"/>
      <c r="D12" s="837"/>
      <c r="E12" s="392"/>
      <c r="F12" s="837"/>
      <c r="G12" s="392"/>
      <c r="H12" s="393"/>
      <c r="I12" s="838"/>
    </row>
    <row r="13" spans="1:9" ht="11.25" customHeight="1">
      <c r="A13" s="249" t="s">
        <v>1304</v>
      </c>
      <c r="B13" s="182">
        <v>5</v>
      </c>
      <c r="C13" s="836"/>
      <c r="D13" s="837"/>
      <c r="E13" s="392"/>
      <c r="F13" s="837"/>
      <c r="G13" s="392"/>
      <c r="H13" s="393"/>
      <c r="I13" s="838"/>
    </row>
    <row r="14" spans="1:9" ht="11.25" customHeight="1">
      <c r="A14" s="1904" t="s">
        <v>114</v>
      </c>
      <c r="B14" s="182"/>
      <c r="C14" s="1933"/>
      <c r="D14" s="2616">
        <v>1654387.36</v>
      </c>
      <c r="E14" s="2617">
        <v>0</v>
      </c>
      <c r="F14" s="2617">
        <v>0</v>
      </c>
      <c r="G14" s="1666"/>
      <c r="H14" s="1985"/>
      <c r="I14" s="838">
        <f t="shared" ref="I14:I19" si="2">SUM(D14:H14)</f>
        <v>1654387.36</v>
      </c>
    </row>
    <row r="15" spans="1:9" ht="11.25" customHeight="1">
      <c r="A15" s="1904" t="s">
        <v>115</v>
      </c>
      <c r="B15" s="182"/>
      <c r="C15" s="1933"/>
      <c r="D15" s="2617">
        <v>914527.22</v>
      </c>
      <c r="E15" s="2617"/>
      <c r="F15" s="2617">
        <v>180000</v>
      </c>
      <c r="G15" s="1666"/>
      <c r="H15" s="1985"/>
      <c r="I15" s="838">
        <f t="shared" si="2"/>
        <v>1094527.22</v>
      </c>
    </row>
    <row r="16" spans="1:9" ht="11.25" customHeight="1">
      <c r="A16" s="1904" t="s">
        <v>3944</v>
      </c>
      <c r="B16" s="182"/>
      <c r="C16" s="1933"/>
      <c r="D16" s="2617">
        <v>1141560.72</v>
      </c>
      <c r="E16" s="2617"/>
      <c r="F16" s="2617">
        <v>0</v>
      </c>
      <c r="G16" s="1666"/>
      <c r="H16" s="1985"/>
      <c r="I16" s="838">
        <f t="shared" si="2"/>
        <v>1141560.72</v>
      </c>
    </row>
    <row r="17" spans="1:9" ht="11.25" customHeight="1">
      <c r="A17" s="1904" t="s">
        <v>3945</v>
      </c>
      <c r="B17" s="182"/>
      <c r="C17" s="1933"/>
      <c r="D17" s="2617">
        <v>1010058</v>
      </c>
      <c r="E17" s="2617"/>
      <c r="F17" s="2617">
        <v>84000</v>
      </c>
      <c r="G17" s="1666"/>
      <c r="H17" s="1985"/>
      <c r="I17" s="838">
        <f t="shared" si="2"/>
        <v>1094058</v>
      </c>
    </row>
    <row r="18" spans="1:9" ht="11.25" customHeight="1">
      <c r="A18" s="1904" t="s">
        <v>3946</v>
      </c>
      <c r="B18" s="182"/>
      <c r="C18" s="1933"/>
      <c r="D18" s="2617">
        <v>883576</v>
      </c>
      <c r="E18" s="2617"/>
      <c r="F18" s="2617">
        <v>120000</v>
      </c>
      <c r="G18" s="1666"/>
      <c r="H18" s="1985"/>
      <c r="I18" s="838">
        <f t="shared" si="2"/>
        <v>1003576</v>
      </c>
    </row>
    <row r="19" spans="1:9" ht="11.25" customHeight="1">
      <c r="A19" s="1904" t="s">
        <v>3947</v>
      </c>
      <c r="B19" s="182"/>
      <c r="C19" s="1933"/>
      <c r="D19" s="2617">
        <v>1099518.1000000001</v>
      </c>
      <c r="E19" s="2617"/>
      <c r="F19" s="2617"/>
      <c r="G19" s="1666"/>
      <c r="H19" s="1985"/>
      <c r="I19" s="838">
        <f t="shared" si="2"/>
        <v>1099518.1000000001</v>
      </c>
    </row>
    <row r="20" spans="1:9" ht="5" customHeight="1">
      <c r="A20" s="273"/>
      <c r="B20" s="182"/>
      <c r="C20" s="2064"/>
      <c r="D20" s="2065"/>
      <c r="E20" s="2066"/>
      <c r="F20" s="2065"/>
      <c r="G20" s="2066"/>
      <c r="H20" s="2067"/>
      <c r="I20" s="838"/>
    </row>
    <row r="21" spans="1:9" ht="11.25" customHeight="1">
      <c r="A21" s="958" t="s">
        <v>324</v>
      </c>
      <c r="B21" s="182"/>
      <c r="C21" s="836"/>
      <c r="D21" s="837"/>
      <c r="E21" s="392"/>
      <c r="F21" s="837"/>
      <c r="G21" s="392"/>
      <c r="H21" s="393"/>
      <c r="I21" s="838"/>
    </row>
    <row r="22" spans="1:9" ht="11.25" customHeight="1">
      <c r="A22" s="1904" t="s">
        <v>2429</v>
      </c>
      <c r="B22" s="182"/>
      <c r="C22" s="1933"/>
      <c r="D22" s="2617">
        <v>1010058</v>
      </c>
      <c r="E22" s="2617"/>
      <c r="F22" s="2617">
        <v>84000</v>
      </c>
      <c r="G22" s="1666"/>
      <c r="H22" s="1985"/>
      <c r="I22" s="838">
        <f>SUM(D22:H22)</f>
        <v>1094058</v>
      </c>
    </row>
    <row r="23" spans="1:9" ht="11.25" customHeight="1">
      <c r="A23" s="1904" t="s">
        <v>2430</v>
      </c>
      <c r="B23" s="182"/>
      <c r="C23" s="1933"/>
      <c r="D23" s="2617">
        <v>808180.75</v>
      </c>
      <c r="E23" s="2617"/>
      <c r="F23" s="2617">
        <v>158400</v>
      </c>
      <c r="G23" s="1666"/>
      <c r="H23" s="1985"/>
      <c r="I23" s="838">
        <f t="shared" ref="I23:I32" si="3">SUM(D23:H23)</f>
        <v>966580.75</v>
      </c>
    </row>
    <row r="24" spans="1:9" ht="11.25" customHeight="1">
      <c r="A24" s="1904" t="s">
        <v>3948</v>
      </c>
      <c r="B24" s="182"/>
      <c r="C24" s="1933"/>
      <c r="D24" s="2617">
        <v>806965.62</v>
      </c>
      <c r="E24" s="2617"/>
      <c r="F24" s="2617">
        <v>108000</v>
      </c>
      <c r="G24" s="1666"/>
      <c r="H24" s="1985"/>
      <c r="I24" s="838">
        <f t="shared" si="3"/>
        <v>914965.62</v>
      </c>
    </row>
    <row r="25" spans="1:9" ht="11.25" customHeight="1">
      <c r="A25" s="1904" t="s">
        <v>3949</v>
      </c>
      <c r="B25" s="182"/>
      <c r="C25" s="1933"/>
      <c r="D25" s="2617">
        <v>1364945.9199999999</v>
      </c>
      <c r="E25" s="2617"/>
      <c r="F25" s="2617">
        <v>108000</v>
      </c>
      <c r="G25" s="1666"/>
      <c r="H25" s="1985"/>
      <c r="I25" s="838">
        <f t="shared" si="3"/>
        <v>1472945.92</v>
      </c>
    </row>
    <row r="26" spans="1:9" ht="11.25" customHeight="1">
      <c r="A26" s="1904"/>
      <c r="B26" s="182"/>
      <c r="C26" s="1933"/>
      <c r="D26" s="1666"/>
      <c r="E26" s="1666"/>
      <c r="F26" s="1666"/>
      <c r="G26" s="1666"/>
      <c r="H26" s="1985"/>
      <c r="I26" s="838">
        <f t="shared" si="3"/>
        <v>0</v>
      </c>
    </row>
    <row r="27" spans="1:9" ht="11.25" customHeight="1">
      <c r="A27" s="1904"/>
      <c r="B27" s="182"/>
      <c r="C27" s="1933"/>
      <c r="D27" s="1666"/>
      <c r="E27" s="1666"/>
      <c r="F27" s="1666"/>
      <c r="G27" s="1666"/>
      <c r="H27" s="1985"/>
      <c r="I27" s="838">
        <f t="shared" si="3"/>
        <v>0</v>
      </c>
    </row>
    <row r="28" spans="1:9" ht="11.25" customHeight="1">
      <c r="A28" s="1904"/>
      <c r="B28" s="182"/>
      <c r="C28" s="1933"/>
      <c r="D28" s="1666"/>
      <c r="E28" s="1666"/>
      <c r="F28" s="1666"/>
      <c r="G28" s="1666"/>
      <c r="H28" s="1985"/>
      <c r="I28" s="838">
        <f t="shared" si="3"/>
        <v>0</v>
      </c>
    </row>
    <row r="29" spans="1:9" ht="11.25" customHeight="1">
      <c r="A29" s="1904"/>
      <c r="B29" s="182"/>
      <c r="C29" s="1933"/>
      <c r="D29" s="1666"/>
      <c r="E29" s="1666"/>
      <c r="F29" s="1666"/>
      <c r="G29" s="1666"/>
      <c r="H29" s="1985"/>
      <c r="I29" s="838">
        <f t="shared" si="3"/>
        <v>0</v>
      </c>
    </row>
    <row r="30" spans="1:9" ht="11.25" customHeight="1">
      <c r="A30" s="1904"/>
      <c r="B30" s="182"/>
      <c r="C30" s="1933"/>
      <c r="D30" s="1666"/>
      <c r="E30" s="1666"/>
      <c r="F30" s="1666"/>
      <c r="G30" s="1666"/>
      <c r="H30" s="1985"/>
      <c r="I30" s="838">
        <f t="shared" si="3"/>
        <v>0</v>
      </c>
    </row>
    <row r="31" spans="1:9" ht="11.25" customHeight="1">
      <c r="A31" s="1904"/>
      <c r="B31" s="182"/>
      <c r="C31" s="1933"/>
      <c r="D31" s="1666"/>
      <c r="E31" s="1666"/>
      <c r="F31" s="1666"/>
      <c r="G31" s="1666"/>
      <c r="H31" s="1985"/>
      <c r="I31" s="838">
        <f t="shared" si="3"/>
        <v>0</v>
      </c>
    </row>
    <row r="32" spans="1:9" ht="11.25" customHeight="1">
      <c r="A32" s="1904"/>
      <c r="B32" s="182"/>
      <c r="C32" s="1933"/>
      <c r="D32" s="1666"/>
      <c r="E32" s="1666"/>
      <c r="F32" s="1666"/>
      <c r="G32" s="1666"/>
      <c r="H32" s="1985"/>
      <c r="I32" s="838">
        <f t="shared" si="3"/>
        <v>0</v>
      </c>
    </row>
    <row r="33" spans="1:9" ht="11.25" customHeight="1">
      <c r="A33" s="1654"/>
      <c r="B33" s="182"/>
      <c r="C33" s="1933"/>
      <c r="D33" s="1666"/>
      <c r="E33" s="1666"/>
      <c r="F33" s="1666"/>
      <c r="G33" s="1666"/>
      <c r="H33" s="1985"/>
      <c r="I33" s="838">
        <f>SUM(D33:H33)</f>
        <v>0</v>
      </c>
    </row>
    <row r="34" spans="1:9" ht="11.25" customHeight="1">
      <c r="A34" s="1654"/>
      <c r="B34" s="182"/>
      <c r="C34" s="1933"/>
      <c r="D34" s="1666"/>
      <c r="E34" s="1666"/>
      <c r="F34" s="1666"/>
      <c r="G34" s="1666"/>
      <c r="H34" s="1985"/>
      <c r="I34" s="838">
        <f>SUM(D34:H34)</f>
        <v>0</v>
      </c>
    </row>
    <row r="35" spans="1:9" ht="11.25" customHeight="1">
      <c r="A35" s="797" t="str">
        <f>"Total "&amp;A13</f>
        <v>Total Senior Managers of the Municipality</v>
      </c>
      <c r="B35" s="798">
        <v>8</v>
      </c>
      <c r="C35" s="845">
        <f>SUM(C14:C34)</f>
        <v>0</v>
      </c>
      <c r="D35" s="842">
        <f>SUM(D14:D34)</f>
        <v>10693777.689999999</v>
      </c>
      <c r="E35" s="841">
        <f>SUM(E14:E34)</f>
        <v>0</v>
      </c>
      <c r="F35" s="842">
        <f>SUM(F14:F34)</f>
        <v>842400</v>
      </c>
      <c r="G35" s="841">
        <f>SUM(G14:G34)</f>
        <v>0</v>
      </c>
      <c r="H35" s="846"/>
      <c r="I35" s="843">
        <f>SUM(I14:I34)</f>
        <v>11536177.689999999</v>
      </c>
    </row>
    <row r="36" spans="1:9">
      <c r="A36" s="273"/>
      <c r="B36" s="182"/>
      <c r="C36" s="836"/>
      <c r="D36" s="837"/>
      <c r="E36" s="392"/>
      <c r="F36" s="837"/>
      <c r="G36" s="392"/>
      <c r="H36" s="393"/>
      <c r="I36" s="838"/>
    </row>
    <row r="37" spans="1:9" ht="11.25" customHeight="1">
      <c r="A37" s="249" t="s">
        <v>763</v>
      </c>
      <c r="B37" s="182" t="s">
        <v>2246</v>
      </c>
      <c r="C37" s="836"/>
      <c r="D37" s="837"/>
      <c r="E37" s="392"/>
      <c r="F37" s="837"/>
      <c r="G37" s="392"/>
      <c r="H37" s="393"/>
      <c r="I37" s="838"/>
    </row>
    <row r="38" spans="1:9" ht="11.25" customHeight="1">
      <c r="A38" s="254" t="s">
        <v>116</v>
      </c>
      <c r="B38" s="182"/>
      <c r="C38" s="839"/>
      <c r="D38" s="392"/>
      <c r="E38" s="392"/>
      <c r="F38" s="392"/>
      <c r="G38" s="392"/>
      <c r="H38" s="393"/>
      <c r="I38" s="847"/>
    </row>
    <row r="39" spans="1:9" ht="11.25" customHeight="1">
      <c r="A39" s="1904"/>
      <c r="B39" s="182"/>
      <c r="C39" s="1933"/>
      <c r="D39" s="1666"/>
      <c r="E39" s="1666"/>
      <c r="F39" s="1666"/>
      <c r="G39" s="1666"/>
      <c r="H39" s="1985"/>
      <c r="I39" s="847">
        <f>SUM(D39:G39)</f>
        <v>0</v>
      </c>
    </row>
    <row r="40" spans="1:9" ht="11.25" customHeight="1">
      <c r="A40" s="1904"/>
      <c r="B40" s="182"/>
      <c r="C40" s="1933"/>
      <c r="D40" s="1666"/>
      <c r="E40" s="1666"/>
      <c r="F40" s="1666"/>
      <c r="G40" s="1666"/>
      <c r="H40" s="1985"/>
      <c r="I40" s="847">
        <f t="shared" ref="I40:I54" si="4">SUM(D40:G40)</f>
        <v>0</v>
      </c>
    </row>
    <row r="41" spans="1:9" ht="11.25" customHeight="1">
      <c r="A41" s="1904"/>
      <c r="B41" s="182"/>
      <c r="C41" s="1933"/>
      <c r="D41" s="1666"/>
      <c r="E41" s="1666"/>
      <c r="F41" s="1666"/>
      <c r="G41" s="1666"/>
      <c r="H41" s="1985"/>
      <c r="I41" s="847">
        <f t="shared" si="4"/>
        <v>0</v>
      </c>
    </row>
    <row r="42" spans="1:9" ht="11.25" customHeight="1">
      <c r="A42" s="1904"/>
      <c r="B42" s="182"/>
      <c r="C42" s="1933"/>
      <c r="D42" s="1666"/>
      <c r="E42" s="1666"/>
      <c r="F42" s="1666"/>
      <c r="G42" s="1666"/>
      <c r="H42" s="1985"/>
      <c r="I42" s="847">
        <f t="shared" si="4"/>
        <v>0</v>
      </c>
    </row>
    <row r="43" spans="1:9" ht="11.25" customHeight="1">
      <c r="A43" s="1904"/>
      <c r="B43" s="182"/>
      <c r="C43" s="1933"/>
      <c r="D43" s="1666"/>
      <c r="E43" s="1666"/>
      <c r="F43" s="1666"/>
      <c r="G43" s="1666"/>
      <c r="H43" s="1985"/>
      <c r="I43" s="847">
        <f t="shared" si="4"/>
        <v>0</v>
      </c>
    </row>
    <row r="44" spans="1:9" ht="11.25" customHeight="1">
      <c r="A44" s="1904"/>
      <c r="B44" s="182"/>
      <c r="C44" s="1933"/>
      <c r="D44" s="1666"/>
      <c r="E44" s="1666"/>
      <c r="F44" s="1666"/>
      <c r="G44" s="1666"/>
      <c r="H44" s="1985"/>
      <c r="I44" s="847">
        <f t="shared" si="4"/>
        <v>0</v>
      </c>
    </row>
    <row r="45" spans="1:9" ht="11.25" customHeight="1">
      <c r="A45" s="1904"/>
      <c r="B45" s="182"/>
      <c r="C45" s="1933"/>
      <c r="D45" s="1666"/>
      <c r="E45" s="1666"/>
      <c r="F45" s="1666"/>
      <c r="G45" s="1666"/>
      <c r="H45" s="1985"/>
      <c r="I45" s="847">
        <f t="shared" si="4"/>
        <v>0</v>
      </c>
    </row>
    <row r="46" spans="1:9" ht="11.25" customHeight="1">
      <c r="A46" s="1904"/>
      <c r="B46" s="182"/>
      <c r="C46" s="1933"/>
      <c r="D46" s="1666"/>
      <c r="E46" s="1666"/>
      <c r="F46" s="1666"/>
      <c r="G46" s="1666"/>
      <c r="H46" s="1985"/>
      <c r="I46" s="847">
        <f t="shared" si="4"/>
        <v>0</v>
      </c>
    </row>
    <row r="47" spans="1:9" ht="11.25" customHeight="1">
      <c r="A47" s="1904"/>
      <c r="B47" s="182"/>
      <c r="C47" s="1933"/>
      <c r="D47" s="1666"/>
      <c r="E47" s="1666"/>
      <c r="F47" s="1666"/>
      <c r="G47" s="1666"/>
      <c r="H47" s="1985"/>
      <c r="I47" s="847">
        <f t="shared" si="4"/>
        <v>0</v>
      </c>
    </row>
    <row r="48" spans="1:9" ht="11.25" customHeight="1">
      <c r="A48" s="1904"/>
      <c r="B48" s="182"/>
      <c r="C48" s="1933"/>
      <c r="D48" s="1666"/>
      <c r="E48" s="1666"/>
      <c r="F48" s="1666"/>
      <c r="G48" s="1666"/>
      <c r="H48" s="1985"/>
      <c r="I48" s="847">
        <f t="shared" si="4"/>
        <v>0</v>
      </c>
    </row>
    <row r="49" spans="1:15" ht="11.25" customHeight="1">
      <c r="A49" s="1904"/>
      <c r="B49" s="182"/>
      <c r="C49" s="1933"/>
      <c r="D49" s="1666"/>
      <c r="E49" s="1666"/>
      <c r="F49" s="1666"/>
      <c r="G49" s="1666"/>
      <c r="H49" s="1985"/>
      <c r="I49" s="847">
        <f t="shared" si="4"/>
        <v>0</v>
      </c>
    </row>
    <row r="50" spans="1:15" ht="11.25" customHeight="1">
      <c r="A50" s="1904"/>
      <c r="B50" s="182"/>
      <c r="C50" s="1933"/>
      <c r="D50" s="1666"/>
      <c r="E50" s="1666"/>
      <c r="F50" s="1666"/>
      <c r="G50" s="1666"/>
      <c r="H50" s="1985"/>
      <c r="I50" s="847">
        <f t="shared" si="4"/>
        <v>0</v>
      </c>
    </row>
    <row r="51" spans="1:15" ht="11.25" customHeight="1">
      <c r="A51" s="1904"/>
      <c r="B51" s="182"/>
      <c r="C51" s="1933"/>
      <c r="D51" s="1666"/>
      <c r="E51" s="1666"/>
      <c r="F51" s="1666"/>
      <c r="G51" s="1666"/>
      <c r="H51" s="1985"/>
      <c r="I51" s="847">
        <f t="shared" si="4"/>
        <v>0</v>
      </c>
    </row>
    <row r="52" spans="1:15" ht="11.25" customHeight="1">
      <c r="A52" s="1904"/>
      <c r="B52" s="182"/>
      <c r="C52" s="1933"/>
      <c r="D52" s="1666"/>
      <c r="E52" s="1666"/>
      <c r="F52" s="1666"/>
      <c r="G52" s="1666"/>
      <c r="H52" s="1985"/>
      <c r="I52" s="847">
        <f t="shared" si="4"/>
        <v>0</v>
      </c>
    </row>
    <row r="53" spans="1:15" ht="11.25" customHeight="1">
      <c r="A53" s="1904"/>
      <c r="B53" s="182"/>
      <c r="C53" s="1933"/>
      <c r="D53" s="1666"/>
      <c r="E53" s="1666"/>
      <c r="F53" s="1666"/>
      <c r="G53" s="1666"/>
      <c r="H53" s="1985"/>
      <c r="I53" s="847">
        <f t="shared" si="4"/>
        <v>0</v>
      </c>
    </row>
    <row r="54" spans="1:15" ht="11.25" customHeight="1">
      <c r="A54" s="1904"/>
      <c r="B54" s="182"/>
      <c r="C54" s="1933"/>
      <c r="D54" s="1666"/>
      <c r="E54" s="1666"/>
      <c r="F54" s="1666"/>
      <c r="G54" s="1666"/>
      <c r="H54" s="1985"/>
      <c r="I54" s="847">
        <f t="shared" si="4"/>
        <v>0</v>
      </c>
    </row>
    <row r="55" spans="1:15" ht="11.25" customHeight="1">
      <c r="A55" s="797" t="s">
        <v>325</v>
      </c>
      <c r="B55" s="798">
        <v>8</v>
      </c>
      <c r="C55" s="845">
        <f>SUM(C38:C54)</f>
        <v>0</v>
      </c>
      <c r="D55" s="842">
        <f t="shared" ref="D55:I55" si="5">SUM(D39:D54)</f>
        <v>0</v>
      </c>
      <c r="E55" s="841">
        <f t="shared" si="5"/>
        <v>0</v>
      </c>
      <c r="F55" s="842">
        <f t="shared" si="5"/>
        <v>0</v>
      </c>
      <c r="G55" s="841">
        <f t="shared" si="5"/>
        <v>0</v>
      </c>
      <c r="H55" s="846"/>
      <c r="I55" s="843">
        <f t="shared" si="5"/>
        <v>0</v>
      </c>
    </row>
    <row r="56" spans="1:15">
      <c r="A56" s="273"/>
      <c r="B56" s="182"/>
      <c r="C56" s="836"/>
      <c r="D56" s="837"/>
      <c r="E56" s="837"/>
      <c r="F56" s="837"/>
      <c r="G56" s="837"/>
      <c r="H56" s="848"/>
      <c r="I56" s="838"/>
    </row>
    <row r="57" spans="1:15" s="769" customFormat="1" ht="20">
      <c r="A57" s="849" t="s">
        <v>283</v>
      </c>
      <c r="B57" s="774"/>
      <c r="C57" s="850">
        <f t="shared" ref="C57:I57" si="6">C11+C35+C55</f>
        <v>0</v>
      </c>
      <c r="D57" s="851">
        <f t="shared" si="6"/>
        <v>30616526.689999998</v>
      </c>
      <c r="E57" s="851">
        <f t="shared" si="6"/>
        <v>2596331</v>
      </c>
      <c r="F57" s="851">
        <f t="shared" si="6"/>
        <v>5242609</v>
      </c>
      <c r="G57" s="851">
        <f t="shared" si="6"/>
        <v>0</v>
      </c>
      <c r="H57" s="852"/>
      <c r="I57" s="853">
        <f t="shared" si="6"/>
        <v>38455466.689999998</v>
      </c>
    </row>
    <row r="58" spans="1:15" ht="5" customHeight="1">
      <c r="A58" s="653"/>
      <c r="B58" s="236"/>
      <c r="C58" s="236"/>
      <c r="D58" s="309"/>
      <c r="E58" s="309"/>
      <c r="F58" s="309"/>
      <c r="G58" s="309"/>
      <c r="H58" s="309"/>
      <c r="I58" s="309"/>
      <c r="J58" s="246"/>
      <c r="K58" s="246"/>
      <c r="L58" s="246"/>
    </row>
    <row r="59" spans="1:15" s="709" customFormat="1">
      <c r="A59" s="1262" t="str">
        <f>head27a</f>
        <v>References</v>
      </c>
      <c r="B59" s="1038"/>
      <c r="C59" s="1038"/>
      <c r="D59" s="1080"/>
      <c r="E59" s="1080"/>
      <c r="F59" s="1080"/>
      <c r="G59" s="1080"/>
      <c r="H59" s="1080"/>
      <c r="I59" s="1080"/>
      <c r="J59" s="1062"/>
      <c r="K59" s="1062"/>
      <c r="L59" s="1062"/>
    </row>
    <row r="60" spans="1:15" s="1087" customFormat="1">
      <c r="A60" s="2513" t="s">
        <v>970</v>
      </c>
      <c r="B60" s="2514"/>
      <c r="C60" s="2514"/>
    </row>
    <row r="61" spans="1:15" s="709" customFormat="1">
      <c r="A61" s="1419" t="s">
        <v>2247</v>
      </c>
      <c r="B61" s="1048"/>
      <c r="C61" s="1048"/>
      <c r="O61" s="1087"/>
    </row>
    <row r="62" spans="1:15" s="709" customFormat="1">
      <c r="A62" s="1419" t="s">
        <v>2248</v>
      </c>
      <c r="B62" s="1048"/>
      <c r="C62" s="1048"/>
    </row>
    <row r="63" spans="1:15" s="709" customFormat="1">
      <c r="A63" s="1419" t="s">
        <v>2249</v>
      </c>
      <c r="B63" s="1048"/>
      <c r="C63" s="1048"/>
    </row>
    <row r="64" spans="1:15" s="709" customFormat="1">
      <c r="A64" s="1419" t="s">
        <v>461</v>
      </c>
      <c r="B64" s="1048"/>
      <c r="C64" s="1048"/>
    </row>
    <row r="65" spans="1:3" s="709" customFormat="1">
      <c r="A65" s="1419" t="s">
        <v>2250</v>
      </c>
      <c r="B65" s="1048"/>
      <c r="C65" s="1048"/>
    </row>
    <row r="66" spans="1:3" s="709" customFormat="1">
      <c r="A66" s="1419" t="s">
        <v>2251</v>
      </c>
      <c r="B66" s="1048"/>
      <c r="C66" s="1048"/>
    </row>
    <row r="67" spans="1:3" s="709" customFormat="1">
      <c r="A67" s="1419" t="s">
        <v>2252</v>
      </c>
      <c r="B67" s="1048"/>
      <c r="C67" s="1048"/>
    </row>
    <row r="68" spans="1:3" s="709" customFormat="1">
      <c r="A68" s="1419" t="s">
        <v>2253</v>
      </c>
      <c r="B68" s="1048"/>
      <c r="C68" s="1048"/>
    </row>
    <row r="69" spans="1:3" s="709" customFormat="1">
      <c r="A69" s="1419" t="s">
        <v>2254</v>
      </c>
      <c r="B69" s="1048"/>
      <c r="C69" s="1048"/>
    </row>
    <row r="70" spans="1:3" s="709" customFormat="1">
      <c r="B70" s="1048"/>
      <c r="C70" s="1048"/>
    </row>
  </sheetData>
  <sheetProtection password="C646" sheet="1" objects="1" scenarios="1"/>
  <mergeCells count="4">
    <mergeCell ref="C2:C3"/>
    <mergeCell ref="F2:F3"/>
    <mergeCell ref="D2:D3"/>
    <mergeCell ref="G2:G3"/>
  </mergeCells>
  <phoneticPr fontId="5"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headerFooter alignWithMargins="0"/>
  <ignoredErrors>
    <ignoredError sqref="E3 I3" numberStoredAsText="1"/>
  </ignoredErrors>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enableFormatConditionsCalculation="0">
    <tabColor indexed="42"/>
  </sheetPr>
  <dimension ref="A1:O51"/>
  <sheetViews>
    <sheetView showGridLines="0" workbookViewId="0">
      <pane ySplit="3" topLeftCell="A4" activePane="bottomLeft" state="frozen"/>
      <selection pane="bottomLeft" activeCell="C11" sqref="C11:K19"/>
    </sheetView>
  </sheetViews>
  <sheetFormatPr baseColWidth="10" defaultColWidth="8.83203125" defaultRowHeight="10" x14ac:dyDescent="0"/>
  <cols>
    <col min="1" max="1" width="37.6640625" style="149" customWidth="1"/>
    <col min="2" max="2" width="3" style="247" customWidth="1"/>
    <col min="3" max="11" width="8.6640625" style="149" customWidth="1"/>
    <col min="12" max="12" width="9.832031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"&amp;TableA24</f>
        <v>NW373 Rustenburg - Supporting Table SA24 Summary of personnel numbers</v>
      </c>
      <c r="B1" s="147"/>
      <c r="C1" s="147"/>
      <c r="D1" s="147"/>
      <c r="E1" s="147"/>
      <c r="F1" s="147"/>
      <c r="G1" s="147"/>
      <c r="H1" s="147"/>
      <c r="I1" s="147"/>
      <c r="J1" s="147"/>
      <c r="K1" s="147"/>
    </row>
    <row r="2" spans="1:12" ht="28.5" customHeight="1">
      <c r="A2" s="985" t="s">
        <v>683</v>
      </c>
      <c r="B2" s="419" t="str">
        <f>head27</f>
        <v>Ref</v>
      </c>
      <c r="C2" s="2818" t="str">
        <f>Head1</f>
        <v>2011/12</v>
      </c>
      <c r="D2" s="2819"/>
      <c r="E2" s="2820"/>
      <c r="F2" s="2765" t="str">
        <f>Head2</f>
        <v>Current Year 2012/13</v>
      </c>
      <c r="G2" s="2766"/>
      <c r="H2" s="2766"/>
      <c r="I2" s="2762" t="str">
        <f>Head9</f>
        <v>Budget Year 2013/14</v>
      </c>
      <c r="J2" s="2763"/>
      <c r="K2" s="2764"/>
      <c r="L2" s="370"/>
    </row>
    <row r="3" spans="1:12" ht="20">
      <c r="A3" s="180" t="s">
        <v>1690</v>
      </c>
      <c r="B3" s="986" t="s">
        <v>1955</v>
      </c>
      <c r="C3" s="390" t="s">
        <v>447</v>
      </c>
      <c r="D3" s="999" t="s">
        <v>952</v>
      </c>
      <c r="E3" s="391" t="s">
        <v>448</v>
      </c>
      <c r="F3" s="390" t="s">
        <v>447</v>
      </c>
      <c r="G3" s="999" t="s">
        <v>952</v>
      </c>
      <c r="H3" s="391" t="s">
        <v>448</v>
      </c>
      <c r="I3" s="390" t="s">
        <v>447</v>
      </c>
      <c r="J3" s="999" t="s">
        <v>952</v>
      </c>
      <c r="K3" s="391" t="s">
        <v>448</v>
      </c>
      <c r="L3" s="370"/>
    </row>
    <row r="4" spans="1:12">
      <c r="A4" s="650" t="s">
        <v>449</v>
      </c>
      <c r="B4" s="182"/>
      <c r="C4" s="837"/>
      <c r="D4" s="837"/>
      <c r="E4" s="854"/>
      <c r="F4" s="855"/>
      <c r="G4" s="837"/>
      <c r="H4" s="856"/>
      <c r="I4" s="848"/>
      <c r="J4" s="837"/>
      <c r="K4" s="854"/>
      <c r="L4" s="370"/>
    </row>
    <row r="5" spans="1:12" ht="11.25" customHeight="1">
      <c r="A5" s="250" t="s">
        <v>914</v>
      </c>
      <c r="B5" s="182"/>
      <c r="C5" s="2542">
        <v>70</v>
      </c>
      <c r="D5" s="2543">
        <v>0</v>
      </c>
      <c r="E5" s="2544">
        <v>0</v>
      </c>
      <c r="F5" s="2545">
        <v>70</v>
      </c>
      <c r="G5" s="2543">
        <v>0</v>
      </c>
      <c r="H5" s="2546">
        <v>0</v>
      </c>
      <c r="I5" s="2545">
        <v>72</v>
      </c>
      <c r="J5" s="2543">
        <v>0</v>
      </c>
      <c r="K5" s="2546">
        <v>0</v>
      </c>
      <c r="L5" s="370"/>
    </row>
    <row r="6" spans="1:12" ht="11.25" customHeight="1">
      <c r="A6" s="254" t="s">
        <v>1415</v>
      </c>
      <c r="B6" s="182">
        <v>4</v>
      </c>
      <c r="C6" s="2542">
        <v>6</v>
      </c>
      <c r="D6" s="2543">
        <v>0</v>
      </c>
      <c r="E6" s="2544">
        <v>6</v>
      </c>
      <c r="F6" s="2545">
        <v>0</v>
      </c>
      <c r="G6" s="2543">
        <v>0</v>
      </c>
      <c r="H6" s="2546">
        <v>0</v>
      </c>
      <c r="I6" s="2545">
        <v>0</v>
      </c>
      <c r="J6" s="2543">
        <v>0</v>
      </c>
      <c r="K6" s="2546">
        <v>0</v>
      </c>
      <c r="L6" s="370"/>
    </row>
    <row r="7" spans="1:12" ht="11.25" customHeight="1">
      <c r="A7" s="650" t="s">
        <v>1416</v>
      </c>
      <c r="B7" s="182">
        <v>5</v>
      </c>
      <c r="C7" s="2542"/>
      <c r="D7" s="2543"/>
      <c r="E7" s="2544"/>
      <c r="F7" s="2545"/>
      <c r="G7" s="2543"/>
      <c r="H7" s="2546"/>
      <c r="I7" s="2545"/>
      <c r="J7" s="2543"/>
      <c r="K7" s="2546"/>
      <c r="L7" s="370"/>
    </row>
    <row r="8" spans="1:12" ht="11.25" customHeight="1">
      <c r="A8" s="254" t="s">
        <v>1417</v>
      </c>
      <c r="B8" s="182">
        <v>3</v>
      </c>
      <c r="C8" s="2542">
        <v>8</v>
      </c>
      <c r="D8" s="2543">
        <v>0</v>
      </c>
      <c r="E8" s="2544">
        <v>8</v>
      </c>
      <c r="F8" s="2545">
        <v>8</v>
      </c>
      <c r="G8" s="2543">
        <v>0</v>
      </c>
      <c r="H8" s="2546">
        <v>8</v>
      </c>
      <c r="I8" s="2545">
        <v>8</v>
      </c>
      <c r="J8" s="2543">
        <v>0</v>
      </c>
      <c r="K8" s="2546">
        <v>8</v>
      </c>
      <c r="L8" s="370"/>
    </row>
    <row r="9" spans="1:12" ht="11.25" customHeight="1">
      <c r="A9" s="254" t="s">
        <v>563</v>
      </c>
      <c r="B9" s="182">
        <v>7</v>
      </c>
      <c r="C9" s="2542">
        <v>43</v>
      </c>
      <c r="D9" s="2543">
        <v>43</v>
      </c>
      <c r="E9" s="2544">
        <v>0</v>
      </c>
      <c r="F9" s="2545">
        <v>43</v>
      </c>
      <c r="G9" s="2543">
        <v>43</v>
      </c>
      <c r="H9" s="2546">
        <v>0</v>
      </c>
      <c r="I9" s="2545">
        <v>43</v>
      </c>
      <c r="J9" s="2543">
        <v>43</v>
      </c>
      <c r="K9" s="2546">
        <v>0</v>
      </c>
      <c r="L9" s="370"/>
    </row>
    <row r="10" spans="1:12" ht="11.25" customHeight="1">
      <c r="A10" s="254" t="s">
        <v>1418</v>
      </c>
      <c r="B10" s="182"/>
      <c r="C10" s="1175">
        <f>SUM(C11:C19)</f>
        <v>1374</v>
      </c>
      <c r="D10" s="1175">
        <f t="shared" ref="D10:K10" si="0">SUM(D11:D19)</f>
        <v>1368</v>
      </c>
      <c r="E10" s="1176">
        <f t="shared" si="0"/>
        <v>6</v>
      </c>
      <c r="F10" s="1177">
        <f t="shared" si="0"/>
        <v>1381</v>
      </c>
      <c r="G10" s="1175">
        <f t="shared" si="0"/>
        <v>1677</v>
      </c>
      <c r="H10" s="1178">
        <f t="shared" si="0"/>
        <v>2</v>
      </c>
      <c r="I10" s="1179">
        <f t="shared" si="0"/>
        <v>1488</v>
      </c>
      <c r="J10" s="1175">
        <f t="shared" si="0"/>
        <v>1483</v>
      </c>
      <c r="K10" s="1176">
        <f t="shared" si="0"/>
        <v>5</v>
      </c>
      <c r="L10" s="370"/>
    </row>
    <row r="11" spans="1:12" ht="11.25" customHeight="1">
      <c r="A11" s="1472" t="s">
        <v>1828</v>
      </c>
      <c r="B11" s="182"/>
      <c r="C11" s="2542">
        <v>99</v>
      </c>
      <c r="D11" s="2543">
        <v>94</v>
      </c>
      <c r="E11" s="2544">
        <v>5</v>
      </c>
      <c r="F11" s="2545">
        <v>103</v>
      </c>
      <c r="G11" s="2543">
        <v>115</v>
      </c>
      <c r="H11" s="2546">
        <v>2</v>
      </c>
      <c r="I11" s="2547">
        <v>142</v>
      </c>
      <c r="J11" s="2548">
        <v>137</v>
      </c>
      <c r="K11" s="2550">
        <v>5</v>
      </c>
      <c r="L11" s="370"/>
    </row>
    <row r="12" spans="1:12" ht="11.25" customHeight="1">
      <c r="A12" s="1472" t="s">
        <v>1419</v>
      </c>
      <c r="B12" s="182"/>
      <c r="C12" s="2542">
        <v>13</v>
      </c>
      <c r="D12" s="2543">
        <v>13</v>
      </c>
      <c r="E12" s="2544">
        <v>0</v>
      </c>
      <c r="F12" s="2545">
        <v>16</v>
      </c>
      <c r="G12" s="2543">
        <v>62</v>
      </c>
      <c r="H12" s="2546">
        <v>0</v>
      </c>
      <c r="I12" s="2547">
        <v>16</v>
      </c>
      <c r="J12" s="2548">
        <v>16</v>
      </c>
      <c r="K12" s="2550">
        <v>0</v>
      </c>
      <c r="L12" s="370"/>
    </row>
    <row r="13" spans="1:12" ht="11.25" customHeight="1">
      <c r="A13" s="1472" t="s">
        <v>337</v>
      </c>
      <c r="B13" s="182"/>
      <c r="C13" s="2542">
        <v>5</v>
      </c>
      <c r="D13" s="2543">
        <v>4</v>
      </c>
      <c r="E13" s="2544">
        <v>1</v>
      </c>
      <c r="F13" s="2545">
        <v>5</v>
      </c>
      <c r="G13" s="2543">
        <v>5</v>
      </c>
      <c r="H13" s="2546">
        <v>0</v>
      </c>
      <c r="I13" s="2547">
        <v>5</v>
      </c>
      <c r="J13" s="2548">
        <v>5</v>
      </c>
      <c r="K13" s="2550">
        <v>0</v>
      </c>
      <c r="L13" s="370"/>
    </row>
    <row r="14" spans="1:12" ht="11.25" customHeight="1">
      <c r="A14" s="1472" t="s">
        <v>736</v>
      </c>
      <c r="B14" s="182"/>
      <c r="C14" s="2542">
        <v>123</v>
      </c>
      <c r="D14" s="2543">
        <v>123</v>
      </c>
      <c r="E14" s="2544">
        <v>0</v>
      </c>
      <c r="F14" s="2545">
        <v>123</v>
      </c>
      <c r="G14" s="2543">
        <v>145</v>
      </c>
      <c r="H14" s="2546">
        <v>0</v>
      </c>
      <c r="I14" s="2547">
        <v>136</v>
      </c>
      <c r="J14" s="2548">
        <v>136</v>
      </c>
      <c r="K14" s="2550">
        <v>0</v>
      </c>
      <c r="L14" s="370"/>
    </row>
    <row r="15" spans="1:12" ht="11.25" customHeight="1">
      <c r="A15" s="1472" t="s">
        <v>654</v>
      </c>
      <c r="B15" s="182"/>
      <c r="C15" s="2542">
        <v>119</v>
      </c>
      <c r="D15" s="2543">
        <v>119</v>
      </c>
      <c r="E15" s="2544">
        <v>0</v>
      </c>
      <c r="F15" s="2545">
        <v>119</v>
      </c>
      <c r="G15" s="2543">
        <v>130</v>
      </c>
      <c r="H15" s="2546">
        <v>0</v>
      </c>
      <c r="I15" s="2547">
        <v>119</v>
      </c>
      <c r="J15" s="2548">
        <v>119</v>
      </c>
      <c r="K15" s="2550">
        <v>0</v>
      </c>
      <c r="L15" s="370"/>
    </row>
    <row r="16" spans="1:12" ht="11.25" customHeight="1">
      <c r="A16" s="1472" t="s">
        <v>956</v>
      </c>
      <c r="B16" s="182"/>
      <c r="C16" s="2542">
        <v>121</v>
      </c>
      <c r="D16" s="2543">
        <v>121</v>
      </c>
      <c r="E16" s="2544">
        <v>0</v>
      </c>
      <c r="F16" s="2545">
        <v>121</v>
      </c>
      <c r="G16" s="2543">
        <v>151</v>
      </c>
      <c r="H16" s="2546">
        <v>0</v>
      </c>
      <c r="I16" s="2549">
        <v>125</v>
      </c>
      <c r="J16" s="2548">
        <v>125</v>
      </c>
      <c r="K16" s="2550">
        <v>0</v>
      </c>
      <c r="L16" s="370"/>
    </row>
    <row r="17" spans="1:12" ht="11.25" customHeight="1">
      <c r="A17" s="1472" t="s">
        <v>957</v>
      </c>
      <c r="B17" s="182"/>
      <c r="C17" s="2542">
        <v>0</v>
      </c>
      <c r="D17" s="2543">
        <v>0</v>
      </c>
      <c r="E17" s="2544">
        <v>0</v>
      </c>
      <c r="F17" s="2545">
        <v>0</v>
      </c>
      <c r="G17" s="2543">
        <v>0</v>
      </c>
      <c r="H17" s="2546">
        <v>0</v>
      </c>
      <c r="I17" s="2549">
        <v>0</v>
      </c>
      <c r="J17" s="2548">
        <v>0</v>
      </c>
      <c r="K17" s="2550">
        <v>0</v>
      </c>
      <c r="L17" s="370"/>
    </row>
    <row r="18" spans="1:12" ht="11.25" customHeight="1">
      <c r="A18" s="1472" t="s">
        <v>1291</v>
      </c>
      <c r="B18" s="182"/>
      <c r="C18" s="2542">
        <v>149</v>
      </c>
      <c r="D18" s="2543">
        <v>149</v>
      </c>
      <c r="E18" s="2544">
        <v>0</v>
      </c>
      <c r="F18" s="2545">
        <v>149</v>
      </c>
      <c r="G18" s="2543">
        <v>160</v>
      </c>
      <c r="H18" s="2546">
        <v>0</v>
      </c>
      <c r="I18" s="2547">
        <v>160</v>
      </c>
      <c r="J18" s="2548">
        <v>160</v>
      </c>
      <c r="K18" s="2550">
        <v>0</v>
      </c>
      <c r="L18" s="370"/>
    </row>
    <row r="19" spans="1:12" ht="11.25" customHeight="1">
      <c r="A19" s="1472" t="s">
        <v>293</v>
      </c>
      <c r="B19" s="182"/>
      <c r="C19" s="2542">
        <v>745</v>
      </c>
      <c r="D19" s="2543">
        <v>745</v>
      </c>
      <c r="E19" s="2544">
        <v>0</v>
      </c>
      <c r="F19" s="2545">
        <v>745</v>
      </c>
      <c r="G19" s="2543">
        <v>909</v>
      </c>
      <c r="H19" s="2546">
        <v>0</v>
      </c>
      <c r="I19" s="2547">
        <v>785</v>
      </c>
      <c r="J19" s="2548">
        <v>785</v>
      </c>
      <c r="K19" s="2550">
        <v>0</v>
      </c>
      <c r="L19" s="370"/>
    </row>
    <row r="20" spans="1:12" ht="11.25" customHeight="1">
      <c r="A20" s="254" t="s">
        <v>1420</v>
      </c>
      <c r="B20" s="182"/>
      <c r="C20" s="1175">
        <f>SUM(C21:C29)</f>
        <v>0</v>
      </c>
      <c r="D20" s="1175">
        <f t="shared" ref="D20:K20" si="1">SUM(D21:D29)</f>
        <v>0</v>
      </c>
      <c r="E20" s="1176">
        <f t="shared" si="1"/>
        <v>0</v>
      </c>
      <c r="F20" s="1177">
        <f t="shared" si="1"/>
        <v>0</v>
      </c>
      <c r="G20" s="1175">
        <f t="shared" si="1"/>
        <v>0</v>
      </c>
      <c r="H20" s="1178">
        <f t="shared" si="1"/>
        <v>0</v>
      </c>
      <c r="I20" s="1179">
        <f t="shared" si="1"/>
        <v>0</v>
      </c>
      <c r="J20" s="1175">
        <f t="shared" si="1"/>
        <v>0</v>
      </c>
      <c r="K20" s="1176">
        <f t="shared" si="1"/>
        <v>0</v>
      </c>
      <c r="L20" s="370"/>
    </row>
    <row r="21" spans="1:12" ht="11.25" customHeight="1">
      <c r="A21" s="1472" t="s">
        <v>1828</v>
      </c>
      <c r="B21" s="182"/>
      <c r="C21" s="1666"/>
      <c r="D21" s="1666"/>
      <c r="E21" s="1667"/>
      <c r="F21" s="1663"/>
      <c r="G21" s="1666"/>
      <c r="H21" s="1888"/>
      <c r="I21" s="1668"/>
      <c r="J21" s="1666"/>
      <c r="K21" s="1667"/>
      <c r="L21" s="370"/>
    </row>
    <row r="22" spans="1:12" ht="11.25" customHeight="1">
      <c r="A22" s="1472" t="s">
        <v>1419</v>
      </c>
      <c r="B22" s="182"/>
      <c r="C22" s="1666"/>
      <c r="D22" s="1666"/>
      <c r="E22" s="1667"/>
      <c r="F22" s="1663"/>
      <c r="G22" s="1666"/>
      <c r="H22" s="1888"/>
      <c r="I22" s="1668"/>
      <c r="J22" s="1666"/>
      <c r="K22" s="1667"/>
      <c r="L22" s="370"/>
    </row>
    <row r="23" spans="1:12" ht="11.25" customHeight="1">
      <c r="A23" s="1472" t="s">
        <v>337</v>
      </c>
      <c r="B23" s="182"/>
      <c r="C23" s="1666"/>
      <c r="D23" s="1666"/>
      <c r="E23" s="1667"/>
      <c r="F23" s="1663"/>
      <c r="G23" s="1666"/>
      <c r="H23" s="1888"/>
      <c r="I23" s="1668"/>
      <c r="J23" s="1666"/>
      <c r="K23" s="1667"/>
      <c r="L23" s="370"/>
    </row>
    <row r="24" spans="1:12" ht="11.25" customHeight="1">
      <c r="A24" s="1472" t="s">
        <v>736</v>
      </c>
      <c r="B24" s="182"/>
      <c r="C24" s="1666"/>
      <c r="D24" s="1666"/>
      <c r="E24" s="1667"/>
      <c r="F24" s="1663"/>
      <c r="G24" s="1666"/>
      <c r="H24" s="1888"/>
      <c r="I24" s="1668"/>
      <c r="J24" s="1666"/>
      <c r="K24" s="1667"/>
      <c r="L24" s="370"/>
    </row>
    <row r="25" spans="1:12" ht="11.25" customHeight="1">
      <c r="A25" s="1472" t="s">
        <v>654</v>
      </c>
      <c r="B25" s="182"/>
      <c r="C25" s="1666"/>
      <c r="D25" s="1666"/>
      <c r="E25" s="1667"/>
      <c r="F25" s="1663"/>
      <c r="G25" s="1666"/>
      <c r="H25" s="1888"/>
      <c r="I25" s="1668"/>
      <c r="J25" s="1666"/>
      <c r="K25" s="1667"/>
      <c r="L25" s="370"/>
    </row>
    <row r="26" spans="1:12" ht="11.25" customHeight="1">
      <c r="A26" s="1472" t="s">
        <v>956</v>
      </c>
      <c r="B26" s="182"/>
      <c r="C26" s="1666"/>
      <c r="D26" s="1666"/>
      <c r="E26" s="1667"/>
      <c r="F26" s="1663"/>
      <c r="G26" s="1666"/>
      <c r="H26" s="1888"/>
      <c r="I26" s="1668"/>
      <c r="J26" s="1666"/>
      <c r="K26" s="1667"/>
      <c r="L26" s="370"/>
    </row>
    <row r="27" spans="1:12" ht="11.25" customHeight="1">
      <c r="A27" s="1472" t="s">
        <v>957</v>
      </c>
      <c r="B27" s="182"/>
      <c r="C27" s="1666"/>
      <c r="D27" s="1666"/>
      <c r="E27" s="1667"/>
      <c r="F27" s="1663"/>
      <c r="G27" s="1666"/>
      <c r="H27" s="1888"/>
      <c r="I27" s="1668"/>
      <c r="J27" s="1666"/>
      <c r="K27" s="1667"/>
      <c r="L27" s="370"/>
    </row>
    <row r="28" spans="1:12" ht="11.25" customHeight="1">
      <c r="A28" s="1472" t="s">
        <v>1291</v>
      </c>
      <c r="B28" s="182"/>
      <c r="C28" s="1666"/>
      <c r="D28" s="1666"/>
      <c r="E28" s="1667"/>
      <c r="F28" s="1663"/>
      <c r="G28" s="1666"/>
      <c r="H28" s="1888"/>
      <c r="I28" s="1668"/>
      <c r="J28" s="1666"/>
      <c r="K28" s="1667"/>
      <c r="L28" s="370"/>
    </row>
    <row r="29" spans="1:12" ht="11.25" customHeight="1">
      <c r="A29" s="1472" t="s">
        <v>293</v>
      </c>
      <c r="B29" s="182"/>
      <c r="C29" s="1666"/>
      <c r="D29" s="1666"/>
      <c r="E29" s="1667"/>
      <c r="F29" s="1663"/>
      <c r="G29" s="1666"/>
      <c r="H29" s="1888"/>
      <c r="I29" s="1668"/>
      <c r="J29" s="1666"/>
      <c r="K29" s="1667"/>
      <c r="L29" s="370"/>
    </row>
    <row r="30" spans="1:12" ht="11.25" customHeight="1">
      <c r="A30" s="254" t="s">
        <v>1421</v>
      </c>
      <c r="B30" s="182"/>
      <c r="C30" s="1666"/>
      <c r="D30" s="1666"/>
      <c r="E30" s="1667"/>
      <c r="F30" s="1663"/>
      <c r="G30" s="1666"/>
      <c r="H30" s="1888"/>
      <c r="I30" s="1668"/>
      <c r="J30" s="1666"/>
      <c r="K30" s="1667"/>
      <c r="L30" s="370"/>
    </row>
    <row r="31" spans="1:12" ht="11.25" customHeight="1">
      <c r="A31" s="254" t="s">
        <v>1422</v>
      </c>
      <c r="B31" s="182"/>
      <c r="C31" s="1666"/>
      <c r="D31" s="1666"/>
      <c r="E31" s="1667"/>
      <c r="F31" s="1663"/>
      <c r="G31" s="1666"/>
      <c r="H31" s="1888"/>
      <c r="I31" s="1668"/>
      <c r="J31" s="1666"/>
      <c r="K31" s="1667"/>
      <c r="L31" s="370"/>
    </row>
    <row r="32" spans="1:12" ht="11.25" customHeight="1">
      <c r="A32" s="254" t="s">
        <v>814</v>
      </c>
      <c r="B32" s="182"/>
      <c r="C32" s="1666"/>
      <c r="D32" s="1666"/>
      <c r="E32" s="1667"/>
      <c r="F32" s="1663"/>
      <c r="G32" s="1666"/>
      <c r="H32" s="1888"/>
      <c r="I32" s="1668"/>
      <c r="J32" s="1666"/>
      <c r="K32" s="1667"/>
      <c r="L32" s="370"/>
    </row>
    <row r="33" spans="1:15" ht="11.25" customHeight="1">
      <c r="A33" s="254" t="s">
        <v>1423</v>
      </c>
      <c r="B33" s="182"/>
      <c r="C33" s="1666"/>
      <c r="D33" s="1666"/>
      <c r="E33" s="1667"/>
      <c r="F33" s="1663"/>
      <c r="G33" s="1666"/>
      <c r="H33" s="1888"/>
      <c r="I33" s="1668"/>
      <c r="J33" s="1666"/>
      <c r="K33" s="1667"/>
      <c r="L33" s="370"/>
    </row>
    <row r="34" spans="1:15" ht="11.25" customHeight="1">
      <c r="A34" s="254" t="s">
        <v>1424</v>
      </c>
      <c r="B34" s="182"/>
      <c r="C34" s="1666"/>
      <c r="D34" s="1666"/>
      <c r="E34" s="1667"/>
      <c r="F34" s="1663"/>
      <c r="G34" s="1666"/>
      <c r="H34" s="1888"/>
      <c r="I34" s="1668"/>
      <c r="J34" s="1666"/>
      <c r="K34" s="1667"/>
      <c r="L34" s="370"/>
    </row>
    <row r="35" spans="1:15" ht="11.25" customHeight="1">
      <c r="A35" s="254" t="s">
        <v>1425</v>
      </c>
      <c r="B35" s="182"/>
      <c r="C35" s="1666"/>
      <c r="D35" s="1666"/>
      <c r="E35" s="1667"/>
      <c r="F35" s="1663"/>
      <c r="G35" s="1666"/>
      <c r="H35" s="1888"/>
      <c r="I35" s="1668"/>
      <c r="J35" s="1666"/>
      <c r="K35" s="1667"/>
      <c r="L35" s="370"/>
    </row>
    <row r="36" spans="1:15" ht="11.25" customHeight="1">
      <c r="A36" s="818" t="s">
        <v>681</v>
      </c>
      <c r="B36" s="182"/>
      <c r="C36" s="859">
        <f>SUM(C5:C9)+SUM(C11:C19)+SUM(C21:C35)</f>
        <v>1501</v>
      </c>
      <c r="D36" s="859">
        <f t="shared" ref="D36:K36" si="2">SUM(D5:D9)+SUM(D11:D19)+SUM(D21:D35)</f>
        <v>1411</v>
      </c>
      <c r="E36" s="1304">
        <f t="shared" si="2"/>
        <v>20</v>
      </c>
      <c r="F36" s="1305">
        <f t="shared" si="2"/>
        <v>1502</v>
      </c>
      <c r="G36" s="859">
        <f t="shared" si="2"/>
        <v>1720</v>
      </c>
      <c r="H36" s="860">
        <f>SUM(H5:H9)+SUM(H11:H19)+SUM(H21:H35)</f>
        <v>10</v>
      </c>
      <c r="I36" s="1306">
        <f t="shared" si="2"/>
        <v>1611</v>
      </c>
      <c r="J36" s="859">
        <f t="shared" si="2"/>
        <v>1526</v>
      </c>
      <c r="K36" s="860">
        <f t="shared" si="2"/>
        <v>13</v>
      </c>
      <c r="L36" s="370"/>
    </row>
    <row r="37" spans="1:15" ht="11.25" customHeight="1">
      <c r="A37" s="971" t="s">
        <v>929</v>
      </c>
      <c r="B37" s="182"/>
      <c r="C37" s="857"/>
      <c r="D37" s="1307"/>
      <c r="E37" s="1308"/>
      <c r="F37" s="1309">
        <f t="shared" ref="F37:K37" si="3">IF(ISERROR((F36/C36)-1),0,((F36/C36)-1))</f>
        <v>6.6622251832115786E-4</v>
      </c>
      <c r="G37" s="1310">
        <f t="shared" si="3"/>
        <v>0.21899362154500346</v>
      </c>
      <c r="H37" s="1311">
        <f t="shared" si="3"/>
        <v>-0.5</v>
      </c>
      <c r="I37" s="1312">
        <f t="shared" si="3"/>
        <v>7.2569906790945327E-2</v>
      </c>
      <c r="J37" s="1310">
        <f t="shared" si="3"/>
        <v>-0.11279069767441863</v>
      </c>
      <c r="K37" s="1313">
        <f t="shared" si="3"/>
        <v>0.30000000000000004</v>
      </c>
      <c r="L37" s="370"/>
      <c r="O37" s="370"/>
    </row>
    <row r="38" spans="1:15" ht="3.75" customHeight="1">
      <c r="A38" s="971"/>
      <c r="B38" s="182"/>
      <c r="C38" s="857"/>
      <c r="D38" s="1310"/>
      <c r="E38" s="1313"/>
      <c r="F38" s="1309"/>
      <c r="G38" s="1310"/>
      <c r="H38" s="1311"/>
      <c r="I38" s="1312"/>
      <c r="J38" s="1310"/>
      <c r="K38" s="1313"/>
      <c r="L38" s="370"/>
    </row>
    <row r="39" spans="1:15" ht="11.25" customHeight="1">
      <c r="A39" s="650" t="s">
        <v>1426</v>
      </c>
      <c r="B39" s="182">
        <v>6</v>
      </c>
      <c r="C39" s="2551">
        <v>1425</v>
      </c>
      <c r="D39" s="2551">
        <v>1411</v>
      </c>
      <c r="E39" s="2552">
        <v>14</v>
      </c>
      <c r="F39" s="2553">
        <v>1428</v>
      </c>
      <c r="G39" s="2554">
        <v>1415</v>
      </c>
      <c r="H39" s="2555">
        <v>13</v>
      </c>
      <c r="I39" s="2553">
        <v>1539</v>
      </c>
      <c r="J39" s="2554">
        <v>1526</v>
      </c>
      <c r="K39" s="2555">
        <v>13</v>
      </c>
      <c r="L39" s="370"/>
    </row>
    <row r="40" spans="1:15" ht="11.25" customHeight="1">
      <c r="A40" s="250" t="s">
        <v>1427</v>
      </c>
      <c r="B40" s="182">
        <v>8</v>
      </c>
      <c r="C40" s="2551">
        <v>103</v>
      </c>
      <c r="D40" s="2551">
        <v>103</v>
      </c>
      <c r="E40" s="2552">
        <v>6</v>
      </c>
      <c r="F40" s="2553">
        <v>103</v>
      </c>
      <c r="G40" s="2554">
        <v>103</v>
      </c>
      <c r="H40" s="2555">
        <v>6</v>
      </c>
      <c r="I40" s="2553">
        <v>103</v>
      </c>
      <c r="J40" s="2554">
        <v>103</v>
      </c>
      <c r="K40" s="2555">
        <v>6</v>
      </c>
      <c r="L40" s="370"/>
    </row>
    <row r="41" spans="1:15" ht="11.25" customHeight="1">
      <c r="A41" s="1314" t="s">
        <v>1428</v>
      </c>
      <c r="B41" s="382">
        <v>8</v>
      </c>
      <c r="C41" s="2556">
        <v>50</v>
      </c>
      <c r="D41" s="2556">
        <v>50</v>
      </c>
      <c r="E41" s="2557">
        <v>1</v>
      </c>
      <c r="F41" s="2558">
        <v>50</v>
      </c>
      <c r="G41" s="2559">
        <v>50</v>
      </c>
      <c r="H41" s="2560">
        <v>1</v>
      </c>
      <c r="I41" s="2558">
        <v>50</v>
      </c>
      <c r="J41" s="2559">
        <v>50</v>
      </c>
      <c r="K41" s="2560">
        <v>1</v>
      </c>
      <c r="L41" s="370"/>
    </row>
    <row r="42" spans="1:15" ht="11.25" customHeight="1">
      <c r="A42" s="653"/>
      <c r="B42" s="236"/>
      <c r="C42" s="309"/>
      <c r="D42" s="309"/>
      <c r="E42" s="309"/>
      <c r="F42" s="309"/>
      <c r="G42" s="309"/>
      <c r="H42" s="309"/>
      <c r="I42" s="309"/>
      <c r="J42" s="309"/>
      <c r="K42" s="309"/>
      <c r="L42" s="370"/>
    </row>
    <row r="43" spans="1:15" ht="11.25" customHeight="1">
      <c r="A43" s="1262" t="str">
        <f>head27a</f>
        <v>References</v>
      </c>
      <c r="B43" s="1038"/>
      <c r="C43" s="1080"/>
      <c r="D43" s="1080"/>
      <c r="E43" s="1080"/>
      <c r="F43" s="1080"/>
      <c r="G43" s="1080"/>
      <c r="H43" s="1080"/>
      <c r="I43" s="1080"/>
      <c r="J43" s="1080"/>
      <c r="K43" s="1080"/>
      <c r="L43" s="370"/>
    </row>
    <row r="44" spans="1:15" ht="11.25" customHeight="1">
      <c r="A44" s="2079" t="s">
        <v>1956</v>
      </c>
      <c r="B44" s="1038"/>
      <c r="C44" s="1080"/>
      <c r="D44" s="1080"/>
      <c r="E44" s="1080"/>
      <c r="F44" s="1080"/>
      <c r="G44" s="1080"/>
      <c r="H44" s="1080"/>
      <c r="I44" s="1080"/>
      <c r="J44" s="1080"/>
      <c r="K44" s="1080"/>
      <c r="L44" s="370"/>
    </row>
    <row r="45" spans="1:15" ht="11.25" customHeight="1">
      <c r="A45" s="1419" t="s">
        <v>1957</v>
      </c>
      <c r="B45" s="1048"/>
      <c r="C45" s="709"/>
      <c r="D45" s="709"/>
      <c r="E45" s="709"/>
      <c r="F45" s="709"/>
      <c r="G45" s="709"/>
      <c r="H45" s="709"/>
      <c r="I45" s="709"/>
      <c r="J45" s="709"/>
      <c r="K45" s="709"/>
    </row>
    <row r="46" spans="1:15" ht="11.25" customHeight="1">
      <c r="A46" s="1419" t="s">
        <v>1958</v>
      </c>
      <c r="B46" s="1048"/>
      <c r="C46" s="709"/>
      <c r="D46" s="709"/>
      <c r="E46" s="709"/>
      <c r="F46" s="709"/>
      <c r="G46" s="709"/>
      <c r="H46" s="709"/>
      <c r="I46" s="709"/>
      <c r="J46" s="709"/>
      <c r="K46" s="709"/>
    </row>
    <row r="47" spans="1:15" ht="11.25" customHeight="1">
      <c r="A47" s="1419" t="s">
        <v>1959</v>
      </c>
      <c r="B47" s="1048"/>
      <c r="C47" s="709"/>
      <c r="D47" s="709"/>
      <c r="E47" s="709"/>
      <c r="F47" s="709"/>
      <c r="G47" s="709"/>
      <c r="H47" s="709"/>
      <c r="I47" s="709"/>
      <c r="J47" s="709"/>
      <c r="K47" s="709"/>
    </row>
    <row r="48" spans="1:15" ht="11.25" customHeight="1">
      <c r="A48" s="1419" t="s">
        <v>1960</v>
      </c>
      <c r="B48" s="1048"/>
      <c r="C48" s="709"/>
      <c r="D48" s="709"/>
      <c r="E48" s="709"/>
      <c r="F48" s="709"/>
      <c r="G48" s="709"/>
      <c r="H48" s="709"/>
      <c r="I48" s="709"/>
      <c r="J48" s="709"/>
      <c r="K48" s="709"/>
    </row>
    <row r="49" spans="1:11" ht="11.25" customHeight="1">
      <c r="A49" s="1419" t="s">
        <v>1961</v>
      </c>
      <c r="B49" s="1048"/>
      <c r="C49" s="709"/>
      <c r="D49" s="709"/>
      <c r="E49" s="709"/>
      <c r="F49" s="709"/>
      <c r="G49" s="709"/>
      <c r="H49" s="709"/>
      <c r="I49" s="709"/>
      <c r="J49" s="709"/>
      <c r="K49" s="709"/>
    </row>
    <row r="50" spans="1:11" ht="11.25" customHeight="1">
      <c r="A50" s="1419" t="s">
        <v>1962</v>
      </c>
      <c r="B50" s="1048"/>
      <c r="C50" s="709"/>
      <c r="D50" s="709"/>
      <c r="E50" s="709"/>
      <c r="F50" s="709"/>
      <c r="G50" s="709"/>
      <c r="H50" s="709"/>
      <c r="I50" s="709"/>
      <c r="J50" s="709"/>
      <c r="K50" s="709"/>
    </row>
    <row r="51" spans="1:11" ht="11.25" customHeight="1">
      <c r="A51" s="1419" t="s">
        <v>1963</v>
      </c>
      <c r="B51" s="1048"/>
      <c r="C51" s="709"/>
      <c r="D51" s="709"/>
      <c r="E51" s="709"/>
      <c r="F51" s="709"/>
      <c r="G51" s="709"/>
      <c r="H51" s="709"/>
      <c r="I51" s="709"/>
      <c r="J51" s="709"/>
      <c r="K51" s="709"/>
    </row>
  </sheetData>
  <sheetProtection password="C646" sheet="1" objects="1" scenarios="1"/>
  <mergeCells count="3">
    <mergeCell ref="F2:H2"/>
    <mergeCell ref="I2:K2"/>
    <mergeCell ref="C2:E2"/>
  </mergeCells>
  <phoneticPr fontId="5"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98" bottom="0.59055118110236204" header="0.511811023622047" footer="0.39"/>
  <headerFooter alignWithMargins="0"/>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enableFormatConditionsCalculation="0">
    <tabColor indexed="42"/>
  </sheetPr>
  <dimension ref="A1:Q49"/>
  <sheetViews>
    <sheetView showGridLines="0" workbookViewId="0">
      <pane xSplit="2" ySplit="3" topLeftCell="C19" activePane="bottomRight" state="frozen"/>
      <selection pane="topRight"/>
      <selection pane="bottomLeft"/>
      <selection pane="bottomRight" activeCell="C5" sqref="C5"/>
    </sheetView>
  </sheetViews>
  <sheetFormatPr baseColWidth="10" defaultColWidth="8.83203125" defaultRowHeight="10" x14ac:dyDescent="0"/>
  <cols>
    <col min="1" max="1" width="30.6640625" style="149" customWidth="1"/>
    <col min="2" max="2" width="3" style="149" customWidth="1"/>
    <col min="3" max="14" width="8.33203125" style="149" customWidth="1"/>
    <col min="15" max="17" width="9.33203125" style="149" customWidth="1"/>
    <col min="18" max="16384" width="8.83203125" style="149"/>
  </cols>
  <sheetData>
    <row r="1" spans="1:17" ht="13.5" customHeight="1">
      <c r="A1" s="147" t="str">
        <f>muni&amp;" - "&amp; TableA25</f>
        <v>NW373 Rustenburg - Supporting Table SA25 Consolidated budgeted monthly revenue and expenditure</v>
      </c>
      <c r="B1" s="147"/>
      <c r="C1" s="147"/>
      <c r="D1" s="147"/>
      <c r="E1" s="147"/>
      <c r="F1" s="147"/>
      <c r="G1" s="147"/>
      <c r="H1" s="147"/>
      <c r="I1" s="147"/>
      <c r="J1" s="147"/>
      <c r="K1" s="147"/>
      <c r="L1" s="147"/>
      <c r="M1" s="147"/>
      <c r="N1" s="147"/>
      <c r="O1" s="147"/>
      <c r="P1" s="147"/>
      <c r="Q1" s="147"/>
    </row>
    <row r="2" spans="1:17" ht="28.5" customHeight="1">
      <c r="A2" s="985" t="str">
        <f>desc</f>
        <v>Description</v>
      </c>
      <c r="B2" s="997" t="str">
        <f>head27</f>
        <v>Ref</v>
      </c>
      <c r="C2" s="2765" t="str">
        <f>Head9</f>
        <v>Budget Year 2013/14</v>
      </c>
      <c r="D2" s="2766"/>
      <c r="E2" s="2766"/>
      <c r="F2" s="2766"/>
      <c r="G2" s="2766"/>
      <c r="H2" s="2766"/>
      <c r="I2" s="2766"/>
      <c r="J2" s="2766"/>
      <c r="K2" s="2766"/>
      <c r="L2" s="2766"/>
      <c r="M2" s="2766"/>
      <c r="N2" s="2766"/>
      <c r="O2" s="2762" t="s">
        <v>1802</v>
      </c>
      <c r="P2" s="2763"/>
      <c r="Q2" s="2764"/>
    </row>
    <row r="3" spans="1:17" ht="20">
      <c r="A3" s="992" t="s">
        <v>667</v>
      </c>
      <c r="B3" s="998"/>
      <c r="C3" s="299" t="s">
        <v>725</v>
      </c>
      <c r="D3" s="928" t="s">
        <v>1412</v>
      </c>
      <c r="E3" s="928" t="s">
        <v>1413</v>
      </c>
      <c r="F3" s="928" t="s">
        <v>1414</v>
      </c>
      <c r="G3" s="928" t="s">
        <v>706</v>
      </c>
      <c r="H3" s="928" t="s">
        <v>707</v>
      </c>
      <c r="I3" s="928" t="s">
        <v>708</v>
      </c>
      <c r="J3" s="928" t="s">
        <v>709</v>
      </c>
      <c r="K3" s="928" t="s">
        <v>710</v>
      </c>
      <c r="L3" s="928" t="s">
        <v>711</v>
      </c>
      <c r="M3" s="928" t="s">
        <v>712</v>
      </c>
      <c r="N3" s="391" t="s">
        <v>713</v>
      </c>
      <c r="O3" s="299" t="str">
        <f>Head9</f>
        <v>Budget Year 2013/14</v>
      </c>
      <c r="P3" s="390" t="str">
        <f>Head10</f>
        <v>Budget Year +1 2014/15</v>
      </c>
      <c r="Q3" s="391" t="str">
        <f>Head11</f>
        <v>Budget Year +2 2015/16</v>
      </c>
    </row>
    <row r="4" spans="1:17">
      <c r="A4" s="861" t="str">
        <f>'A4-FinPerf RE'!A4</f>
        <v>Revenue By Source</v>
      </c>
      <c r="B4" s="862"/>
      <c r="C4" s="313"/>
      <c r="D4" s="311"/>
      <c r="E4" s="311"/>
      <c r="F4" s="311"/>
      <c r="G4" s="311"/>
      <c r="H4" s="311"/>
      <c r="I4" s="311"/>
      <c r="J4" s="311"/>
      <c r="K4" s="311"/>
      <c r="L4" s="311"/>
      <c r="M4" s="311"/>
      <c r="N4" s="863"/>
      <c r="O4" s="313"/>
      <c r="P4" s="311"/>
      <c r="Q4" s="314"/>
    </row>
    <row r="5" spans="1:17" ht="11.25" customHeight="1">
      <c r="A5" s="250" t="str">
        <f>'A4-FinPerf RE'!A5</f>
        <v>Property rates</v>
      </c>
      <c r="B5" s="864"/>
      <c r="C5" s="1636">
        <v>14258975</v>
      </c>
      <c r="D5" s="1615">
        <v>13521259</v>
      </c>
      <c r="E5" s="1615">
        <v>15202698</v>
      </c>
      <c r="F5" s="1615">
        <v>16958709</v>
      </c>
      <c r="G5" s="1615">
        <v>16600125</v>
      </c>
      <c r="H5" s="1615">
        <v>13258720</v>
      </c>
      <c r="I5" s="1615">
        <v>17562069</v>
      </c>
      <c r="J5" s="1615">
        <v>12985720</v>
      </c>
      <c r="K5" s="1615">
        <v>11324010</v>
      </c>
      <c r="L5" s="1615">
        <v>10256810</v>
      </c>
      <c r="M5" s="1615">
        <v>13362540</v>
      </c>
      <c r="N5" s="808">
        <f t="shared" ref="N5:N21" si="0">O5-SUM(C5:M5)</f>
        <v>20551739</v>
      </c>
      <c r="O5" s="205">
        <f>'A4-FinPerf RE'!J5</f>
        <v>175843374</v>
      </c>
      <c r="P5" s="203">
        <f>'A4-FinPerf RE'!K5</f>
        <v>184704056</v>
      </c>
      <c r="Q5" s="204">
        <f>'A4-FinPerf RE'!L5</f>
        <v>193849813</v>
      </c>
    </row>
    <row r="6" spans="1:17" ht="11.25" customHeight="1">
      <c r="A6" s="250" t="str">
        <f>'A4-FinPerf RE'!A6</f>
        <v>Property rates - penalties &amp; collection charges</v>
      </c>
      <c r="B6" s="864"/>
      <c r="C6" s="1636">
        <v>0</v>
      </c>
      <c r="D6" s="1615">
        <v>0</v>
      </c>
      <c r="E6" s="1615">
        <v>0</v>
      </c>
      <c r="F6" s="1615">
        <v>0</v>
      </c>
      <c r="G6" s="1615">
        <v>0</v>
      </c>
      <c r="H6" s="1615">
        <v>0</v>
      </c>
      <c r="I6" s="1615">
        <v>0</v>
      </c>
      <c r="J6" s="1615">
        <v>0</v>
      </c>
      <c r="K6" s="1615">
        <v>0</v>
      </c>
      <c r="L6" s="1615">
        <v>0</v>
      </c>
      <c r="M6" s="1615">
        <v>0</v>
      </c>
      <c r="N6" s="808">
        <f t="shared" si="0"/>
        <v>0</v>
      </c>
      <c r="O6" s="205">
        <f>'A4-FinPerf RE'!J6</f>
        <v>0</v>
      </c>
      <c r="P6" s="207">
        <f>'A4-FinPerf RE'!K6</f>
        <v>0</v>
      </c>
      <c r="Q6" s="264">
        <f>'A4-FinPerf RE'!L6</f>
        <v>0</v>
      </c>
    </row>
    <row r="7" spans="1:17" ht="11.25" customHeight="1">
      <c r="A7" s="250" t="str">
        <f>'A4-FinPerf RE'!A7</f>
        <v>Service charges - electricity revenue</v>
      </c>
      <c r="B7" s="864"/>
      <c r="C7" s="1636">
        <v>80857105</v>
      </c>
      <c r="D7" s="1615">
        <v>72515826</v>
      </c>
      <c r="E7" s="1615">
        <v>69265840</v>
      </c>
      <c r="F7" s="1615">
        <v>72501580</v>
      </c>
      <c r="G7" s="1615">
        <v>65250150</v>
      </c>
      <c r="H7" s="1615">
        <v>69867920</v>
      </c>
      <c r="I7" s="1615">
        <v>88865520</v>
      </c>
      <c r="J7" s="1615">
        <v>95262000</v>
      </c>
      <c r="K7" s="1615">
        <v>102105410</v>
      </c>
      <c r="L7" s="1615">
        <v>152652458</v>
      </c>
      <c r="M7" s="1615">
        <v>175422002</v>
      </c>
      <c r="N7" s="808">
        <f t="shared" si="0"/>
        <v>152258435</v>
      </c>
      <c r="O7" s="205">
        <f>'A4-FinPerf RE'!J7</f>
        <v>1196824246</v>
      </c>
      <c r="P7" s="207">
        <f>'A4-FinPerf RE'!K7</f>
        <v>1292410186</v>
      </c>
      <c r="Q7" s="264">
        <f>'A4-FinPerf RE'!L7</f>
        <v>1414222476</v>
      </c>
    </row>
    <row r="8" spans="1:17" ht="11.25" customHeight="1">
      <c r="A8" s="250" t="str">
        <f>'A4-FinPerf RE'!A8</f>
        <v>Service charges - water revenue</v>
      </c>
      <c r="B8" s="864"/>
      <c r="C8" s="1636">
        <v>25102158</v>
      </c>
      <c r="D8" s="1615">
        <v>20785420</v>
      </c>
      <c r="E8" s="1615">
        <v>22857200</v>
      </c>
      <c r="F8" s="1615">
        <v>25589521</v>
      </c>
      <c r="G8" s="1615">
        <v>32125980</v>
      </c>
      <c r="H8" s="1615">
        <v>37620125</v>
      </c>
      <c r="I8" s="1615">
        <v>30012598</v>
      </c>
      <c r="J8" s="1615">
        <v>28875201</v>
      </c>
      <c r="K8" s="1615">
        <v>29868720</v>
      </c>
      <c r="L8" s="1615">
        <v>23590214</v>
      </c>
      <c r="M8" s="1615">
        <v>26857542</v>
      </c>
      <c r="N8" s="808">
        <f t="shared" si="0"/>
        <v>36447452</v>
      </c>
      <c r="O8" s="205">
        <f>'A4-FinPerf RE'!J8</f>
        <v>339732131</v>
      </c>
      <c r="P8" s="207">
        <f>'A4-FinPerf RE'!K8</f>
        <v>357143872</v>
      </c>
      <c r="Q8" s="264">
        <f>'A4-FinPerf RE'!L8</f>
        <v>395167527</v>
      </c>
    </row>
    <row r="9" spans="1:17" ht="11.25" customHeight="1">
      <c r="A9" s="250" t="str">
        <f>'A4-FinPerf RE'!A9</f>
        <v>Service charges - sanitation revenue</v>
      </c>
      <c r="B9" s="864"/>
      <c r="C9" s="1636">
        <v>5021587</v>
      </c>
      <c r="D9" s="1615">
        <v>5562104</v>
      </c>
      <c r="E9" s="1615">
        <v>4958720</v>
      </c>
      <c r="F9" s="1615">
        <v>5012450</v>
      </c>
      <c r="G9" s="1615">
        <v>4802158</v>
      </c>
      <c r="H9" s="1615">
        <v>5658987</v>
      </c>
      <c r="I9" s="1615">
        <v>5232500</v>
      </c>
      <c r="J9" s="1615">
        <v>4985720</v>
      </c>
      <c r="K9" s="1615">
        <v>5012498</v>
      </c>
      <c r="L9" s="1615">
        <v>6325015</v>
      </c>
      <c r="M9" s="1615">
        <v>7695820</v>
      </c>
      <c r="N9" s="808">
        <f t="shared" si="0"/>
        <v>133957453</v>
      </c>
      <c r="O9" s="205">
        <f>'A4-FinPerf RE'!J9</f>
        <v>194225012</v>
      </c>
      <c r="P9" s="207">
        <f>'A4-FinPerf RE'!K9</f>
        <v>208835953</v>
      </c>
      <c r="Q9" s="264">
        <f>'A4-FinPerf RE'!L9</f>
        <v>257325655</v>
      </c>
    </row>
    <row r="10" spans="1:17" ht="11.25" customHeight="1">
      <c r="A10" s="250" t="str">
        <f>'A4-FinPerf RE'!A10</f>
        <v>Service charges - refuse revenue</v>
      </c>
      <c r="B10" s="864"/>
      <c r="C10" s="1636">
        <v>5692570</v>
      </c>
      <c r="D10" s="1615">
        <v>6002104</v>
      </c>
      <c r="E10" s="1615">
        <v>4985620</v>
      </c>
      <c r="F10" s="1615">
        <v>5352580</v>
      </c>
      <c r="G10" s="1615">
        <v>4625388</v>
      </c>
      <c r="H10" s="1615">
        <v>4869871</v>
      </c>
      <c r="I10" s="1615">
        <v>5524804</v>
      </c>
      <c r="J10" s="1615">
        <v>5898010</v>
      </c>
      <c r="K10" s="1615">
        <v>5968889</v>
      </c>
      <c r="L10" s="1615">
        <v>5869200</v>
      </c>
      <c r="M10" s="1615">
        <v>6958100</v>
      </c>
      <c r="N10" s="808">
        <f t="shared" si="0"/>
        <v>10196217</v>
      </c>
      <c r="O10" s="205">
        <f>'A4-FinPerf RE'!J10</f>
        <v>71943353</v>
      </c>
      <c r="P10" s="207">
        <f>'A4-FinPerf RE'!K10</f>
        <v>79587951</v>
      </c>
      <c r="Q10" s="264">
        <f>'A4-FinPerf RE'!L10</f>
        <v>88125871</v>
      </c>
    </row>
    <row r="11" spans="1:17" ht="11.25" customHeight="1">
      <c r="A11" s="250" t="str">
        <f>'A4-FinPerf RE'!A11</f>
        <v>Service charges - other</v>
      </c>
      <c r="B11" s="864"/>
      <c r="C11" s="1636">
        <v>85987</v>
      </c>
      <c r="D11" s="1615">
        <v>101254</v>
      </c>
      <c r="E11" s="1615">
        <v>113925</v>
      </c>
      <c r="F11" s="1615">
        <v>95740</v>
      </c>
      <c r="G11" s="1615">
        <v>89580</v>
      </c>
      <c r="H11" s="1615">
        <v>120598</v>
      </c>
      <c r="I11" s="1615">
        <v>99025</v>
      </c>
      <c r="J11" s="1615">
        <v>84258</v>
      </c>
      <c r="K11" s="1615">
        <v>119023</v>
      </c>
      <c r="L11" s="1615">
        <v>95240</v>
      </c>
      <c r="M11" s="1615">
        <v>87500</v>
      </c>
      <c r="N11" s="808">
        <f t="shared" si="0"/>
        <v>1279042</v>
      </c>
      <c r="O11" s="205">
        <f>'A4-FinPerf RE'!J11</f>
        <v>2371172</v>
      </c>
      <c r="P11" s="203">
        <f>'A4-FinPerf RE'!K11</f>
        <v>2496844</v>
      </c>
      <c r="Q11" s="204">
        <f>'A4-FinPerf RE'!L11</f>
        <v>2629179</v>
      </c>
    </row>
    <row r="12" spans="1:17" ht="11.25" customHeight="1">
      <c r="A12" s="250" t="str">
        <f>'A4-FinPerf RE'!A12</f>
        <v>Rental of facilities and equipment</v>
      </c>
      <c r="B12" s="864"/>
      <c r="C12" s="1636">
        <v>1200158</v>
      </c>
      <c r="D12" s="1615">
        <v>1098010</v>
      </c>
      <c r="E12" s="1615">
        <v>1325800</v>
      </c>
      <c r="F12" s="1615">
        <v>1295201</v>
      </c>
      <c r="G12" s="1615">
        <v>1330215</v>
      </c>
      <c r="H12" s="1615">
        <v>1524589</v>
      </c>
      <c r="I12" s="1615">
        <v>1352018</v>
      </c>
      <c r="J12" s="1615">
        <v>1201580</v>
      </c>
      <c r="K12" s="1615">
        <v>1104870</v>
      </c>
      <c r="L12" s="1615">
        <v>1685700</v>
      </c>
      <c r="M12" s="1615">
        <v>1025681</v>
      </c>
      <c r="N12" s="808">
        <f t="shared" si="0"/>
        <v>1216638</v>
      </c>
      <c r="O12" s="205">
        <f>'A4-FinPerf RE'!J12</f>
        <v>15360460</v>
      </c>
      <c r="P12" s="203">
        <f>'A4-FinPerf RE'!K12</f>
        <v>17272595</v>
      </c>
      <c r="Q12" s="204">
        <f>'A4-FinPerf RE'!L12</f>
        <v>18018869</v>
      </c>
    </row>
    <row r="13" spans="1:17" ht="11.25" customHeight="1">
      <c r="A13" s="250" t="str">
        <f>'A4-FinPerf RE'!A13</f>
        <v>Interest earned - external investments</v>
      </c>
      <c r="B13" s="864"/>
      <c r="C13" s="1636">
        <v>4012568</v>
      </c>
      <c r="D13" s="1636">
        <v>4582101</v>
      </c>
      <c r="E13" s="1636">
        <v>4236987</v>
      </c>
      <c r="F13" s="1636">
        <v>5026980</v>
      </c>
      <c r="G13" s="1636">
        <v>3200970</v>
      </c>
      <c r="H13" s="1636">
        <v>4730215</v>
      </c>
      <c r="I13" s="1636">
        <v>5605010</v>
      </c>
      <c r="J13" s="1636">
        <v>4902587</v>
      </c>
      <c r="K13" s="1636">
        <v>5011425</v>
      </c>
      <c r="L13" s="1636">
        <v>4520120</v>
      </c>
      <c r="M13" s="1636">
        <v>4985012</v>
      </c>
      <c r="N13" s="808">
        <f t="shared" si="0"/>
        <v>18182436</v>
      </c>
      <c r="O13" s="205">
        <f>'A4-FinPerf RE'!J13</f>
        <v>68996411</v>
      </c>
      <c r="P13" s="203">
        <f>'A4-FinPerf RE'!K13</f>
        <v>72187520</v>
      </c>
      <c r="Q13" s="204">
        <f>'A4-FinPerf RE'!L13</f>
        <v>75551937</v>
      </c>
    </row>
    <row r="14" spans="1:17" ht="11.25" customHeight="1">
      <c r="A14" s="250" t="str">
        <f>'A4-FinPerf RE'!A14</f>
        <v>Interest earned - outstanding debtors</v>
      </c>
      <c r="B14" s="864"/>
      <c r="C14" s="1636">
        <v>8952524</v>
      </c>
      <c r="D14" s="1615">
        <v>8802158</v>
      </c>
      <c r="E14" s="1615">
        <v>9201259</v>
      </c>
      <c r="F14" s="1615">
        <v>8700125</v>
      </c>
      <c r="G14" s="1615">
        <v>8526597</v>
      </c>
      <c r="H14" s="1615">
        <v>9023587</v>
      </c>
      <c r="I14" s="1615">
        <v>9201258</v>
      </c>
      <c r="J14" s="1615">
        <v>8902158</v>
      </c>
      <c r="K14" s="1615">
        <v>8722658</v>
      </c>
      <c r="L14" s="1615">
        <v>9012548</v>
      </c>
      <c r="M14" s="1615">
        <v>9210258</v>
      </c>
      <c r="N14" s="808">
        <f t="shared" si="0"/>
        <v>41835326</v>
      </c>
      <c r="O14" s="205">
        <f>'A4-FinPerf RE'!J14</f>
        <v>140090456</v>
      </c>
      <c r="P14" s="203">
        <f>'A4-FinPerf RE'!K14</f>
        <v>116373563</v>
      </c>
      <c r="Q14" s="204">
        <f>'A4-FinPerf RE'!L14</f>
        <v>101314730</v>
      </c>
    </row>
    <row r="15" spans="1:17" ht="11.25" customHeight="1">
      <c r="A15" s="250" t="str">
        <f>'A4-FinPerf RE'!A15</f>
        <v>Dividends received</v>
      </c>
      <c r="B15" s="864"/>
      <c r="C15" s="1636">
        <v>0</v>
      </c>
      <c r="D15" s="1615">
        <v>0</v>
      </c>
      <c r="E15" s="1615">
        <v>0</v>
      </c>
      <c r="F15" s="1615">
        <v>0</v>
      </c>
      <c r="G15" s="1615">
        <v>0</v>
      </c>
      <c r="H15" s="1615">
        <v>0</v>
      </c>
      <c r="I15" s="1615">
        <v>0</v>
      </c>
      <c r="J15" s="1615">
        <v>0</v>
      </c>
      <c r="K15" s="1615">
        <v>0</v>
      </c>
      <c r="L15" s="1615">
        <v>0</v>
      </c>
      <c r="M15" s="1615">
        <v>0</v>
      </c>
      <c r="N15" s="808">
        <f t="shared" si="0"/>
        <v>0</v>
      </c>
      <c r="O15" s="205">
        <f>'A4-FinPerf RE'!J15</f>
        <v>0</v>
      </c>
      <c r="P15" s="203">
        <f>'A4-FinPerf RE'!K15</f>
        <v>0</v>
      </c>
      <c r="Q15" s="204">
        <f>'A4-FinPerf RE'!L15</f>
        <v>0</v>
      </c>
    </row>
    <row r="16" spans="1:17" ht="11.25" customHeight="1">
      <c r="A16" s="250" t="str">
        <f>'A4-FinPerf RE'!A16</f>
        <v>Fines</v>
      </c>
      <c r="B16" s="864"/>
      <c r="C16" s="1636">
        <v>596850</v>
      </c>
      <c r="D16" s="1615">
        <v>602598</v>
      </c>
      <c r="E16" s="1615">
        <v>689872</v>
      </c>
      <c r="F16" s="1615">
        <v>592102</v>
      </c>
      <c r="G16" s="1615">
        <v>480155</v>
      </c>
      <c r="H16" s="1615">
        <v>523698</v>
      </c>
      <c r="I16" s="1615">
        <v>590012</v>
      </c>
      <c r="J16" s="1615">
        <v>602158</v>
      </c>
      <c r="K16" s="1615">
        <v>652870</v>
      </c>
      <c r="L16" s="1615">
        <v>795820</v>
      </c>
      <c r="M16" s="1615">
        <v>899980</v>
      </c>
      <c r="N16" s="808">
        <f t="shared" si="0"/>
        <v>2079037</v>
      </c>
      <c r="O16" s="205">
        <f>'A4-FinPerf RE'!J16</f>
        <v>9105152</v>
      </c>
      <c r="P16" s="203">
        <f>'A4-FinPerf RE'!K16</f>
        <v>9567734</v>
      </c>
      <c r="Q16" s="204">
        <f>'A4-FinPerf RE'!L16</f>
        <v>10050993</v>
      </c>
    </row>
    <row r="17" spans="1:17" ht="11.25" customHeight="1">
      <c r="A17" s="250" t="str">
        <f>'A4-FinPerf RE'!A17</f>
        <v>Licences and permits</v>
      </c>
      <c r="B17" s="864"/>
      <c r="C17" s="1636">
        <v>995852</v>
      </c>
      <c r="D17" s="1615">
        <v>895270</v>
      </c>
      <c r="E17" s="1615">
        <v>1098210</v>
      </c>
      <c r="F17" s="1615">
        <v>981048</v>
      </c>
      <c r="G17" s="1615">
        <v>980010</v>
      </c>
      <c r="H17" s="1615">
        <v>990015</v>
      </c>
      <c r="I17" s="1615">
        <v>958701</v>
      </c>
      <c r="J17" s="1615">
        <v>895500</v>
      </c>
      <c r="K17" s="1615">
        <v>968798</v>
      </c>
      <c r="L17" s="1615">
        <v>989990</v>
      </c>
      <c r="M17" s="1615">
        <v>897500</v>
      </c>
      <c r="N17" s="808">
        <f t="shared" si="0"/>
        <v>1129121</v>
      </c>
      <c r="O17" s="205">
        <f>'A4-FinPerf RE'!J17</f>
        <v>11780015</v>
      </c>
      <c r="P17" s="203">
        <f>'A4-FinPerf RE'!K17</f>
        <v>12075103</v>
      </c>
      <c r="Q17" s="204">
        <f>'A4-FinPerf RE'!L17</f>
        <v>12378462</v>
      </c>
    </row>
    <row r="18" spans="1:17" ht="11.25" customHeight="1">
      <c r="A18" s="250" t="str">
        <f>'A4-FinPerf RE'!A18</f>
        <v>Agency services</v>
      </c>
      <c r="B18" s="864"/>
      <c r="C18" s="1636">
        <v>1590012</v>
      </c>
      <c r="D18" s="1615">
        <v>1490042</v>
      </c>
      <c r="E18" s="1615">
        <v>1581746</v>
      </c>
      <c r="F18" s="1615">
        <v>1652871</v>
      </c>
      <c r="G18" s="1615">
        <v>1400598</v>
      </c>
      <c r="H18" s="1615">
        <v>1392540</v>
      </c>
      <c r="I18" s="1615">
        <v>1524029</v>
      </c>
      <c r="J18" s="1615">
        <v>1620101</v>
      </c>
      <c r="K18" s="1615">
        <v>1526598</v>
      </c>
      <c r="L18" s="1615">
        <v>1722401</v>
      </c>
      <c r="M18" s="1615">
        <v>1692870</v>
      </c>
      <c r="N18" s="808">
        <f t="shared" si="0"/>
        <v>2783270</v>
      </c>
      <c r="O18" s="205">
        <f>'A4-FinPerf RE'!J18</f>
        <v>19977078</v>
      </c>
      <c r="P18" s="203">
        <f>'A4-FinPerf RE'!K18</f>
        <v>19982864</v>
      </c>
      <c r="Q18" s="204">
        <f>'A4-FinPerf RE'!L18</f>
        <v>21041955</v>
      </c>
    </row>
    <row r="19" spans="1:17" ht="11.25" customHeight="1">
      <c r="A19" s="250" t="str">
        <f>'A4-FinPerf RE'!A19</f>
        <v>Transfers recognised - operational</v>
      </c>
      <c r="B19" s="864"/>
      <c r="C19" s="1636">
        <v>158958720</v>
      </c>
      <c r="D19" s="1615">
        <v>1215870</v>
      </c>
      <c r="E19" s="1615">
        <v>235980</v>
      </c>
      <c r="F19" s="1615">
        <v>148987</v>
      </c>
      <c r="G19" s="1615">
        <v>152658900</v>
      </c>
      <c r="H19" s="1615">
        <v>1680017</v>
      </c>
      <c r="I19" s="1615">
        <v>1251001</v>
      </c>
      <c r="J19" s="1615">
        <v>326538</v>
      </c>
      <c r="K19" s="1615">
        <v>18987898</v>
      </c>
      <c r="L19" s="1615">
        <v>1250456</v>
      </c>
      <c r="M19" s="1615">
        <v>3202101</v>
      </c>
      <c r="N19" s="808">
        <f t="shared" si="0"/>
        <v>1963332</v>
      </c>
      <c r="O19" s="205">
        <f>'A4-FinPerf RE'!J19</f>
        <v>341879800</v>
      </c>
      <c r="P19" s="203">
        <f>'A4-FinPerf RE'!K19</f>
        <v>368423220</v>
      </c>
      <c r="Q19" s="204">
        <f>'A4-FinPerf RE'!L19</f>
        <v>437175249</v>
      </c>
    </row>
    <row r="20" spans="1:17" ht="11.25" customHeight="1">
      <c r="A20" s="250" t="str">
        <f>'A4-FinPerf RE'!A20</f>
        <v>Other revenue</v>
      </c>
      <c r="B20" s="864"/>
      <c r="C20" s="1636">
        <v>1685901</v>
      </c>
      <c r="D20" s="1615">
        <v>1900125</v>
      </c>
      <c r="E20" s="1615">
        <v>2099857</v>
      </c>
      <c r="F20" s="1615">
        <v>1524256</v>
      </c>
      <c r="G20" s="1615">
        <v>1758001</v>
      </c>
      <c r="H20" s="1615">
        <v>1899801</v>
      </c>
      <c r="I20" s="1615">
        <v>2010101</v>
      </c>
      <c r="J20" s="1615">
        <v>1620259</v>
      </c>
      <c r="K20" s="1615">
        <v>1865019</v>
      </c>
      <c r="L20" s="1615">
        <v>2012459</v>
      </c>
      <c r="M20" s="1615">
        <v>2568015</v>
      </c>
      <c r="N20" s="808">
        <f t="shared" si="0"/>
        <v>20131474</v>
      </c>
      <c r="O20" s="205">
        <f>'A4-FinPerf RE'!J20</f>
        <v>41075268</v>
      </c>
      <c r="P20" s="203">
        <f>'A4-FinPerf RE'!K20</f>
        <v>43160491</v>
      </c>
      <c r="Q20" s="204">
        <f>'A4-FinPerf RE'!L20</f>
        <v>45254621</v>
      </c>
    </row>
    <row r="21" spans="1:17" ht="11.25" customHeight="1">
      <c r="A21" s="250" t="str">
        <f>'A4-FinPerf RE'!A21</f>
        <v>Gains on disposal of PPE</v>
      </c>
      <c r="B21" s="864"/>
      <c r="C21" s="1636">
        <v>6958741</v>
      </c>
      <c r="D21" s="1615">
        <v>7890210</v>
      </c>
      <c r="E21" s="1615">
        <v>7232568</v>
      </c>
      <c r="F21" s="1615">
        <v>6902145</v>
      </c>
      <c r="G21" s="1615">
        <v>7102158</v>
      </c>
      <c r="H21" s="1615">
        <v>6520015</v>
      </c>
      <c r="I21" s="1615">
        <v>5988980</v>
      </c>
      <c r="J21" s="1615">
        <v>6800248</v>
      </c>
      <c r="K21" s="1615">
        <v>7899981</v>
      </c>
      <c r="L21" s="1615">
        <v>8294201</v>
      </c>
      <c r="M21" s="1615">
        <v>7220189</v>
      </c>
      <c r="N21" s="808">
        <f t="shared" si="0"/>
        <v>21262171</v>
      </c>
      <c r="O21" s="205">
        <f>'A4-FinPerf RE'!J21</f>
        <v>100071607</v>
      </c>
      <c r="P21" s="203">
        <f>'A4-FinPerf RE'!K21</f>
        <v>50000000</v>
      </c>
      <c r="Q21" s="204">
        <f>'A4-FinPerf RE'!L21</f>
        <v>0</v>
      </c>
    </row>
    <row r="22" spans="1:17">
      <c r="A22" s="265" t="str">
        <f>'A4-FinPerf RE'!A22</f>
        <v>Total Revenue (excluding capital transfers and contributions)</v>
      </c>
      <c r="B22" s="865"/>
      <c r="C22" s="215">
        <f t="shared" ref="C22:Q22" si="1">SUM(C5:C21)</f>
        <v>315969708</v>
      </c>
      <c r="D22" s="213">
        <f t="shared" si="1"/>
        <v>146964351</v>
      </c>
      <c r="E22" s="213">
        <f t="shared" si="1"/>
        <v>145086282</v>
      </c>
      <c r="F22" s="213">
        <f t="shared" si="1"/>
        <v>152334295</v>
      </c>
      <c r="G22" s="213">
        <f t="shared" si="1"/>
        <v>300930985</v>
      </c>
      <c r="H22" s="213">
        <f t="shared" si="1"/>
        <v>159680698</v>
      </c>
      <c r="I22" s="213">
        <f t="shared" si="1"/>
        <v>175777626</v>
      </c>
      <c r="J22" s="213">
        <f t="shared" si="1"/>
        <v>174962038</v>
      </c>
      <c r="K22" s="213">
        <f t="shared" si="1"/>
        <v>201138667</v>
      </c>
      <c r="L22" s="213">
        <f t="shared" si="1"/>
        <v>229072632</v>
      </c>
      <c r="M22" s="213">
        <f t="shared" si="1"/>
        <v>262085110</v>
      </c>
      <c r="N22" s="866">
        <f t="shared" si="1"/>
        <v>465273143</v>
      </c>
      <c r="O22" s="215">
        <f t="shared" si="1"/>
        <v>2729275535</v>
      </c>
      <c r="P22" s="213">
        <f t="shared" si="1"/>
        <v>2834221952</v>
      </c>
      <c r="Q22" s="214">
        <f t="shared" si="1"/>
        <v>3072107337</v>
      </c>
    </row>
    <row r="23" spans="1:17" ht="5" customHeight="1">
      <c r="A23" s="273"/>
      <c r="B23" s="864"/>
      <c r="C23" s="205"/>
      <c r="D23" s="203"/>
      <c r="E23" s="203"/>
      <c r="F23" s="203"/>
      <c r="G23" s="203"/>
      <c r="H23" s="203"/>
      <c r="I23" s="203"/>
      <c r="J23" s="203"/>
      <c r="K23" s="203"/>
      <c r="L23" s="203"/>
      <c r="M23" s="203"/>
      <c r="N23" s="808"/>
      <c r="O23" s="205"/>
      <c r="P23" s="203"/>
      <c r="Q23" s="204"/>
    </row>
    <row r="24" spans="1:17">
      <c r="A24" s="249" t="str">
        <f>'A4-FinPerf RE'!A24</f>
        <v>Expenditure By Type</v>
      </c>
      <c r="B24" s="867"/>
      <c r="C24" s="205"/>
      <c r="D24" s="203"/>
      <c r="E24" s="203"/>
      <c r="F24" s="203"/>
      <c r="G24" s="203"/>
      <c r="H24" s="203"/>
      <c r="I24" s="203"/>
      <c r="J24" s="203"/>
      <c r="K24" s="203"/>
      <c r="L24" s="203"/>
      <c r="M24" s="203"/>
      <c r="N24" s="808"/>
      <c r="O24" s="205"/>
      <c r="P24" s="203"/>
      <c r="Q24" s="204"/>
    </row>
    <row r="25" spans="1:17" ht="11.25" customHeight="1">
      <c r="A25" s="250" t="str">
        <f>'A4-FinPerf RE'!A25</f>
        <v>Employee related costs</v>
      </c>
      <c r="B25" s="864"/>
      <c r="C25" s="1636">
        <v>40898541</v>
      </c>
      <c r="D25" s="1615">
        <v>39221025</v>
      </c>
      <c r="E25" s="1615">
        <v>39988981</v>
      </c>
      <c r="F25" s="1615">
        <v>40220125</v>
      </c>
      <c r="G25" s="1615">
        <v>39889800</v>
      </c>
      <c r="H25" s="1615">
        <v>40988001</v>
      </c>
      <c r="I25" s="1615">
        <v>41001258</v>
      </c>
      <c r="J25" s="1615">
        <v>41211480</v>
      </c>
      <c r="K25" s="1615">
        <v>40900125</v>
      </c>
      <c r="L25" s="1615">
        <v>40980170</v>
      </c>
      <c r="M25" s="1615">
        <v>40559010</v>
      </c>
      <c r="N25" s="808">
        <f t="shared" ref="N25:N35" si="2">O25-SUM(C25:M25)</f>
        <v>16887689</v>
      </c>
      <c r="O25" s="205">
        <f>'A4-FinPerf RE'!J25</f>
        <v>462746205</v>
      </c>
      <c r="P25" s="203">
        <f>'A4-FinPerf RE'!K25</f>
        <v>498512510</v>
      </c>
      <c r="Q25" s="204">
        <f>'A4-FinPerf RE'!L25</f>
        <v>532216088</v>
      </c>
    </row>
    <row r="26" spans="1:17" ht="11.25" customHeight="1">
      <c r="A26" s="250" t="str">
        <f>'A4-FinPerf RE'!A26</f>
        <v>Remuneration of councillors</v>
      </c>
      <c r="B26" s="864"/>
      <c r="C26" s="1636">
        <v>2154879</v>
      </c>
      <c r="D26" s="1615">
        <v>2198575</v>
      </c>
      <c r="E26" s="1615">
        <v>2201987</v>
      </c>
      <c r="F26" s="1615">
        <v>2198078</v>
      </c>
      <c r="G26" s="1615">
        <v>2209987</v>
      </c>
      <c r="H26" s="1615">
        <v>2102548</v>
      </c>
      <c r="I26" s="1615">
        <v>2458560</v>
      </c>
      <c r="J26" s="1615">
        <v>2311480</v>
      </c>
      <c r="K26" s="1615">
        <v>2298012</v>
      </c>
      <c r="L26" s="1615">
        <v>2252458</v>
      </c>
      <c r="M26" s="1615">
        <v>2301897</v>
      </c>
      <c r="N26" s="808">
        <f t="shared" si="2"/>
        <v>2230828</v>
      </c>
      <c r="O26" s="205">
        <f>'A4-FinPerf RE'!J26</f>
        <v>26919289</v>
      </c>
      <c r="P26" s="203">
        <f>'A4-FinPerf RE'!K26</f>
        <v>28669045</v>
      </c>
      <c r="Q26" s="204">
        <f>'A4-FinPerf RE'!L26</f>
        <v>30532534</v>
      </c>
    </row>
    <row r="27" spans="1:17" ht="11.25" customHeight="1">
      <c r="A27" s="250" t="str">
        <f>'A4-FinPerf RE'!A27</f>
        <v>Debt impairment</v>
      </c>
      <c r="B27" s="864"/>
      <c r="C27" s="1636">
        <v>17552102</v>
      </c>
      <c r="D27" s="1636">
        <v>15897021</v>
      </c>
      <c r="E27" s="1636">
        <v>16582280</v>
      </c>
      <c r="F27" s="1636">
        <v>18997580</v>
      </c>
      <c r="G27" s="1636">
        <v>18001254</v>
      </c>
      <c r="H27" s="1636">
        <v>19002158</v>
      </c>
      <c r="I27" s="1636">
        <v>17021890</v>
      </c>
      <c r="J27" s="1636">
        <v>16987081</v>
      </c>
      <c r="K27" s="1636">
        <v>19808790</v>
      </c>
      <c r="L27" s="1636">
        <v>18002580</v>
      </c>
      <c r="M27" s="1636">
        <v>17559821</v>
      </c>
      <c r="N27" s="808">
        <f t="shared" si="2"/>
        <v>10966980</v>
      </c>
      <c r="O27" s="205">
        <f>'A4-FinPerf RE'!J27</f>
        <v>206379537</v>
      </c>
      <c r="P27" s="203">
        <f>'A4-FinPerf RE'!K27</f>
        <v>183247986</v>
      </c>
      <c r="Q27" s="204">
        <f>'A4-FinPerf RE'!L27</f>
        <v>146452441</v>
      </c>
    </row>
    <row r="28" spans="1:17" ht="11.25" customHeight="1">
      <c r="A28" s="250" t="str">
        <f>'A4-FinPerf RE'!A28</f>
        <v>Depreciation &amp; asset impairment</v>
      </c>
      <c r="B28" s="864"/>
      <c r="C28" s="1636">
        <v>35050416</v>
      </c>
      <c r="D28" s="1636">
        <v>35050416</v>
      </c>
      <c r="E28" s="1636">
        <v>35050416</v>
      </c>
      <c r="F28" s="1636">
        <v>35050416</v>
      </c>
      <c r="G28" s="1636">
        <v>35050416</v>
      </c>
      <c r="H28" s="1636">
        <v>35050416</v>
      </c>
      <c r="I28" s="1636">
        <v>35050416</v>
      </c>
      <c r="J28" s="1636">
        <v>35050416</v>
      </c>
      <c r="K28" s="1636">
        <v>35050416</v>
      </c>
      <c r="L28" s="1636">
        <v>35050416</v>
      </c>
      <c r="M28" s="1636">
        <v>35050416</v>
      </c>
      <c r="N28" s="808">
        <f t="shared" si="2"/>
        <v>-99369861</v>
      </c>
      <c r="O28" s="205">
        <f>'A4-FinPerf RE'!J28</f>
        <v>286184715</v>
      </c>
      <c r="P28" s="203">
        <f>'A4-FinPerf RE'!K28</f>
        <v>303458347</v>
      </c>
      <c r="Q28" s="204">
        <f>'A4-FinPerf RE'!L28</f>
        <v>320986411</v>
      </c>
    </row>
    <row r="29" spans="1:17" ht="11.25" customHeight="1">
      <c r="A29" s="250" t="str">
        <f>'A4-FinPerf RE'!A29</f>
        <v>Finance charges</v>
      </c>
      <c r="B29" s="864"/>
      <c r="C29" s="1636">
        <v>1202569</v>
      </c>
      <c r="D29" s="1636">
        <v>1533323</v>
      </c>
      <c r="E29" s="1636">
        <v>1515980</v>
      </c>
      <c r="F29" s="1636">
        <v>1756980</v>
      </c>
      <c r="G29" s="1636">
        <v>1888780</v>
      </c>
      <c r="H29" s="1636">
        <v>2298901</v>
      </c>
      <c r="I29" s="1636">
        <v>1980021</v>
      </c>
      <c r="J29" s="1636">
        <v>2188001</v>
      </c>
      <c r="K29" s="1636">
        <v>2212010</v>
      </c>
      <c r="L29" s="1636">
        <v>1922015</v>
      </c>
      <c r="M29" s="1636">
        <v>2012569</v>
      </c>
      <c r="N29" s="808">
        <f t="shared" si="2"/>
        <v>32720862</v>
      </c>
      <c r="O29" s="205">
        <f>'A4-FinPerf RE'!J29</f>
        <v>53232011</v>
      </c>
      <c r="P29" s="203">
        <f>'A4-FinPerf RE'!K29</f>
        <v>50154483</v>
      </c>
      <c r="Q29" s="204">
        <f>'A4-FinPerf RE'!L29</f>
        <v>86244450</v>
      </c>
    </row>
    <row r="30" spans="1:17" ht="11.25" customHeight="1">
      <c r="A30" s="250" t="str">
        <f>'A4-FinPerf RE'!A30</f>
        <v>Bulk purchases</v>
      </c>
      <c r="B30" s="864"/>
      <c r="C30" s="1636">
        <v>89502145</v>
      </c>
      <c r="D30" s="1615">
        <v>92359801</v>
      </c>
      <c r="E30" s="1615">
        <v>90124120</v>
      </c>
      <c r="F30" s="1615">
        <v>98500257</v>
      </c>
      <c r="G30" s="1615">
        <v>95240124</v>
      </c>
      <c r="H30" s="1615">
        <v>100259897</v>
      </c>
      <c r="I30" s="1615">
        <v>94582102</v>
      </c>
      <c r="J30" s="1615">
        <v>92201200</v>
      </c>
      <c r="K30" s="1615">
        <v>89878987</v>
      </c>
      <c r="L30" s="1615">
        <v>92201258</v>
      </c>
      <c r="M30" s="1615">
        <v>98988001</v>
      </c>
      <c r="N30" s="808">
        <f t="shared" si="2"/>
        <v>-37101458</v>
      </c>
      <c r="O30" s="205">
        <f>'A4-FinPerf RE'!J30</f>
        <v>996736434</v>
      </c>
      <c r="P30" s="203">
        <f>'A4-FinPerf RE'!K30</f>
        <v>1080378838</v>
      </c>
      <c r="Q30" s="204">
        <f>'A4-FinPerf RE'!L30</f>
        <v>1171096784</v>
      </c>
    </row>
    <row r="31" spans="1:17" ht="11.25" customHeight="1">
      <c r="A31" s="250" t="str">
        <f>'A4-FinPerf RE'!A31</f>
        <v>Other materials</v>
      </c>
      <c r="B31" s="864"/>
      <c r="C31" s="1636">
        <v>12498752</v>
      </c>
      <c r="D31" s="1615">
        <v>11985201</v>
      </c>
      <c r="E31" s="1615">
        <v>13590014</v>
      </c>
      <c r="F31" s="1615">
        <v>14521105</v>
      </c>
      <c r="G31" s="1615">
        <v>12025980</v>
      </c>
      <c r="H31" s="1615">
        <v>11880170</v>
      </c>
      <c r="I31" s="1615">
        <v>13025408</v>
      </c>
      <c r="J31" s="1615">
        <v>12300124</v>
      </c>
      <c r="K31" s="1615">
        <v>13800125</v>
      </c>
      <c r="L31" s="1615">
        <v>14201200</v>
      </c>
      <c r="M31" s="1615">
        <v>10025420</v>
      </c>
      <c r="N31" s="808">
        <f t="shared" si="2"/>
        <v>15435727</v>
      </c>
      <c r="O31" s="205">
        <f>'A4-FinPerf RE'!J31</f>
        <v>155289226</v>
      </c>
      <c r="P31" s="203">
        <f>'A4-FinPerf RE'!K31</f>
        <v>163199041</v>
      </c>
      <c r="Q31" s="204">
        <f>'A4-FinPerf RE'!L31</f>
        <v>173275893</v>
      </c>
    </row>
    <row r="32" spans="1:17" ht="11.25" customHeight="1">
      <c r="A32" s="250" t="str">
        <f>'A4-FinPerf RE'!A32</f>
        <v>Contracted services</v>
      </c>
      <c r="B32" s="864"/>
      <c r="C32" s="1636">
        <v>12535698</v>
      </c>
      <c r="D32" s="1615">
        <v>14200158</v>
      </c>
      <c r="E32" s="1615">
        <v>13958748</v>
      </c>
      <c r="F32" s="1615">
        <v>11024581</v>
      </c>
      <c r="G32" s="1615">
        <v>9002158</v>
      </c>
      <c r="H32" s="1615">
        <v>15487980</v>
      </c>
      <c r="I32" s="1615">
        <v>16890015</v>
      </c>
      <c r="J32" s="1615">
        <v>12004658</v>
      </c>
      <c r="K32" s="1615">
        <v>14701250</v>
      </c>
      <c r="L32" s="1615">
        <v>16897025</v>
      </c>
      <c r="M32" s="1615">
        <v>14209420</v>
      </c>
      <c r="N32" s="808">
        <f t="shared" si="2"/>
        <v>73313288</v>
      </c>
      <c r="O32" s="205">
        <f>'A4-FinPerf RE'!J32</f>
        <v>224224979</v>
      </c>
      <c r="P32" s="203">
        <f>'A4-FinPerf RE'!K32</f>
        <v>229230746</v>
      </c>
      <c r="Q32" s="204">
        <f>'A4-FinPerf RE'!L32</f>
        <v>241676588</v>
      </c>
    </row>
    <row r="33" spans="1:17" ht="11.25" customHeight="1">
      <c r="A33" s="250" t="str">
        <f>'A4-FinPerf RE'!A33</f>
        <v>Transfers and grants</v>
      </c>
      <c r="B33" s="864"/>
      <c r="C33" s="1636">
        <v>5265</v>
      </c>
      <c r="D33" s="1636">
        <v>11012</v>
      </c>
      <c r="E33" s="1636">
        <v>3498</v>
      </c>
      <c r="F33" s="1636">
        <v>0</v>
      </c>
      <c r="G33" s="1636">
        <v>2568</v>
      </c>
      <c r="H33" s="1636">
        <v>0</v>
      </c>
      <c r="I33" s="1636">
        <v>8957</v>
      </c>
      <c r="J33" s="1636">
        <v>225401</v>
      </c>
      <c r="K33" s="1636">
        <v>112488</v>
      </c>
      <c r="L33" s="1636">
        <v>19827</v>
      </c>
      <c r="M33" s="1636">
        <v>11014</v>
      </c>
      <c r="N33" s="808">
        <f t="shared" si="2"/>
        <v>76370</v>
      </c>
      <c r="O33" s="205">
        <f>'A4-FinPerf RE'!J33</f>
        <v>476400</v>
      </c>
      <c r="P33" s="203">
        <f>'A4-FinPerf RE'!K33</f>
        <v>485000</v>
      </c>
      <c r="Q33" s="204">
        <f>'A4-FinPerf RE'!L33</f>
        <v>487800</v>
      </c>
    </row>
    <row r="34" spans="1:17" ht="11.25" customHeight="1">
      <c r="A34" s="250" t="str">
        <f>'A4-FinPerf RE'!A34</f>
        <v>Other expenditure</v>
      </c>
      <c r="B34" s="864"/>
      <c r="C34" s="1636">
        <v>23578012</v>
      </c>
      <c r="D34" s="1615">
        <v>20124589</v>
      </c>
      <c r="E34" s="1615">
        <v>22598700</v>
      </c>
      <c r="F34" s="1615">
        <v>24590120</v>
      </c>
      <c r="G34" s="1615">
        <v>25689700</v>
      </c>
      <c r="H34" s="1615">
        <v>26898702</v>
      </c>
      <c r="I34" s="1615">
        <v>24001256</v>
      </c>
      <c r="J34" s="1615">
        <v>19021480</v>
      </c>
      <c r="K34" s="1615">
        <v>18001487</v>
      </c>
      <c r="L34" s="1615">
        <v>25748100</v>
      </c>
      <c r="M34" s="1615">
        <v>21524880</v>
      </c>
      <c r="N34" s="808">
        <f t="shared" si="2"/>
        <v>46828377</v>
      </c>
      <c r="O34" s="205">
        <f>'A4-FinPerf RE'!J34</f>
        <v>298605403</v>
      </c>
      <c r="P34" s="203">
        <f>'A4-FinPerf RE'!K34</f>
        <v>261212651</v>
      </c>
      <c r="Q34" s="204">
        <f>'A4-FinPerf RE'!L34</f>
        <v>277671689</v>
      </c>
    </row>
    <row r="35" spans="1:17" ht="11.25" customHeight="1">
      <c r="A35" s="250" t="str">
        <f>'A4-FinPerf RE'!A35</f>
        <v>Loss on disposal of PPE</v>
      </c>
      <c r="B35" s="864"/>
      <c r="C35" s="1636"/>
      <c r="D35" s="1615"/>
      <c r="E35" s="1615"/>
      <c r="F35" s="1615"/>
      <c r="G35" s="1615"/>
      <c r="H35" s="1615"/>
      <c r="I35" s="1615"/>
      <c r="J35" s="1615"/>
      <c r="K35" s="1615"/>
      <c r="L35" s="1615"/>
      <c r="M35" s="1615"/>
      <c r="N35" s="808">
        <f t="shared" si="2"/>
        <v>0</v>
      </c>
      <c r="O35" s="205">
        <f>'A4-FinPerf RE'!J35</f>
        <v>0</v>
      </c>
      <c r="P35" s="203">
        <f>'A4-FinPerf RE'!K35</f>
        <v>0</v>
      </c>
      <c r="Q35" s="204">
        <f>'A4-FinPerf RE'!L35</f>
        <v>0</v>
      </c>
    </row>
    <row r="36" spans="1:17">
      <c r="A36" s="265" t="str">
        <f>'A4-FinPerf RE'!A36</f>
        <v>Total Expenditure</v>
      </c>
      <c r="B36" s="865"/>
      <c r="C36" s="215">
        <f>SUM(C25:C35)</f>
        <v>234978379</v>
      </c>
      <c r="D36" s="213">
        <f t="shared" ref="D36:Q36" si="3">SUM(D25:D35)</f>
        <v>232581121</v>
      </c>
      <c r="E36" s="213">
        <f t="shared" si="3"/>
        <v>235614724</v>
      </c>
      <c r="F36" s="213">
        <f t="shared" si="3"/>
        <v>246859242</v>
      </c>
      <c r="G36" s="213">
        <f t="shared" si="3"/>
        <v>239000767</v>
      </c>
      <c r="H36" s="213">
        <f t="shared" si="3"/>
        <v>253968773</v>
      </c>
      <c r="I36" s="213">
        <f t="shared" si="3"/>
        <v>246019883</v>
      </c>
      <c r="J36" s="213">
        <f t="shared" si="3"/>
        <v>233501321</v>
      </c>
      <c r="K36" s="213">
        <f t="shared" si="3"/>
        <v>236763690</v>
      </c>
      <c r="L36" s="213">
        <f t="shared" si="3"/>
        <v>247275049</v>
      </c>
      <c r="M36" s="213">
        <f t="shared" si="3"/>
        <v>242242448</v>
      </c>
      <c r="N36" s="866">
        <f t="shared" si="3"/>
        <v>61988802</v>
      </c>
      <c r="O36" s="215">
        <f t="shared" si="3"/>
        <v>2710794199</v>
      </c>
      <c r="P36" s="213">
        <f t="shared" si="3"/>
        <v>2798548647</v>
      </c>
      <c r="Q36" s="214">
        <f t="shared" si="3"/>
        <v>2980640678</v>
      </c>
    </row>
    <row r="37" spans="1:17" ht="5" customHeight="1">
      <c r="A37" s="273"/>
      <c r="B37" s="864"/>
      <c r="C37" s="205"/>
      <c r="D37" s="203"/>
      <c r="E37" s="203"/>
      <c r="F37" s="203"/>
      <c r="G37" s="203"/>
      <c r="H37" s="203"/>
      <c r="I37" s="203"/>
      <c r="J37" s="203"/>
      <c r="K37" s="203"/>
      <c r="L37" s="203"/>
      <c r="M37" s="203"/>
      <c r="N37" s="808"/>
      <c r="O37" s="205"/>
      <c r="P37" s="203"/>
      <c r="Q37" s="204"/>
    </row>
    <row r="38" spans="1:17">
      <c r="A38" s="868" t="str">
        <f>'A4-FinPerf RE'!A38</f>
        <v>Surplus/(Deficit)</v>
      </c>
      <c r="B38" s="869"/>
      <c r="C38" s="215">
        <f t="shared" ref="C38:Q38" si="4">C22-C36</f>
        <v>80991329</v>
      </c>
      <c r="D38" s="213">
        <f t="shared" si="4"/>
        <v>-85616770</v>
      </c>
      <c r="E38" s="213">
        <f t="shared" si="4"/>
        <v>-90528442</v>
      </c>
      <c r="F38" s="213">
        <f t="shared" si="4"/>
        <v>-94524947</v>
      </c>
      <c r="G38" s="213">
        <f t="shared" si="4"/>
        <v>61930218</v>
      </c>
      <c r="H38" s="213">
        <f t="shared" si="4"/>
        <v>-94288075</v>
      </c>
      <c r="I38" s="213">
        <f t="shared" si="4"/>
        <v>-70242257</v>
      </c>
      <c r="J38" s="213">
        <f t="shared" si="4"/>
        <v>-58539283</v>
      </c>
      <c r="K38" s="213">
        <f t="shared" si="4"/>
        <v>-35625023</v>
      </c>
      <c r="L38" s="213">
        <f t="shared" si="4"/>
        <v>-18202417</v>
      </c>
      <c r="M38" s="213">
        <f t="shared" si="4"/>
        <v>19842662</v>
      </c>
      <c r="N38" s="866">
        <f t="shared" si="4"/>
        <v>403284341</v>
      </c>
      <c r="O38" s="215">
        <f t="shared" si="4"/>
        <v>18481336</v>
      </c>
      <c r="P38" s="213">
        <f t="shared" si="4"/>
        <v>35673305</v>
      </c>
      <c r="Q38" s="214">
        <f t="shared" si="4"/>
        <v>91466659</v>
      </c>
    </row>
    <row r="39" spans="1:17" ht="11.25" customHeight="1">
      <c r="A39" s="250" t="str">
        <f>'A4-FinPerf RE'!A39</f>
        <v>Transfers recognised - capital</v>
      </c>
      <c r="B39" s="864"/>
      <c r="C39" s="1636"/>
      <c r="D39" s="1615"/>
      <c r="E39" s="1615"/>
      <c r="F39" s="1615"/>
      <c r="G39" s="1615"/>
      <c r="H39" s="1615"/>
      <c r="I39" s="1615"/>
      <c r="J39" s="1615"/>
      <c r="K39" s="1615"/>
      <c r="L39" s="1615"/>
      <c r="M39" s="1615"/>
      <c r="N39" s="808">
        <f>O39-SUM(C39:M39)</f>
        <v>0</v>
      </c>
      <c r="O39" s="205">
        <f>'A4-FinPerf RE'!J39</f>
        <v>0</v>
      </c>
      <c r="P39" s="203">
        <f>'A4-FinPerf RE'!K39</f>
        <v>0</v>
      </c>
      <c r="Q39" s="204">
        <f>'A4-FinPerf RE'!L39</f>
        <v>0</v>
      </c>
    </row>
    <row r="40" spans="1:17" ht="11.25" customHeight="1">
      <c r="A40" s="250" t="str">
        <f>'A4-FinPerf RE'!A40</f>
        <v>Contributions recognised - capital</v>
      </c>
      <c r="B40" s="864"/>
      <c r="C40" s="1636">
        <v>31223587</v>
      </c>
      <c r="D40" s="1615">
        <v>30114040</v>
      </c>
      <c r="E40" s="1615">
        <v>35125870</v>
      </c>
      <c r="F40" s="1615">
        <v>34028980</v>
      </c>
      <c r="G40" s="1615">
        <v>33001870</v>
      </c>
      <c r="H40" s="1615">
        <v>32558700</v>
      </c>
      <c r="I40" s="1615">
        <v>25425800</v>
      </c>
      <c r="J40" s="1615">
        <v>29878089</v>
      </c>
      <c r="K40" s="1615">
        <v>35265898</v>
      </c>
      <c r="L40" s="1615">
        <v>33256987</v>
      </c>
      <c r="M40" s="1615">
        <v>36895700</v>
      </c>
      <c r="N40" s="808">
        <f>O40-SUM(C40:M40)</f>
        <v>-375256857</v>
      </c>
      <c r="O40" s="205">
        <f>'A4-FinPerf RE'!J40</f>
        <v>-18481336</v>
      </c>
      <c r="P40" s="203">
        <f>'A4-FinPerf RE'!K40</f>
        <v>-35673305</v>
      </c>
      <c r="Q40" s="204">
        <f>'A4-FinPerf RE'!L40</f>
        <v>-91466659</v>
      </c>
    </row>
    <row r="41" spans="1:17" ht="11.25" customHeight="1">
      <c r="A41" s="250" t="str">
        <f>'A4-FinPerf RE'!A41</f>
        <v>Contributed assets</v>
      </c>
      <c r="B41" s="864"/>
      <c r="C41" s="1636"/>
      <c r="D41" s="1615"/>
      <c r="E41" s="1615"/>
      <c r="F41" s="1615"/>
      <c r="G41" s="1615"/>
      <c r="H41" s="1615"/>
      <c r="I41" s="1615"/>
      <c r="J41" s="1615"/>
      <c r="K41" s="1615"/>
      <c r="L41" s="1615"/>
      <c r="M41" s="1615"/>
      <c r="N41" s="808">
        <f>O41-SUM(C41:M41)</f>
        <v>0</v>
      </c>
      <c r="O41" s="205">
        <f>'A4-FinPerf RE'!J41</f>
        <v>0</v>
      </c>
      <c r="P41" s="203">
        <f>'A4-FinPerf RE'!K41</f>
        <v>0</v>
      </c>
      <c r="Q41" s="204">
        <f>'A4-FinPerf RE'!L41</f>
        <v>0</v>
      </c>
    </row>
    <row r="42" spans="1:17" s="769" customFormat="1" ht="22.5" customHeight="1">
      <c r="A42" s="870" t="str">
        <f>'A4-FinPerf RE'!A42</f>
        <v>Surplus/(Deficit) after capital transfers &amp; contributions</v>
      </c>
      <c r="B42" s="871"/>
      <c r="C42" s="872">
        <f t="shared" ref="C42:N42" si="5">C38+SUM(C39:C41)</f>
        <v>112214916</v>
      </c>
      <c r="D42" s="873">
        <f t="shared" si="5"/>
        <v>-55502730</v>
      </c>
      <c r="E42" s="873">
        <f t="shared" si="5"/>
        <v>-55402572</v>
      </c>
      <c r="F42" s="873">
        <f t="shared" si="5"/>
        <v>-60495967</v>
      </c>
      <c r="G42" s="873">
        <f t="shared" si="5"/>
        <v>94932088</v>
      </c>
      <c r="H42" s="873">
        <f t="shared" si="5"/>
        <v>-61729375</v>
      </c>
      <c r="I42" s="873">
        <f t="shared" si="5"/>
        <v>-44816457</v>
      </c>
      <c r="J42" s="873">
        <f t="shared" si="5"/>
        <v>-28661194</v>
      </c>
      <c r="K42" s="873">
        <f t="shared" si="5"/>
        <v>-359125</v>
      </c>
      <c r="L42" s="873">
        <f t="shared" si="5"/>
        <v>15054570</v>
      </c>
      <c r="M42" s="873">
        <f t="shared" si="5"/>
        <v>56738362</v>
      </c>
      <c r="N42" s="874">
        <f t="shared" si="5"/>
        <v>28027484</v>
      </c>
      <c r="O42" s="872">
        <f>O38+SUM(O39:O41)</f>
        <v>0</v>
      </c>
      <c r="P42" s="873">
        <f>P38+SUM(P39:P41)</f>
        <v>0</v>
      </c>
      <c r="Q42" s="875">
        <f>Q38+SUM(Q39:Q41)</f>
        <v>0</v>
      </c>
    </row>
    <row r="43" spans="1:17" ht="11.25" customHeight="1">
      <c r="A43" s="250" t="str">
        <f>'A4-FinPerf RE'!A43</f>
        <v>Taxation</v>
      </c>
      <c r="B43" s="864"/>
      <c r="C43" s="1636"/>
      <c r="D43" s="1615"/>
      <c r="E43" s="1615"/>
      <c r="F43" s="1615"/>
      <c r="G43" s="1615"/>
      <c r="H43" s="1615"/>
      <c r="I43" s="1615"/>
      <c r="J43" s="1615"/>
      <c r="K43" s="1615"/>
      <c r="L43" s="1615"/>
      <c r="M43" s="1615"/>
      <c r="N43" s="808">
        <f>O43-SUM(C43:M43)</f>
        <v>0</v>
      </c>
      <c r="O43" s="205">
        <f>'A4-FinPerf RE'!J43</f>
        <v>0</v>
      </c>
      <c r="P43" s="203">
        <f>'A4-FinPerf RE'!K43</f>
        <v>0</v>
      </c>
      <c r="Q43" s="204">
        <f>'A4-FinPerf RE'!L43</f>
        <v>0</v>
      </c>
    </row>
    <row r="44" spans="1:17" ht="11.25" customHeight="1">
      <c r="A44" s="250" t="str">
        <f>'A4-FinPerf RE'!A45</f>
        <v>Attributable to minorities</v>
      </c>
      <c r="B44" s="864"/>
      <c r="C44" s="1636"/>
      <c r="D44" s="1615"/>
      <c r="E44" s="1615"/>
      <c r="F44" s="1615"/>
      <c r="G44" s="1615"/>
      <c r="H44" s="1615"/>
      <c r="I44" s="1615"/>
      <c r="J44" s="1615"/>
      <c r="K44" s="1615"/>
      <c r="L44" s="1615"/>
      <c r="M44" s="1615"/>
      <c r="N44" s="808">
        <f>O44-SUM(C44:M44)</f>
        <v>0</v>
      </c>
      <c r="O44" s="205">
        <f>'A4-FinPerf RE'!J45</f>
        <v>0</v>
      </c>
      <c r="P44" s="203">
        <f>'A4-FinPerf RE'!K45</f>
        <v>0</v>
      </c>
      <c r="Q44" s="204">
        <f>'A4-FinPerf RE'!L45</f>
        <v>0</v>
      </c>
    </row>
    <row r="45" spans="1:17">
      <c r="A45" s="524" t="str">
        <f>'A4-FinPerf RE'!A47</f>
        <v>Share of surplus/ (deficit) of associate</v>
      </c>
      <c r="B45" s="876"/>
      <c r="C45" s="1636"/>
      <c r="D45" s="1615"/>
      <c r="E45" s="1615"/>
      <c r="F45" s="1615"/>
      <c r="G45" s="1615"/>
      <c r="H45" s="1615"/>
      <c r="I45" s="1615"/>
      <c r="J45" s="1615"/>
      <c r="K45" s="1615"/>
      <c r="L45" s="1615"/>
      <c r="M45" s="1615"/>
      <c r="N45" s="808">
        <f>O45-SUM(C45:M45)</f>
        <v>0</v>
      </c>
      <c r="O45" s="205">
        <f>'A4-FinPerf RE'!J47</f>
        <v>0</v>
      </c>
      <c r="P45" s="203">
        <f>'A4-FinPerf RE'!K47</f>
        <v>0</v>
      </c>
      <c r="Q45" s="204">
        <f>'A4-FinPerf RE'!L47</f>
        <v>0</v>
      </c>
    </row>
    <row r="46" spans="1:17">
      <c r="A46" s="849" t="str">
        <f>'A4-FinPerf RE'!A38</f>
        <v>Surplus/(Deficit)</v>
      </c>
      <c r="B46" s="877">
        <v>1</v>
      </c>
      <c r="C46" s="353">
        <f t="shared" ref="C46:N46" si="6">C42+SUM(C43:C45)</f>
        <v>112214916</v>
      </c>
      <c r="D46" s="227">
        <f t="shared" si="6"/>
        <v>-55502730</v>
      </c>
      <c r="E46" s="227">
        <f t="shared" si="6"/>
        <v>-55402572</v>
      </c>
      <c r="F46" s="227">
        <f t="shared" si="6"/>
        <v>-60495967</v>
      </c>
      <c r="G46" s="227">
        <f t="shared" si="6"/>
        <v>94932088</v>
      </c>
      <c r="H46" s="227">
        <f t="shared" si="6"/>
        <v>-61729375</v>
      </c>
      <c r="I46" s="227">
        <f t="shared" si="6"/>
        <v>-44816457</v>
      </c>
      <c r="J46" s="227">
        <f t="shared" si="6"/>
        <v>-28661194</v>
      </c>
      <c r="K46" s="227">
        <f t="shared" si="6"/>
        <v>-359125</v>
      </c>
      <c r="L46" s="227">
        <f t="shared" si="6"/>
        <v>15054570</v>
      </c>
      <c r="M46" s="227">
        <f t="shared" si="6"/>
        <v>56738362</v>
      </c>
      <c r="N46" s="819">
        <f t="shared" si="6"/>
        <v>28027484</v>
      </c>
      <c r="O46" s="353">
        <f>O42+SUM(O43:O45)</f>
        <v>0</v>
      </c>
      <c r="P46" s="227">
        <f>P42+SUM(P43:P45)</f>
        <v>0</v>
      </c>
      <c r="Q46" s="352">
        <f>Q42+SUM(Q43:Q45)</f>
        <v>0</v>
      </c>
    </row>
    <row r="47" spans="1:17" s="709" customFormat="1">
      <c r="A47" s="1421" t="str">
        <f>head27a</f>
        <v>References</v>
      </c>
      <c r="B47" s="1085"/>
      <c r="C47" s="1040"/>
      <c r="D47" s="1040"/>
      <c r="E47" s="1040"/>
      <c r="F47" s="1040"/>
      <c r="G47" s="1040"/>
      <c r="H47" s="1040"/>
      <c r="I47" s="1040"/>
      <c r="J47" s="1040"/>
      <c r="K47" s="1040"/>
      <c r="L47" s="1040"/>
      <c r="M47" s="1040"/>
      <c r="N47" s="1040"/>
      <c r="O47" s="1040"/>
      <c r="P47" s="1040"/>
      <c r="Q47" s="1040"/>
    </row>
    <row r="48" spans="1:17" s="709" customFormat="1">
      <c r="A48" s="1419" t="s">
        <v>1611</v>
      </c>
    </row>
    <row r="49" spans="1:17">
      <c r="A49" s="437" t="s">
        <v>1524</v>
      </c>
      <c r="B49" s="437"/>
      <c r="O49" s="879">
        <f>O46-'A4-FinPerf RE'!J48</f>
        <v>0</v>
      </c>
      <c r="P49" s="879">
        <f>P46-'A4-FinPerf RE'!K48</f>
        <v>0</v>
      </c>
      <c r="Q49" s="879">
        <f>Q46-'A4-FinPerf RE'!L48</f>
        <v>0</v>
      </c>
    </row>
  </sheetData>
  <sheetProtection password="C646" sheet="1" objects="1" scenarios="1"/>
  <mergeCells count="2">
    <mergeCell ref="C2:N2"/>
    <mergeCell ref="O2:Q2"/>
  </mergeCells>
  <phoneticPr fontId="5" type="noConversion"/>
  <printOptions horizontalCentered="1"/>
  <pageMargins left="0.36"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enableFormatConditionsCalculation="0">
    <tabColor indexed="42"/>
  </sheetPr>
  <dimension ref="A1:R48"/>
  <sheetViews>
    <sheetView showGridLines="0" workbookViewId="0">
      <pane xSplit="2" ySplit="3" topLeftCell="C19" activePane="bottomRight" state="frozen"/>
      <selection pane="topRight"/>
      <selection pane="bottomLeft"/>
      <selection pane="bottomRight" activeCell="F32" sqref="F32"/>
    </sheetView>
  </sheetViews>
  <sheetFormatPr baseColWidth="10" defaultColWidth="8.83203125" defaultRowHeight="10" x14ac:dyDescent="0"/>
  <cols>
    <col min="1" max="1" width="30.6640625" style="149" customWidth="1"/>
    <col min="2" max="2" width="3" style="149" customWidth="1"/>
    <col min="3" max="14" width="8.33203125" style="149" customWidth="1"/>
    <col min="15" max="17" width="9.33203125" style="149" customWidth="1"/>
    <col min="18" max="16384" width="8.83203125" style="149"/>
  </cols>
  <sheetData>
    <row r="1" spans="1:18" ht="13.5" customHeight="1">
      <c r="A1" s="147" t="str">
        <f>muni&amp;" - "&amp;TableA26</f>
        <v>NW373 Rustenburg - Supporting Table SA26 Consolidated budgeted monthly revenue and expenditure (municipal vote)</v>
      </c>
      <c r="B1" s="147"/>
      <c r="C1" s="147"/>
      <c r="D1" s="147"/>
      <c r="E1" s="147"/>
      <c r="F1" s="147"/>
      <c r="G1" s="147"/>
      <c r="H1" s="147"/>
      <c r="I1" s="147"/>
      <c r="J1" s="147"/>
      <c r="K1" s="147"/>
      <c r="L1" s="147"/>
      <c r="M1" s="147"/>
      <c r="N1" s="147"/>
      <c r="O1" s="147"/>
      <c r="P1" s="147"/>
      <c r="Q1" s="147"/>
    </row>
    <row r="2" spans="1:18" ht="28.5" customHeight="1">
      <c r="A2" s="985" t="str">
        <f>desc</f>
        <v>Description</v>
      </c>
      <c r="B2" s="997" t="str">
        <f>head27</f>
        <v>Ref</v>
      </c>
      <c r="C2" s="2765" t="str">
        <f>Head9</f>
        <v>Budget Year 2013/14</v>
      </c>
      <c r="D2" s="2766"/>
      <c r="E2" s="2766"/>
      <c r="F2" s="2766"/>
      <c r="G2" s="2766"/>
      <c r="H2" s="2766"/>
      <c r="I2" s="2766"/>
      <c r="J2" s="2766"/>
      <c r="K2" s="2766"/>
      <c r="L2" s="2766"/>
      <c r="M2" s="2766"/>
      <c r="N2" s="2766"/>
      <c r="O2" s="2762" t="s">
        <v>1802</v>
      </c>
      <c r="P2" s="2763"/>
      <c r="Q2" s="2764"/>
    </row>
    <row r="3" spans="1:18" ht="20">
      <c r="A3" s="992" t="s">
        <v>667</v>
      </c>
      <c r="B3" s="998"/>
      <c r="C3" s="299" t="s">
        <v>725</v>
      </c>
      <c r="D3" s="928" t="s">
        <v>1412</v>
      </c>
      <c r="E3" s="928" t="s">
        <v>1413</v>
      </c>
      <c r="F3" s="928" t="s">
        <v>1414</v>
      </c>
      <c r="G3" s="928" t="s">
        <v>706</v>
      </c>
      <c r="H3" s="928" t="s">
        <v>707</v>
      </c>
      <c r="I3" s="928" t="s">
        <v>708</v>
      </c>
      <c r="J3" s="928" t="s">
        <v>709</v>
      </c>
      <c r="K3" s="928" t="s">
        <v>710</v>
      </c>
      <c r="L3" s="928" t="s">
        <v>711</v>
      </c>
      <c r="M3" s="928" t="s">
        <v>712</v>
      </c>
      <c r="N3" s="391" t="s">
        <v>713</v>
      </c>
      <c r="O3" s="299" t="str">
        <f>Head9</f>
        <v>Budget Year 2013/14</v>
      </c>
      <c r="P3" s="390" t="str">
        <f>Head10</f>
        <v>Budget Year +1 2014/15</v>
      </c>
      <c r="Q3" s="391" t="str">
        <f>Head11</f>
        <v>Budget Year +2 2015/16</v>
      </c>
    </row>
    <row r="4" spans="1:18">
      <c r="A4" s="249" t="str">
        <f>'A3-FinPerf V'!A4</f>
        <v>Revenue by Vote</v>
      </c>
      <c r="B4" s="867"/>
      <c r="C4" s="317"/>
      <c r="D4" s="315"/>
      <c r="E4" s="315"/>
      <c r="F4" s="315"/>
      <c r="G4" s="315"/>
      <c r="H4" s="315"/>
      <c r="I4" s="315"/>
      <c r="J4" s="315"/>
      <c r="K4" s="315"/>
      <c r="L4" s="315"/>
      <c r="M4" s="315"/>
      <c r="N4" s="993"/>
      <c r="O4" s="406"/>
      <c r="P4" s="315"/>
      <c r="Q4" s="318"/>
    </row>
    <row r="5" spans="1:18" ht="11.25" customHeight="1">
      <c r="A5" s="1174" t="str">
        <f>'A3-FinPerf V'!A5</f>
        <v>Vote 1 - EXECUTIVE MAYOR</v>
      </c>
      <c r="B5" s="864"/>
      <c r="C5" s="1636">
        <v>12658401</v>
      </c>
      <c r="D5" s="1615">
        <v>13543083</v>
      </c>
      <c r="E5" s="1615">
        <v>14021520</v>
      </c>
      <c r="F5" s="1615">
        <v>13625012</v>
      </c>
      <c r="G5" s="1615">
        <v>15998021</v>
      </c>
      <c r="H5" s="1615">
        <v>18202102</v>
      </c>
      <c r="I5" s="1615">
        <v>19958200</v>
      </c>
      <c r="J5" s="1615">
        <v>20000120</v>
      </c>
      <c r="K5" s="1615">
        <v>19021587</v>
      </c>
      <c r="L5" s="1615">
        <v>18598708</v>
      </c>
      <c r="M5" s="1615">
        <v>20230980</v>
      </c>
      <c r="N5" s="808">
        <f t="shared" ref="N5:N10" si="0">O5-SUM(C5:M5)</f>
        <v>18338353</v>
      </c>
      <c r="O5" s="206">
        <f>'A3-FinPerf V'!I5</f>
        <v>204196087</v>
      </c>
      <c r="P5" s="203">
        <f>'A3-FinPerf V'!J5</f>
        <v>183345140</v>
      </c>
      <c r="Q5" s="204">
        <f>'A3-FinPerf V'!K5</f>
        <v>171297488</v>
      </c>
    </row>
    <row r="6" spans="1:18" ht="11.25" customHeight="1">
      <c r="A6" s="1174" t="str">
        <f>'A3-FinPerf V'!A6</f>
        <v>Vote 2 - MUNICIPAL MANAGER</v>
      </c>
      <c r="B6" s="864"/>
      <c r="C6" s="1636">
        <v>2955421</v>
      </c>
      <c r="D6" s="1615">
        <v>2700210</v>
      </c>
      <c r="E6" s="1615">
        <v>3452980</v>
      </c>
      <c r="F6" s="1615">
        <v>3361028</v>
      </c>
      <c r="G6" s="1615">
        <v>2933800</v>
      </c>
      <c r="H6" s="1615">
        <v>3201510</v>
      </c>
      <c r="I6" s="1615">
        <v>3350124</v>
      </c>
      <c r="J6" s="1615">
        <v>2982301</v>
      </c>
      <c r="K6" s="1615">
        <v>3210690</v>
      </c>
      <c r="L6" s="1615">
        <v>3922401</v>
      </c>
      <c r="M6" s="1615">
        <v>3820120</v>
      </c>
      <c r="N6" s="808">
        <f t="shared" si="0"/>
        <v>4452756</v>
      </c>
      <c r="O6" s="206">
        <f>'A3-FinPerf V'!I6</f>
        <v>40343341</v>
      </c>
      <c r="P6" s="207">
        <f>'A3-FinPerf V'!J6</f>
        <v>23627783</v>
      </c>
      <c r="Q6" s="264">
        <f>'A3-FinPerf V'!K6</f>
        <v>24704749</v>
      </c>
    </row>
    <row r="7" spans="1:18" ht="11.25" customHeight="1">
      <c r="A7" s="1174" t="str">
        <f>'A3-FinPerf V'!A7</f>
        <v>Vote 3 - CORPORATE SUPPORT SERVICES</v>
      </c>
      <c r="B7" s="864"/>
      <c r="C7" s="1636">
        <v>170021</v>
      </c>
      <c r="D7" s="1615">
        <v>182001</v>
      </c>
      <c r="E7" s="1615">
        <v>168057</v>
      </c>
      <c r="F7" s="1615">
        <v>191021</v>
      </c>
      <c r="G7" s="1615">
        <v>176145</v>
      </c>
      <c r="H7" s="1615">
        <v>188240</v>
      </c>
      <c r="I7" s="1615">
        <v>193201</v>
      </c>
      <c r="J7" s="1615">
        <v>190020</v>
      </c>
      <c r="K7" s="1615">
        <v>179898</v>
      </c>
      <c r="L7" s="1615">
        <v>195701</v>
      </c>
      <c r="M7" s="1615">
        <v>269801</v>
      </c>
      <c r="N7" s="808">
        <f t="shared" si="0"/>
        <v>196081</v>
      </c>
      <c r="O7" s="206">
        <f>'A3-FinPerf V'!I7</f>
        <v>2300187</v>
      </c>
      <c r="P7" s="207">
        <f>'A3-FinPerf V'!J7</f>
        <v>2413210</v>
      </c>
      <c r="Q7" s="264">
        <f>'A3-FinPerf V'!K7</f>
        <v>2478558</v>
      </c>
    </row>
    <row r="8" spans="1:18" ht="11.25" customHeight="1">
      <c r="A8" s="1174" t="str">
        <f>'A3-FinPerf V'!A8</f>
        <v>Vote 4 - BUDGET AND TREASURY OFFICE</v>
      </c>
      <c r="B8" s="864"/>
      <c r="C8" s="1636">
        <v>20865166</v>
      </c>
      <c r="D8" s="1615">
        <v>22980120</v>
      </c>
      <c r="E8" s="1615">
        <v>23201248</v>
      </c>
      <c r="F8" s="1615">
        <v>24980124</v>
      </c>
      <c r="G8" s="1615">
        <v>24852601</v>
      </c>
      <c r="H8" s="1615">
        <v>22245900</v>
      </c>
      <c r="I8" s="1615">
        <v>22502140</v>
      </c>
      <c r="J8" s="1615">
        <v>25001598</v>
      </c>
      <c r="K8" s="1615">
        <v>26865166</v>
      </c>
      <c r="L8" s="1615">
        <v>24801258</v>
      </c>
      <c r="M8" s="1615">
        <v>25801200</v>
      </c>
      <c r="N8" s="808">
        <f t="shared" si="0"/>
        <v>-49954122</v>
      </c>
      <c r="O8" s="206">
        <f>'A3-FinPerf V'!I8</f>
        <v>214142399</v>
      </c>
      <c r="P8" s="207">
        <f>'A3-FinPerf V'!J8</f>
        <v>220404193</v>
      </c>
      <c r="Q8" s="264">
        <f>'A3-FinPerf V'!K8</f>
        <v>233836437</v>
      </c>
    </row>
    <row r="9" spans="1:18" ht="11.25" customHeight="1">
      <c r="A9" s="1174" t="str">
        <f>'A3-FinPerf V'!A9</f>
        <v>Vote 5 - PUBLIC SAFETY</v>
      </c>
      <c r="B9" s="864"/>
      <c r="C9" s="1636">
        <v>3021587</v>
      </c>
      <c r="D9" s="1615">
        <v>3201259</v>
      </c>
      <c r="E9" s="1615">
        <v>2980120</v>
      </c>
      <c r="F9" s="1615">
        <v>3452100</v>
      </c>
      <c r="G9" s="1615">
        <v>3562012</v>
      </c>
      <c r="H9" s="1615">
        <v>3625412</v>
      </c>
      <c r="I9" s="1615">
        <v>3198010</v>
      </c>
      <c r="J9" s="1615">
        <v>3298012</v>
      </c>
      <c r="K9" s="1615">
        <v>3452102</v>
      </c>
      <c r="L9" s="1615">
        <v>3850140</v>
      </c>
      <c r="M9" s="1615">
        <v>3580120</v>
      </c>
      <c r="N9" s="808">
        <f t="shared" si="0"/>
        <v>3758868</v>
      </c>
      <c r="O9" s="206">
        <f>'A3-FinPerf V'!I9</f>
        <v>40979742</v>
      </c>
      <c r="P9" s="207">
        <f>'A3-FinPerf V'!J9</f>
        <v>41845176</v>
      </c>
      <c r="Q9" s="264">
        <f>'A3-FinPerf V'!K9</f>
        <v>43758709</v>
      </c>
    </row>
    <row r="10" spans="1:18" ht="11.25" customHeight="1">
      <c r="A10" s="1174" t="str">
        <f>'A3-FinPerf V'!A10</f>
        <v>Vote 6 - PLANNING &amp; HUMAN SETTLEMENT</v>
      </c>
      <c r="B10" s="864"/>
      <c r="C10" s="1636">
        <v>6985701</v>
      </c>
      <c r="D10" s="1615">
        <v>7201201</v>
      </c>
      <c r="E10" s="1615">
        <v>7569801</v>
      </c>
      <c r="F10" s="1615">
        <v>10012410</v>
      </c>
      <c r="G10" s="1615">
        <v>9859200</v>
      </c>
      <c r="H10" s="1615">
        <v>10221048</v>
      </c>
      <c r="I10" s="1615">
        <v>9320180</v>
      </c>
      <c r="J10" s="1615">
        <v>9745250</v>
      </c>
      <c r="K10" s="1615">
        <v>8987012</v>
      </c>
      <c r="L10" s="1615">
        <v>9801204</v>
      </c>
      <c r="M10" s="1615">
        <v>10201578</v>
      </c>
      <c r="N10" s="808">
        <f t="shared" si="0"/>
        <v>8860010</v>
      </c>
      <c r="O10" s="206">
        <f>'A3-FinPerf V'!I10</f>
        <v>108764595</v>
      </c>
      <c r="P10" s="207">
        <f>'A3-FinPerf V'!J10</f>
        <v>60295329</v>
      </c>
      <c r="Q10" s="264">
        <f>'A3-FinPerf V'!K10</f>
        <v>10713627</v>
      </c>
    </row>
    <row r="11" spans="1:18" ht="11.25" customHeight="1">
      <c r="A11" s="1174" t="str">
        <f>'A3-FinPerf V'!A11</f>
        <v xml:space="preserve">Vote 7 - LOCAL ECONOMIC DEVELOPMENT </v>
      </c>
      <c r="B11" s="864"/>
      <c r="C11" s="1636">
        <v>99587</v>
      </c>
      <c r="D11" s="1615">
        <v>132658</v>
      </c>
      <c r="E11" s="1615">
        <v>298571</v>
      </c>
      <c r="F11" s="1615">
        <v>320158</v>
      </c>
      <c r="G11" s="1615">
        <v>332650</v>
      </c>
      <c r="H11" s="1615">
        <v>290129</v>
      </c>
      <c r="I11" s="1615">
        <v>350147</v>
      </c>
      <c r="J11" s="1615">
        <v>320188</v>
      </c>
      <c r="K11" s="1615">
        <v>312009</v>
      </c>
      <c r="L11" s="1615">
        <v>358100</v>
      </c>
      <c r="M11" s="1615">
        <v>380240</v>
      </c>
      <c r="N11" s="808">
        <f>O11-SUM(C11:M11)</f>
        <v>221033</v>
      </c>
      <c r="O11" s="206">
        <f>'A3-FinPerf V'!I11</f>
        <v>3415470</v>
      </c>
      <c r="P11" s="207">
        <f>'A3-FinPerf V'!J11</f>
        <v>3589848</v>
      </c>
      <c r="Q11" s="264">
        <f>'A3-FinPerf V'!K11</f>
        <v>3725995</v>
      </c>
    </row>
    <row r="12" spans="1:18" ht="11.25" customHeight="1">
      <c r="A12" s="1174" t="str">
        <f>'A3-FinPerf V'!A12</f>
        <v>Vote 8 - COMMUNITY DEVELOPMENT</v>
      </c>
      <c r="B12" s="864"/>
      <c r="C12" s="1636">
        <v>492501</v>
      </c>
      <c r="D12" s="1615">
        <v>502401</v>
      </c>
      <c r="E12" s="1615">
        <v>483202</v>
      </c>
      <c r="F12" s="1615">
        <v>435283</v>
      </c>
      <c r="G12" s="1615">
        <v>490124</v>
      </c>
      <c r="H12" s="1615">
        <v>420155</v>
      </c>
      <c r="I12" s="1615">
        <v>427256</v>
      </c>
      <c r="J12" s="1615">
        <v>485477</v>
      </c>
      <c r="K12" s="1615">
        <v>401288</v>
      </c>
      <c r="L12" s="1615">
        <v>484892</v>
      </c>
      <c r="M12" s="1615">
        <v>437589</v>
      </c>
      <c r="N12" s="808">
        <f>O12-SUM(C12:M12)</f>
        <v>76969</v>
      </c>
      <c r="O12" s="206">
        <f>'A3-FinPerf V'!I12</f>
        <v>5137137</v>
      </c>
      <c r="P12" s="207">
        <f>'A3-FinPerf V'!J12</f>
        <v>5331053</v>
      </c>
      <c r="Q12" s="264">
        <f>'A3-FinPerf V'!K12</f>
        <v>5402910</v>
      </c>
    </row>
    <row r="13" spans="1:18" ht="11.25" customHeight="1">
      <c r="A13" s="1174" t="str">
        <f>'A3-FinPerf V'!A13</f>
        <v>Vote 9 - TECHNICAL AND INFRASTRUCTURE</v>
      </c>
      <c r="B13" s="864"/>
      <c r="C13" s="1636">
        <v>173792010</v>
      </c>
      <c r="D13" s="1615">
        <v>154621128</v>
      </c>
      <c r="E13" s="1615">
        <v>150179201</v>
      </c>
      <c r="F13" s="1615">
        <v>156245321</v>
      </c>
      <c r="G13" s="1615">
        <v>153025417</v>
      </c>
      <c r="H13" s="1615">
        <v>172548026</v>
      </c>
      <c r="I13" s="1615">
        <v>160794012</v>
      </c>
      <c r="J13" s="1615">
        <v>159227245</v>
      </c>
      <c r="K13" s="1615">
        <v>156990398</v>
      </c>
      <c r="L13" s="1615">
        <v>182983312</v>
      </c>
      <c r="M13" s="1615">
        <v>182799025</v>
      </c>
      <c r="N13" s="808">
        <f>O13-SUM(C13:M13)</f>
        <v>144112131</v>
      </c>
      <c r="O13" s="206">
        <f>'A3-FinPerf V'!I13</f>
        <v>1947317226</v>
      </c>
      <c r="P13" s="207">
        <f>'A3-FinPerf V'!J13</f>
        <v>2120116711</v>
      </c>
      <c r="Q13" s="264">
        <f>'A3-FinPerf V'!K13</f>
        <v>2339306970</v>
      </c>
      <c r="R13" s="370"/>
    </row>
    <row r="14" spans="1:18" ht="11.25" customHeight="1">
      <c r="A14" s="1174" t="str">
        <f>'A3-FinPerf V'!A14</f>
        <v>Vote 10 - RUSTENBURG WATER SERVICE TRUST</v>
      </c>
      <c r="B14" s="864"/>
      <c r="C14" s="1636">
        <v>13556583</v>
      </c>
      <c r="D14" s="1615">
        <v>12541520</v>
      </c>
      <c r="E14" s="1615">
        <v>14259987</v>
      </c>
      <c r="F14" s="1615">
        <v>15982451</v>
      </c>
      <c r="G14" s="1615">
        <v>12521421</v>
      </c>
      <c r="H14" s="1615">
        <v>10121471</v>
      </c>
      <c r="I14" s="1615">
        <v>13501201</v>
      </c>
      <c r="J14" s="1615">
        <v>14014741</v>
      </c>
      <c r="K14" s="1615">
        <v>13506987</v>
      </c>
      <c r="L14" s="1615">
        <v>12542158</v>
      </c>
      <c r="M14" s="1615">
        <v>15412120</v>
      </c>
      <c r="N14" s="808">
        <f t="shared" ref="N14:N19" si="1">O14-SUM(C14:M14)</f>
        <v>14718711</v>
      </c>
      <c r="O14" s="206">
        <f>'A3-FinPerf V'!I14</f>
        <v>162679351</v>
      </c>
      <c r="P14" s="207">
        <f>'A3-FinPerf V'!J14</f>
        <v>173253508</v>
      </c>
      <c r="Q14" s="264">
        <f>'A3-FinPerf V'!K14</f>
        <v>236881391</v>
      </c>
      <c r="R14" s="370"/>
    </row>
    <row r="15" spans="1:18" ht="11.25" customHeight="1">
      <c r="A15" s="1174" t="str">
        <f>'A3-FinPerf V'!A15</f>
        <v>Vote 11 - [NAME OF VOTE 11]</v>
      </c>
      <c r="B15" s="864"/>
      <c r="C15" s="1636"/>
      <c r="D15" s="1615"/>
      <c r="E15" s="1615"/>
      <c r="F15" s="1615"/>
      <c r="G15" s="1615"/>
      <c r="H15" s="1615"/>
      <c r="I15" s="1615"/>
      <c r="J15" s="1615"/>
      <c r="K15" s="1615"/>
      <c r="L15" s="1615"/>
      <c r="M15" s="1615"/>
      <c r="N15" s="808">
        <f t="shared" si="1"/>
        <v>0</v>
      </c>
      <c r="O15" s="206">
        <f>'A3-FinPerf V'!I15</f>
        <v>0</v>
      </c>
      <c r="P15" s="207">
        <f>'A3-FinPerf V'!J15</f>
        <v>0</v>
      </c>
      <c r="Q15" s="264">
        <f>'A3-FinPerf V'!K15</f>
        <v>0</v>
      </c>
      <c r="R15" s="370"/>
    </row>
    <row r="16" spans="1:18" ht="11.25" customHeight="1">
      <c r="A16" s="1174" t="str">
        <f>'A3-FinPerf V'!A16</f>
        <v>Vote 12 - [NAME OF VOTE 12]</v>
      </c>
      <c r="B16" s="864"/>
      <c r="C16" s="1636"/>
      <c r="D16" s="1615"/>
      <c r="E16" s="1615"/>
      <c r="F16" s="1615"/>
      <c r="G16" s="1615"/>
      <c r="H16" s="1615"/>
      <c r="I16" s="1615"/>
      <c r="J16" s="1615"/>
      <c r="K16" s="1615"/>
      <c r="L16" s="1615"/>
      <c r="M16" s="1615"/>
      <c r="N16" s="808">
        <f t="shared" si="1"/>
        <v>0</v>
      </c>
      <c r="O16" s="206">
        <f>'A3-FinPerf V'!I16</f>
        <v>0</v>
      </c>
      <c r="P16" s="207">
        <f>'A3-FinPerf V'!J16</f>
        <v>0</v>
      </c>
      <c r="Q16" s="264">
        <f>'A3-FinPerf V'!K16</f>
        <v>0</v>
      </c>
      <c r="R16" s="370"/>
    </row>
    <row r="17" spans="1:18" ht="11.25" customHeight="1">
      <c r="A17" s="1174" t="str">
        <f>'A3-FinPerf V'!A17</f>
        <v>Vote 13 - [NAME OF VOTE 13]</v>
      </c>
      <c r="B17" s="864"/>
      <c r="C17" s="1636"/>
      <c r="D17" s="1615"/>
      <c r="E17" s="1615"/>
      <c r="F17" s="1615"/>
      <c r="G17" s="1615"/>
      <c r="H17" s="1615"/>
      <c r="I17" s="1615"/>
      <c r="J17" s="1615"/>
      <c r="K17" s="1615"/>
      <c r="L17" s="1615"/>
      <c r="M17" s="1615"/>
      <c r="N17" s="808">
        <f t="shared" si="1"/>
        <v>0</v>
      </c>
      <c r="O17" s="206">
        <f>'A3-FinPerf V'!I17</f>
        <v>0</v>
      </c>
      <c r="P17" s="207">
        <f>'A3-FinPerf V'!J17</f>
        <v>0</v>
      </c>
      <c r="Q17" s="264">
        <f>'A3-FinPerf V'!K17</f>
        <v>0</v>
      </c>
      <c r="R17" s="370"/>
    </row>
    <row r="18" spans="1:18" ht="11.25" customHeight="1">
      <c r="A18" s="1174" t="str">
        <f>'A3-FinPerf V'!A18</f>
        <v>Vote 14 - [NAME OF VOTE 14]</v>
      </c>
      <c r="B18" s="864"/>
      <c r="C18" s="1636"/>
      <c r="D18" s="1615"/>
      <c r="E18" s="1615"/>
      <c r="F18" s="1615"/>
      <c r="G18" s="1615"/>
      <c r="H18" s="1615"/>
      <c r="I18" s="1615"/>
      <c r="J18" s="1615"/>
      <c r="K18" s="1615"/>
      <c r="L18" s="1615"/>
      <c r="M18" s="1615"/>
      <c r="N18" s="808">
        <f t="shared" si="1"/>
        <v>0</v>
      </c>
      <c r="O18" s="206">
        <f>'A3-FinPerf V'!I18</f>
        <v>0</v>
      </c>
      <c r="P18" s="207">
        <f>'A3-FinPerf V'!J18</f>
        <v>0</v>
      </c>
      <c r="Q18" s="264">
        <f>'A3-FinPerf V'!K18</f>
        <v>0</v>
      </c>
      <c r="R18" s="370"/>
    </row>
    <row r="19" spans="1:18" ht="11.25" customHeight="1">
      <c r="A19" s="1174" t="str">
        <f>'A3-FinPerf V'!A19</f>
        <v>Vote 15 - [NAME OF VOTE 15]</v>
      </c>
      <c r="B19" s="864"/>
      <c r="C19" s="1636"/>
      <c r="D19" s="1615"/>
      <c r="E19" s="1615"/>
      <c r="F19" s="1615"/>
      <c r="G19" s="1615"/>
      <c r="H19" s="1615"/>
      <c r="I19" s="1615"/>
      <c r="J19" s="1615"/>
      <c r="K19" s="1615"/>
      <c r="L19" s="1615"/>
      <c r="M19" s="1615"/>
      <c r="N19" s="808">
        <f t="shared" si="1"/>
        <v>0</v>
      </c>
      <c r="O19" s="206">
        <f>'A3-FinPerf V'!I19</f>
        <v>0</v>
      </c>
      <c r="P19" s="207">
        <f>'A3-FinPerf V'!J19</f>
        <v>0</v>
      </c>
      <c r="Q19" s="264">
        <f>'A3-FinPerf V'!K19</f>
        <v>0</v>
      </c>
      <c r="R19" s="370"/>
    </row>
    <row r="20" spans="1:18">
      <c r="A20" s="265" t="str">
        <f>'A3-FinPerf V'!A20</f>
        <v>Total Revenue by Vote</v>
      </c>
      <c r="B20" s="865"/>
      <c r="C20" s="215">
        <f t="shared" ref="C20:Q20" si="2">SUM(C5:C19)</f>
        <v>234596978</v>
      </c>
      <c r="D20" s="213">
        <f t="shared" si="2"/>
        <v>217605581</v>
      </c>
      <c r="E20" s="213">
        <f t="shared" si="2"/>
        <v>216614687</v>
      </c>
      <c r="F20" s="213">
        <f>SUM(F5:F19)</f>
        <v>228604908</v>
      </c>
      <c r="G20" s="213">
        <f t="shared" si="2"/>
        <v>223751391</v>
      </c>
      <c r="H20" s="213">
        <f t="shared" si="2"/>
        <v>241063993</v>
      </c>
      <c r="I20" s="213">
        <f t="shared" si="2"/>
        <v>233594471</v>
      </c>
      <c r="J20" s="213">
        <f t="shared" si="2"/>
        <v>235264952</v>
      </c>
      <c r="K20" s="213">
        <f t="shared" si="2"/>
        <v>232927137</v>
      </c>
      <c r="L20" s="213">
        <f t="shared" si="2"/>
        <v>257537874</v>
      </c>
      <c r="M20" s="213">
        <f t="shared" si="2"/>
        <v>262932773</v>
      </c>
      <c r="N20" s="866">
        <f t="shared" si="2"/>
        <v>144780790</v>
      </c>
      <c r="O20" s="216">
        <f t="shared" si="2"/>
        <v>2729275535</v>
      </c>
      <c r="P20" s="213">
        <f t="shared" si="2"/>
        <v>2834221951</v>
      </c>
      <c r="Q20" s="214">
        <f t="shared" si="2"/>
        <v>3072106834</v>
      </c>
      <c r="R20" s="370"/>
    </row>
    <row r="21" spans="1:18" ht="5" customHeight="1">
      <c r="A21" s="273"/>
      <c r="B21" s="864"/>
      <c r="C21" s="205"/>
      <c r="D21" s="203"/>
      <c r="E21" s="203"/>
      <c r="F21" s="203"/>
      <c r="G21" s="203"/>
      <c r="H21" s="203"/>
      <c r="I21" s="203"/>
      <c r="J21" s="203"/>
      <c r="K21" s="203"/>
      <c r="L21" s="203"/>
      <c r="M21" s="203"/>
      <c r="N21" s="808"/>
      <c r="O21" s="206"/>
      <c r="P21" s="203"/>
      <c r="Q21" s="204"/>
      <c r="R21" s="370"/>
    </row>
    <row r="22" spans="1:18">
      <c r="A22" s="249" t="str">
        <f>'A3-FinPerf V'!A22</f>
        <v>Expenditure by Vote to be appropriated</v>
      </c>
      <c r="B22" s="867"/>
      <c r="C22" s="205"/>
      <c r="D22" s="203"/>
      <c r="E22" s="203"/>
      <c r="F22" s="203"/>
      <c r="G22" s="203"/>
      <c r="H22" s="203"/>
      <c r="I22" s="203"/>
      <c r="J22" s="203"/>
      <c r="K22" s="203"/>
      <c r="L22" s="203"/>
      <c r="M22" s="203"/>
      <c r="N22" s="808"/>
      <c r="O22" s="206"/>
      <c r="P22" s="203"/>
      <c r="Q22" s="204"/>
      <c r="R22" s="370"/>
    </row>
    <row r="23" spans="1:18" ht="11.25" customHeight="1">
      <c r="A23" s="250" t="str">
        <f t="shared" ref="A23:A31" si="3">A5</f>
        <v>Vote 1 - EXECUTIVE MAYOR</v>
      </c>
      <c r="B23" s="864"/>
      <c r="C23" s="1636">
        <v>8264583</v>
      </c>
      <c r="D23" s="1615">
        <v>8248700</v>
      </c>
      <c r="E23" s="1615">
        <v>9535200</v>
      </c>
      <c r="F23" s="1615">
        <v>7524102</v>
      </c>
      <c r="G23" s="1615">
        <v>8215870</v>
      </c>
      <c r="H23" s="1615">
        <v>10587900</v>
      </c>
      <c r="I23" s="1615">
        <v>9985720</v>
      </c>
      <c r="J23" s="1615">
        <v>7145809</v>
      </c>
      <c r="K23" s="1615">
        <v>8598010</v>
      </c>
      <c r="L23" s="1615">
        <v>7352401</v>
      </c>
      <c r="M23" s="1615">
        <v>8248700</v>
      </c>
      <c r="N23" s="808">
        <f t="shared" ref="N23:N29" si="4">O23-SUM(C23:M23)</f>
        <v>8535103</v>
      </c>
      <c r="O23" s="206">
        <f>'A3-FinPerf V'!I23</f>
        <v>102242098</v>
      </c>
      <c r="P23" s="203">
        <f>'A3-FinPerf V'!J23</f>
        <v>107536567</v>
      </c>
      <c r="Q23" s="204">
        <f>'A3-FinPerf V'!K23</f>
        <v>115168100</v>
      </c>
      <c r="R23" s="370"/>
    </row>
    <row r="24" spans="1:18" ht="11.25" customHeight="1">
      <c r="A24" s="250" t="str">
        <f t="shared" si="3"/>
        <v>Vote 2 - MUNICIPAL MANAGER</v>
      </c>
      <c r="B24" s="864"/>
      <c r="C24" s="1636">
        <v>5873021</v>
      </c>
      <c r="D24" s="1615">
        <v>6210587</v>
      </c>
      <c r="E24" s="1615">
        <v>4989870</v>
      </c>
      <c r="F24" s="1615">
        <v>4680125</v>
      </c>
      <c r="G24" s="1615">
        <v>5298074</v>
      </c>
      <c r="H24" s="1615">
        <v>6025987</v>
      </c>
      <c r="I24" s="1615">
        <v>6258901</v>
      </c>
      <c r="J24" s="1615">
        <v>5873083</v>
      </c>
      <c r="K24" s="1615">
        <v>5235987</v>
      </c>
      <c r="L24" s="1615">
        <v>6021580</v>
      </c>
      <c r="M24" s="1615">
        <v>7901258</v>
      </c>
      <c r="N24" s="808">
        <f t="shared" si="4"/>
        <v>5945814</v>
      </c>
      <c r="O24" s="206">
        <f>'A3-FinPerf V'!I24</f>
        <v>70314287</v>
      </c>
      <c r="P24" s="203">
        <f>'A3-FinPerf V'!J24</f>
        <v>53576580</v>
      </c>
      <c r="Q24" s="204">
        <f>'A3-FinPerf V'!K24</f>
        <v>56467576</v>
      </c>
      <c r="R24" s="370"/>
    </row>
    <row r="25" spans="1:18" ht="11.25" customHeight="1">
      <c r="A25" s="250" t="str">
        <f t="shared" si="3"/>
        <v>Vote 3 - CORPORATE SUPPORT SERVICES</v>
      </c>
      <c r="B25" s="864"/>
      <c r="C25" s="1636">
        <v>6921587</v>
      </c>
      <c r="D25" s="1615">
        <v>7373584</v>
      </c>
      <c r="E25" s="1615">
        <v>5902147</v>
      </c>
      <c r="F25" s="1615">
        <v>6159870</v>
      </c>
      <c r="G25" s="1615">
        <v>6625870</v>
      </c>
      <c r="H25" s="1615">
        <v>5268010</v>
      </c>
      <c r="I25" s="1615">
        <v>5487000</v>
      </c>
      <c r="J25" s="1615">
        <v>5980178</v>
      </c>
      <c r="K25" s="1615">
        <v>6470015</v>
      </c>
      <c r="L25" s="1615">
        <v>6890215</v>
      </c>
      <c r="M25" s="1615">
        <v>6358120</v>
      </c>
      <c r="N25" s="808">
        <f t="shared" si="4"/>
        <v>7039229</v>
      </c>
      <c r="O25" s="206">
        <f>'A3-FinPerf V'!I25</f>
        <v>76475825</v>
      </c>
      <c r="P25" s="203">
        <f>'A3-FinPerf V'!J25</f>
        <v>80691506</v>
      </c>
      <c r="Q25" s="204">
        <f>'A3-FinPerf V'!K25</f>
        <v>85291148</v>
      </c>
      <c r="R25" s="370"/>
    </row>
    <row r="26" spans="1:18" ht="11.25" customHeight="1">
      <c r="A26" s="250" t="str">
        <f t="shared" si="3"/>
        <v>Vote 4 - BUDGET AND TREASURY OFFICE</v>
      </c>
      <c r="B26" s="864"/>
      <c r="C26" s="1636">
        <v>15931166</v>
      </c>
      <c r="D26" s="1615">
        <v>14021587</v>
      </c>
      <c r="E26" s="1615">
        <v>16801247</v>
      </c>
      <c r="F26" s="1615">
        <v>16251040</v>
      </c>
      <c r="G26" s="1615">
        <v>15024870</v>
      </c>
      <c r="H26" s="1615">
        <v>14509870</v>
      </c>
      <c r="I26" s="1615">
        <v>16890147</v>
      </c>
      <c r="J26" s="1615">
        <v>15932580</v>
      </c>
      <c r="K26" s="1615">
        <v>14988987</v>
      </c>
      <c r="L26" s="1615">
        <v>15201209</v>
      </c>
      <c r="M26" s="1615">
        <v>14987026</v>
      </c>
      <c r="N26" s="808">
        <f t="shared" si="4"/>
        <v>11534380</v>
      </c>
      <c r="O26" s="206">
        <f>'A3-FinPerf V'!I26</f>
        <v>182074109</v>
      </c>
      <c r="P26" s="203">
        <f>'A3-FinPerf V'!J26</f>
        <v>174164237</v>
      </c>
      <c r="Q26" s="204">
        <f>'A3-FinPerf V'!K26</f>
        <v>165641919</v>
      </c>
      <c r="R26" s="370"/>
    </row>
    <row r="27" spans="1:18" ht="11.25" customHeight="1">
      <c r="A27" s="250" t="str">
        <f t="shared" si="3"/>
        <v>Vote 5 - PUBLIC SAFETY</v>
      </c>
      <c r="B27" s="864"/>
      <c r="C27" s="1636">
        <v>11201440</v>
      </c>
      <c r="D27" s="1615">
        <v>12980120</v>
      </c>
      <c r="E27" s="1615">
        <v>10125987</v>
      </c>
      <c r="F27" s="1615">
        <v>9898790</v>
      </c>
      <c r="G27" s="1615">
        <v>12598702</v>
      </c>
      <c r="H27" s="1615">
        <v>13801247</v>
      </c>
      <c r="I27" s="1615">
        <v>13021104</v>
      </c>
      <c r="J27" s="1615">
        <v>11802140</v>
      </c>
      <c r="K27" s="1615">
        <v>10980248</v>
      </c>
      <c r="L27" s="1615">
        <v>7598014</v>
      </c>
      <c r="M27" s="1615">
        <v>6320580</v>
      </c>
      <c r="N27" s="808">
        <f t="shared" si="4"/>
        <v>19499187</v>
      </c>
      <c r="O27" s="206">
        <f>'A3-FinPerf V'!I27</f>
        <v>139827559</v>
      </c>
      <c r="P27" s="203">
        <f>'A3-FinPerf V'!J27</f>
        <v>148107192</v>
      </c>
      <c r="Q27" s="204">
        <f>'A3-FinPerf V'!K27</f>
        <v>156179430</v>
      </c>
      <c r="R27" s="370"/>
    </row>
    <row r="28" spans="1:18" ht="11.25" customHeight="1">
      <c r="A28" s="250" t="str">
        <f t="shared" si="3"/>
        <v>Vote 6 - PLANNING &amp; HUMAN SETTLEMENT</v>
      </c>
      <c r="B28" s="864"/>
      <c r="C28" s="1636">
        <v>3801210</v>
      </c>
      <c r="D28" s="1615">
        <v>3398782</v>
      </c>
      <c r="E28" s="1615">
        <v>2880870</v>
      </c>
      <c r="F28" s="1615">
        <v>3258701</v>
      </c>
      <c r="G28" s="1615">
        <v>3701289</v>
      </c>
      <c r="H28" s="1615">
        <v>3001248</v>
      </c>
      <c r="I28" s="1615">
        <v>3282547</v>
      </c>
      <c r="J28" s="1615">
        <v>3959801</v>
      </c>
      <c r="K28" s="1615">
        <v>4358970</v>
      </c>
      <c r="L28" s="1615">
        <v>3280598</v>
      </c>
      <c r="M28" s="1615">
        <v>4002158</v>
      </c>
      <c r="N28" s="808">
        <f t="shared" si="4"/>
        <v>13084498</v>
      </c>
      <c r="O28" s="206">
        <f>'A3-FinPerf V'!I28</f>
        <v>52010672</v>
      </c>
      <c r="P28" s="203">
        <f>'A3-FinPerf V'!J28</f>
        <v>52242203</v>
      </c>
      <c r="Q28" s="204">
        <f>'A3-FinPerf V'!K28</f>
        <v>55183631</v>
      </c>
      <c r="R28" s="370"/>
    </row>
    <row r="29" spans="1:18" ht="11.25" customHeight="1">
      <c r="A29" s="250" t="str">
        <f t="shared" si="3"/>
        <v xml:space="preserve">Vote 7 - LOCAL ECONOMIC DEVELOPMENT </v>
      </c>
      <c r="B29" s="864"/>
      <c r="C29" s="1636">
        <v>1925689</v>
      </c>
      <c r="D29" s="1615">
        <v>1762666</v>
      </c>
      <c r="E29" s="1615">
        <v>1725468</v>
      </c>
      <c r="F29" s="1615">
        <v>1802458</v>
      </c>
      <c r="G29" s="1615">
        <v>1626890</v>
      </c>
      <c r="H29" s="1615">
        <v>1689700</v>
      </c>
      <c r="I29" s="1615">
        <v>1720158</v>
      </c>
      <c r="J29" s="1615">
        <v>1502487</v>
      </c>
      <c r="K29" s="1615">
        <v>1595872</v>
      </c>
      <c r="L29" s="1615">
        <v>2689014</v>
      </c>
      <c r="M29" s="1615">
        <v>2700254</v>
      </c>
      <c r="N29" s="808">
        <f t="shared" si="4"/>
        <v>3586958</v>
      </c>
      <c r="O29" s="206">
        <f>'A3-FinPerf V'!I29</f>
        <v>24327614</v>
      </c>
      <c r="P29" s="203">
        <f>'A3-FinPerf V'!J29</f>
        <v>20446856</v>
      </c>
      <c r="Q29" s="204">
        <f>'A3-FinPerf V'!K29</f>
        <v>22673438</v>
      </c>
      <c r="R29" s="370"/>
    </row>
    <row r="30" spans="1:18" ht="11.25" customHeight="1">
      <c r="A30" s="250" t="str">
        <f t="shared" si="3"/>
        <v>Vote 8 - COMMUNITY DEVELOPMENT</v>
      </c>
      <c r="B30" s="864"/>
      <c r="C30" s="1636">
        <v>10884166</v>
      </c>
      <c r="D30" s="1615">
        <v>9875920</v>
      </c>
      <c r="E30" s="1615">
        <v>7214859</v>
      </c>
      <c r="F30" s="1615">
        <v>8562879</v>
      </c>
      <c r="G30" s="1615">
        <v>7750124</v>
      </c>
      <c r="H30" s="1615">
        <v>8980014</v>
      </c>
      <c r="I30" s="1615">
        <v>10025870</v>
      </c>
      <c r="J30" s="1615">
        <v>7980140</v>
      </c>
      <c r="K30" s="1615">
        <v>8201870</v>
      </c>
      <c r="L30" s="1615">
        <v>10502780</v>
      </c>
      <c r="M30" s="1615">
        <v>9857036</v>
      </c>
      <c r="N30" s="808">
        <f>O30-SUM(C30:M30)</f>
        <v>64661749</v>
      </c>
      <c r="O30" s="206">
        <f>'A3-FinPerf V'!I30</f>
        <v>164497407</v>
      </c>
      <c r="P30" s="203">
        <f>'A3-FinPerf V'!J30</f>
        <v>171829891</v>
      </c>
      <c r="Q30" s="204">
        <f>'A3-FinPerf V'!K30</f>
        <v>180692280</v>
      </c>
      <c r="R30" s="370"/>
    </row>
    <row r="31" spans="1:18" ht="11.25" customHeight="1">
      <c r="A31" s="250" t="str">
        <f t="shared" si="3"/>
        <v>Vote 9 - TECHNICAL AND INFRASTRUCTURE</v>
      </c>
      <c r="B31" s="864"/>
      <c r="C31" s="1636">
        <v>107575499</v>
      </c>
      <c r="D31" s="1615">
        <v>131909325</v>
      </c>
      <c r="E31" s="1615">
        <v>139039020</v>
      </c>
      <c r="F31" s="1615">
        <v>120421354</v>
      </c>
      <c r="G31" s="1615">
        <v>147559021</v>
      </c>
      <c r="H31" s="1615">
        <v>161305479</v>
      </c>
      <c r="I31" s="1615">
        <v>153849235</v>
      </c>
      <c r="J31" s="1615">
        <v>157025001</v>
      </c>
      <c r="K31" s="1615">
        <v>148234198</v>
      </c>
      <c r="L31" s="1615">
        <v>143039258</v>
      </c>
      <c r="M31" s="1615">
        <v>139067345</v>
      </c>
      <c r="N31" s="808">
        <f>O31-SUM(C31:M31)</f>
        <v>205884039</v>
      </c>
      <c r="O31" s="206">
        <f>'A3-FinPerf V'!I31</f>
        <v>1754908774</v>
      </c>
      <c r="P31" s="203">
        <f>'A3-FinPerf V'!J31</f>
        <v>1841138207</v>
      </c>
      <c r="Q31" s="204">
        <f>'A3-FinPerf V'!K31</f>
        <v>1949643433.5</v>
      </c>
      <c r="R31" s="370"/>
    </row>
    <row r="32" spans="1:18" ht="11.25" customHeight="1">
      <c r="A32" s="250" t="str">
        <f t="shared" ref="A32:A37" si="5">A14</f>
        <v>Vote 10 - RUSTENBURG WATER SERVICE TRUST</v>
      </c>
      <c r="B32" s="864"/>
      <c r="C32" s="1636">
        <v>10259875</v>
      </c>
      <c r="D32" s="1615">
        <v>11205987</v>
      </c>
      <c r="E32" s="1615">
        <v>12259821</v>
      </c>
      <c r="F32" s="1615">
        <v>13421011</v>
      </c>
      <c r="G32" s="1615">
        <v>11524512</v>
      </c>
      <c r="H32" s="1615">
        <v>15024870</v>
      </c>
      <c r="I32" s="1615">
        <v>10547898</v>
      </c>
      <c r="J32" s="1615">
        <v>11598587</v>
      </c>
      <c r="K32" s="1615">
        <v>12985754</v>
      </c>
      <c r="L32" s="1615">
        <v>11821010</v>
      </c>
      <c r="M32" s="1615">
        <v>10125421</v>
      </c>
      <c r="N32" s="808">
        <f t="shared" ref="N32:N37" si="6">O32-SUM(C32:M32)</f>
        <v>13341108</v>
      </c>
      <c r="O32" s="206">
        <f>'A3-FinPerf V'!I32</f>
        <v>144115854</v>
      </c>
      <c r="P32" s="203">
        <f>'A3-FinPerf V'!J32</f>
        <v>148815408</v>
      </c>
      <c r="Q32" s="204">
        <f>'A3-FinPerf V'!K32</f>
        <v>193699723</v>
      </c>
      <c r="R32" s="370"/>
    </row>
    <row r="33" spans="1:18" ht="11.25" customHeight="1">
      <c r="A33" s="250" t="str">
        <f t="shared" si="5"/>
        <v>Vote 11 - [NAME OF VOTE 11]</v>
      </c>
      <c r="B33" s="864"/>
      <c r="C33" s="1636"/>
      <c r="D33" s="1615"/>
      <c r="E33" s="1615"/>
      <c r="F33" s="1615"/>
      <c r="G33" s="1615"/>
      <c r="H33" s="1615"/>
      <c r="I33" s="1615"/>
      <c r="J33" s="1615"/>
      <c r="K33" s="1615"/>
      <c r="L33" s="1615"/>
      <c r="M33" s="1615"/>
      <c r="N33" s="808">
        <f t="shared" si="6"/>
        <v>0</v>
      </c>
      <c r="O33" s="206">
        <f>'A3-FinPerf V'!I33</f>
        <v>0</v>
      </c>
      <c r="P33" s="203">
        <f>'A3-FinPerf V'!J33</f>
        <v>0</v>
      </c>
      <c r="Q33" s="204">
        <f>'A3-FinPerf V'!K33</f>
        <v>0</v>
      </c>
      <c r="R33" s="370"/>
    </row>
    <row r="34" spans="1:18" ht="11.25" customHeight="1">
      <c r="A34" s="250" t="str">
        <f t="shared" si="5"/>
        <v>Vote 12 - [NAME OF VOTE 12]</v>
      </c>
      <c r="B34" s="864"/>
      <c r="C34" s="1636"/>
      <c r="D34" s="1615"/>
      <c r="E34" s="1615"/>
      <c r="F34" s="1615"/>
      <c r="G34" s="1615"/>
      <c r="H34" s="1615"/>
      <c r="I34" s="1615"/>
      <c r="J34" s="1615"/>
      <c r="K34" s="1615"/>
      <c r="L34" s="1615"/>
      <c r="M34" s="1615"/>
      <c r="N34" s="808">
        <f t="shared" si="6"/>
        <v>0</v>
      </c>
      <c r="O34" s="206">
        <f>'A3-FinPerf V'!I34</f>
        <v>0</v>
      </c>
      <c r="P34" s="203">
        <f>'A3-FinPerf V'!J34</f>
        <v>0</v>
      </c>
      <c r="Q34" s="204">
        <f>'A3-FinPerf V'!K34</f>
        <v>0</v>
      </c>
      <c r="R34" s="370"/>
    </row>
    <row r="35" spans="1:18" ht="11.25" customHeight="1">
      <c r="A35" s="250" t="str">
        <f t="shared" si="5"/>
        <v>Vote 13 - [NAME OF VOTE 13]</v>
      </c>
      <c r="B35" s="864"/>
      <c r="C35" s="1636"/>
      <c r="D35" s="1615"/>
      <c r="E35" s="1615"/>
      <c r="F35" s="1615"/>
      <c r="G35" s="1615"/>
      <c r="H35" s="1615"/>
      <c r="I35" s="1615"/>
      <c r="J35" s="1615"/>
      <c r="K35" s="1615"/>
      <c r="L35" s="1615"/>
      <c r="M35" s="1615"/>
      <c r="N35" s="808">
        <f t="shared" si="6"/>
        <v>0</v>
      </c>
      <c r="O35" s="206">
        <f>'A3-FinPerf V'!I35</f>
        <v>0</v>
      </c>
      <c r="P35" s="203">
        <f>'A3-FinPerf V'!J35</f>
        <v>0</v>
      </c>
      <c r="Q35" s="204">
        <f>'A3-FinPerf V'!K35</f>
        <v>0</v>
      </c>
      <c r="R35" s="370"/>
    </row>
    <row r="36" spans="1:18" ht="11.25" customHeight="1">
      <c r="A36" s="250" t="str">
        <f t="shared" si="5"/>
        <v>Vote 14 - [NAME OF VOTE 14]</v>
      </c>
      <c r="B36" s="864"/>
      <c r="C36" s="1636"/>
      <c r="D36" s="1615"/>
      <c r="E36" s="1615"/>
      <c r="F36" s="1615"/>
      <c r="G36" s="1615"/>
      <c r="H36" s="1615"/>
      <c r="I36" s="1615"/>
      <c r="J36" s="1615"/>
      <c r="K36" s="1615"/>
      <c r="L36" s="1615"/>
      <c r="M36" s="1615"/>
      <c r="N36" s="808">
        <f t="shared" si="6"/>
        <v>0</v>
      </c>
      <c r="O36" s="206">
        <f>'A3-FinPerf V'!I36</f>
        <v>0</v>
      </c>
      <c r="P36" s="203">
        <f>'A3-FinPerf V'!J36</f>
        <v>0</v>
      </c>
      <c r="Q36" s="204">
        <f>'A3-FinPerf V'!K36</f>
        <v>0</v>
      </c>
      <c r="R36" s="370"/>
    </row>
    <row r="37" spans="1:18" ht="11.25" customHeight="1">
      <c r="A37" s="250" t="str">
        <f t="shared" si="5"/>
        <v>Vote 15 - [NAME OF VOTE 15]</v>
      </c>
      <c r="B37" s="864"/>
      <c r="C37" s="1636"/>
      <c r="D37" s="1615"/>
      <c r="E37" s="1615"/>
      <c r="F37" s="1615"/>
      <c r="G37" s="1615"/>
      <c r="H37" s="1615"/>
      <c r="I37" s="1615"/>
      <c r="J37" s="1615"/>
      <c r="K37" s="1615"/>
      <c r="L37" s="1615"/>
      <c r="M37" s="1615"/>
      <c r="N37" s="808">
        <f t="shared" si="6"/>
        <v>0</v>
      </c>
      <c r="O37" s="206">
        <f>'A3-FinPerf V'!I37</f>
        <v>0</v>
      </c>
      <c r="P37" s="203">
        <f>'A3-FinPerf V'!J37</f>
        <v>0</v>
      </c>
      <c r="Q37" s="204">
        <f>'A3-FinPerf V'!K37</f>
        <v>0</v>
      </c>
      <c r="R37" s="370"/>
    </row>
    <row r="38" spans="1:18">
      <c r="A38" s="265" t="str">
        <f>'A3-FinPerf V'!A38</f>
        <v>Total Expenditure by Vote</v>
      </c>
      <c r="B38" s="865"/>
      <c r="C38" s="215">
        <f>SUM(C23:C37)</f>
        <v>182638236</v>
      </c>
      <c r="D38" s="213">
        <f t="shared" ref="D38:N38" si="7">SUM(D23:D37)</f>
        <v>206987258</v>
      </c>
      <c r="E38" s="213">
        <f t="shared" si="7"/>
        <v>210474489</v>
      </c>
      <c r="F38" s="213">
        <f t="shared" si="7"/>
        <v>191980330</v>
      </c>
      <c r="G38" s="213">
        <f t="shared" si="7"/>
        <v>219925222</v>
      </c>
      <c r="H38" s="213">
        <f t="shared" si="7"/>
        <v>240194325</v>
      </c>
      <c r="I38" s="213">
        <f t="shared" si="7"/>
        <v>231068580</v>
      </c>
      <c r="J38" s="213">
        <f t="shared" si="7"/>
        <v>228799806</v>
      </c>
      <c r="K38" s="213">
        <f t="shared" si="7"/>
        <v>221649911</v>
      </c>
      <c r="L38" s="213">
        <f t="shared" si="7"/>
        <v>214396079</v>
      </c>
      <c r="M38" s="213">
        <f t="shared" si="7"/>
        <v>209567898</v>
      </c>
      <c r="N38" s="866">
        <f t="shared" si="7"/>
        <v>353112065</v>
      </c>
      <c r="O38" s="216">
        <f>SUM(O23:O37)</f>
        <v>2710794199</v>
      </c>
      <c r="P38" s="213">
        <f>SUM(P23:P37)</f>
        <v>2798548647</v>
      </c>
      <c r="Q38" s="214">
        <f>SUM(Q23:Q37)</f>
        <v>2980640678.5</v>
      </c>
      <c r="R38" s="370"/>
    </row>
    <row r="39" spans="1:18" ht="5" customHeight="1">
      <c r="A39" s="273"/>
      <c r="B39" s="864"/>
      <c r="C39" s="205"/>
      <c r="D39" s="203"/>
      <c r="E39" s="203"/>
      <c r="F39" s="203"/>
      <c r="G39" s="203"/>
      <c r="H39" s="203"/>
      <c r="I39" s="203"/>
      <c r="J39" s="203"/>
      <c r="K39" s="203"/>
      <c r="L39" s="203"/>
      <c r="M39" s="203"/>
      <c r="N39" s="808"/>
      <c r="O39" s="206"/>
      <c r="P39" s="203"/>
      <c r="Q39" s="204"/>
      <c r="R39" s="370"/>
    </row>
    <row r="40" spans="1:18">
      <c r="A40" s="868" t="str">
        <f>'A4-FinPerf RE'!A38&amp;" before assoc."</f>
        <v>Surplus/(Deficit) before assoc.</v>
      </c>
      <c r="B40" s="869"/>
      <c r="C40" s="215">
        <f t="shared" ref="C40:Q40" si="8">C20-C38</f>
        <v>51958742</v>
      </c>
      <c r="D40" s="213">
        <f t="shared" si="8"/>
        <v>10618323</v>
      </c>
      <c r="E40" s="213">
        <f t="shared" si="8"/>
        <v>6140198</v>
      </c>
      <c r="F40" s="213">
        <f t="shared" si="8"/>
        <v>36624578</v>
      </c>
      <c r="G40" s="213">
        <f t="shared" si="8"/>
        <v>3826169</v>
      </c>
      <c r="H40" s="213">
        <f t="shared" si="8"/>
        <v>869668</v>
      </c>
      <c r="I40" s="213">
        <f t="shared" si="8"/>
        <v>2525891</v>
      </c>
      <c r="J40" s="213">
        <f t="shared" si="8"/>
        <v>6465146</v>
      </c>
      <c r="K40" s="213">
        <f t="shared" si="8"/>
        <v>11277226</v>
      </c>
      <c r="L40" s="213">
        <f t="shared" si="8"/>
        <v>43141795</v>
      </c>
      <c r="M40" s="213">
        <f t="shared" si="8"/>
        <v>53364875</v>
      </c>
      <c r="N40" s="866">
        <f t="shared" si="8"/>
        <v>-208331275</v>
      </c>
      <c r="O40" s="216">
        <f t="shared" si="8"/>
        <v>18481336</v>
      </c>
      <c r="P40" s="213">
        <f t="shared" si="8"/>
        <v>35673304</v>
      </c>
      <c r="Q40" s="214">
        <f t="shared" si="8"/>
        <v>91466155.5</v>
      </c>
    </row>
    <row r="41" spans="1:18" ht="5" customHeight="1">
      <c r="A41" s="273"/>
      <c r="B41" s="864"/>
      <c r="C41" s="205"/>
      <c r="D41" s="203"/>
      <c r="E41" s="203"/>
      <c r="F41" s="203"/>
      <c r="G41" s="203"/>
      <c r="H41" s="203"/>
      <c r="I41" s="203"/>
      <c r="J41" s="203"/>
      <c r="K41" s="203"/>
      <c r="L41" s="203"/>
      <c r="M41" s="203"/>
      <c r="N41" s="808"/>
      <c r="O41" s="206"/>
      <c r="P41" s="203"/>
      <c r="Q41" s="204"/>
    </row>
    <row r="42" spans="1:18" ht="11.25" customHeight="1">
      <c r="A42" s="250" t="str">
        <f>'SA25'!A43</f>
        <v>Taxation</v>
      </c>
      <c r="B42" s="864"/>
      <c r="C42" s="1636"/>
      <c r="D42" s="1615"/>
      <c r="E42" s="1615"/>
      <c r="F42" s="1615"/>
      <c r="G42" s="1615"/>
      <c r="H42" s="1615"/>
      <c r="I42" s="1615"/>
      <c r="J42" s="1615"/>
      <c r="K42" s="1615"/>
      <c r="L42" s="1615"/>
      <c r="M42" s="1615"/>
      <c r="N42" s="808">
        <f>O42-SUM(C42:M42)</f>
        <v>0</v>
      </c>
      <c r="O42" s="206">
        <f>'SA25'!O43</f>
        <v>0</v>
      </c>
      <c r="P42" s="203">
        <f>'SA25'!P43</f>
        <v>0</v>
      </c>
      <c r="Q42" s="204">
        <f>'SA25'!Q43</f>
        <v>0</v>
      </c>
    </row>
    <row r="43" spans="1:18" ht="11.25" customHeight="1">
      <c r="A43" s="250" t="str">
        <f>'SA25'!A44</f>
        <v>Attributable to minorities</v>
      </c>
      <c r="B43" s="864"/>
      <c r="C43" s="1636"/>
      <c r="D43" s="1615"/>
      <c r="E43" s="1615"/>
      <c r="F43" s="1615"/>
      <c r="G43" s="1615"/>
      <c r="H43" s="1615"/>
      <c r="I43" s="1615"/>
      <c r="J43" s="1615"/>
      <c r="K43" s="1615"/>
      <c r="L43" s="1615"/>
      <c r="M43" s="1615"/>
      <c r="N43" s="808">
        <f>O43-SUM(C43:M43)</f>
        <v>0</v>
      </c>
      <c r="O43" s="206">
        <f>'SA25'!O44</f>
        <v>0</v>
      </c>
      <c r="P43" s="203">
        <f>'SA25'!P44</f>
        <v>0</v>
      </c>
      <c r="Q43" s="204">
        <f>'SA25'!Q44</f>
        <v>0</v>
      </c>
    </row>
    <row r="44" spans="1:18">
      <c r="A44" s="524" t="str">
        <f>'A4-FinPerf RE'!A47</f>
        <v>Share of surplus/ (deficit) of associate</v>
      </c>
      <c r="B44" s="876"/>
      <c r="C44" s="1636"/>
      <c r="D44" s="1615"/>
      <c r="E44" s="1615"/>
      <c r="F44" s="1615"/>
      <c r="G44" s="1615"/>
      <c r="H44" s="1615"/>
      <c r="I44" s="1615"/>
      <c r="J44" s="1615"/>
      <c r="K44" s="1615"/>
      <c r="L44" s="1615"/>
      <c r="M44" s="1615"/>
      <c r="N44" s="808">
        <f>O44-SUM(C44:M44)</f>
        <v>0</v>
      </c>
      <c r="O44" s="206">
        <f>'A4-FinPerf RE'!J47</f>
        <v>0</v>
      </c>
      <c r="P44" s="203">
        <f>'A4-FinPerf RE'!K47</f>
        <v>0</v>
      </c>
      <c r="Q44" s="204">
        <f>'A4-FinPerf RE'!L47</f>
        <v>0</v>
      </c>
    </row>
    <row r="45" spans="1:18">
      <c r="A45" s="849" t="str">
        <f>'A4-FinPerf RE'!A38</f>
        <v>Surplus/(Deficit)</v>
      </c>
      <c r="B45" s="877">
        <v>1</v>
      </c>
      <c r="C45" s="353">
        <f>C40+C44</f>
        <v>51958742</v>
      </c>
      <c r="D45" s="227">
        <f t="shared" ref="D45:Q45" si="9">D40+D44</f>
        <v>10618323</v>
      </c>
      <c r="E45" s="227">
        <f t="shared" si="9"/>
        <v>6140198</v>
      </c>
      <c r="F45" s="227">
        <f t="shared" si="9"/>
        <v>36624578</v>
      </c>
      <c r="G45" s="227">
        <f t="shared" si="9"/>
        <v>3826169</v>
      </c>
      <c r="H45" s="227">
        <f t="shared" si="9"/>
        <v>869668</v>
      </c>
      <c r="I45" s="227">
        <f t="shared" si="9"/>
        <v>2525891</v>
      </c>
      <c r="J45" s="227">
        <f t="shared" si="9"/>
        <v>6465146</v>
      </c>
      <c r="K45" s="227">
        <f t="shared" si="9"/>
        <v>11277226</v>
      </c>
      <c r="L45" s="227">
        <f t="shared" si="9"/>
        <v>43141795</v>
      </c>
      <c r="M45" s="227">
        <f t="shared" si="9"/>
        <v>53364875</v>
      </c>
      <c r="N45" s="819">
        <f t="shared" si="9"/>
        <v>-208331275</v>
      </c>
      <c r="O45" s="354">
        <f t="shared" si="9"/>
        <v>18481336</v>
      </c>
      <c r="P45" s="227">
        <f t="shared" si="9"/>
        <v>35673304</v>
      </c>
      <c r="Q45" s="352">
        <f t="shared" si="9"/>
        <v>91466155.5</v>
      </c>
    </row>
    <row r="46" spans="1:18" s="709" customFormat="1">
      <c r="A46" s="1421" t="str">
        <f>head27a</f>
        <v>References</v>
      </c>
      <c r="B46" s="1085"/>
      <c r="C46" s="1040"/>
      <c r="D46" s="1040"/>
      <c r="E46" s="1040"/>
      <c r="F46" s="1040"/>
      <c r="G46" s="1040"/>
      <c r="H46" s="1040"/>
      <c r="I46" s="1040"/>
      <c r="J46" s="1040"/>
      <c r="K46" s="1040"/>
      <c r="L46" s="1040"/>
      <c r="M46" s="1040"/>
      <c r="N46" s="1040"/>
      <c r="O46" s="1040"/>
      <c r="P46" s="1040"/>
      <c r="Q46" s="1040"/>
    </row>
    <row r="47" spans="1:18" s="709" customFormat="1">
      <c r="A47" s="1419" t="s">
        <v>1611</v>
      </c>
    </row>
    <row r="48" spans="1:18">
      <c r="A48" s="437" t="s">
        <v>1524</v>
      </c>
      <c r="B48" s="437"/>
      <c r="O48" s="879">
        <f>O45-'A4-FinPerf RE'!J48</f>
        <v>18481336</v>
      </c>
      <c r="P48" s="879">
        <f>P45-'A4-FinPerf RE'!K48</f>
        <v>35673304</v>
      </c>
      <c r="Q48" s="879">
        <f>Q45-'A4-FinPerf RE'!L48</f>
        <v>91466155.5</v>
      </c>
    </row>
  </sheetData>
  <sheetProtection sheet="1" objects="1" scenarios="1"/>
  <mergeCells count="2">
    <mergeCell ref="C2:N2"/>
    <mergeCell ref="O2:Q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enableFormatConditionsCalculation="0">
    <tabColor indexed="42"/>
  </sheetPr>
  <dimension ref="A1:R56"/>
  <sheetViews>
    <sheetView showGridLines="0" workbookViewId="0">
      <pane xSplit="2" ySplit="3" topLeftCell="C31" activePane="bottomRight" state="frozen"/>
      <selection pane="topRight"/>
      <selection pane="bottomLeft"/>
      <selection pane="bottomRight" activeCell="O38" sqref="O38"/>
    </sheetView>
  </sheetViews>
  <sheetFormatPr baseColWidth="10" defaultColWidth="8.83203125" defaultRowHeight="10" x14ac:dyDescent="0"/>
  <cols>
    <col min="1" max="1" width="30.6640625" style="149" customWidth="1"/>
    <col min="2" max="2" width="3" style="247" customWidth="1"/>
    <col min="3" max="14" width="8.33203125" style="149" customWidth="1"/>
    <col min="15" max="17" width="9.33203125" style="149" customWidth="1"/>
    <col min="18" max="16384" width="8.83203125" style="149"/>
  </cols>
  <sheetData>
    <row r="1" spans="1:18" ht="13.5" customHeight="1">
      <c r="A1" s="147" t="str">
        <f>muni&amp;" - "&amp;TableA27</f>
        <v>NW373 Rustenburg - Supporting Table SA27 Consolidated budgeted monthly revenue and expenditure (standard classification)</v>
      </c>
      <c r="B1" s="147"/>
      <c r="C1" s="147"/>
      <c r="D1" s="147"/>
      <c r="E1" s="147"/>
      <c r="F1" s="147"/>
      <c r="G1" s="147"/>
      <c r="H1" s="147"/>
      <c r="I1" s="147"/>
      <c r="J1" s="147"/>
      <c r="K1" s="147"/>
      <c r="L1" s="147"/>
      <c r="M1" s="147"/>
      <c r="N1" s="147"/>
      <c r="O1" s="147"/>
      <c r="P1" s="147"/>
      <c r="Q1" s="147"/>
    </row>
    <row r="2" spans="1:18" ht="28.5" customHeight="1">
      <c r="A2" s="985" t="str">
        <f>desc</f>
        <v>Description</v>
      </c>
      <c r="B2" s="997" t="str">
        <f>head27</f>
        <v>Ref</v>
      </c>
      <c r="C2" s="2765" t="str">
        <f>Head9</f>
        <v>Budget Year 2013/14</v>
      </c>
      <c r="D2" s="2766"/>
      <c r="E2" s="2766"/>
      <c r="F2" s="2766"/>
      <c r="G2" s="2766"/>
      <c r="H2" s="2766"/>
      <c r="I2" s="2766"/>
      <c r="J2" s="2766"/>
      <c r="K2" s="2766"/>
      <c r="L2" s="2766"/>
      <c r="M2" s="2766"/>
      <c r="N2" s="2766"/>
      <c r="O2" s="2762" t="s">
        <v>1802</v>
      </c>
      <c r="P2" s="2763"/>
      <c r="Q2" s="2764"/>
    </row>
    <row r="3" spans="1:18" ht="20">
      <c r="A3" s="992" t="s">
        <v>667</v>
      </c>
      <c r="B3" s="998"/>
      <c r="C3" s="299" t="s">
        <v>725</v>
      </c>
      <c r="D3" s="928" t="s">
        <v>1412</v>
      </c>
      <c r="E3" s="928" t="s">
        <v>1413</v>
      </c>
      <c r="F3" s="928" t="s">
        <v>1414</v>
      </c>
      <c r="G3" s="928" t="s">
        <v>706</v>
      </c>
      <c r="H3" s="928" t="s">
        <v>707</v>
      </c>
      <c r="I3" s="928" t="s">
        <v>708</v>
      </c>
      <c r="J3" s="928" t="s">
        <v>709</v>
      </c>
      <c r="K3" s="928" t="s">
        <v>710</v>
      </c>
      <c r="L3" s="928" t="s">
        <v>711</v>
      </c>
      <c r="M3" s="928" t="s">
        <v>712</v>
      </c>
      <c r="N3" s="391" t="s">
        <v>713</v>
      </c>
      <c r="O3" s="299" t="str">
        <f>Head9</f>
        <v>Budget Year 2013/14</v>
      </c>
      <c r="P3" s="390" t="str">
        <f>Head10</f>
        <v>Budget Year +1 2014/15</v>
      </c>
      <c r="Q3" s="391" t="str">
        <f>Head11</f>
        <v>Budget Year +2 2015/16</v>
      </c>
    </row>
    <row r="4" spans="1:18">
      <c r="A4" s="249" t="str">
        <f>'A2-FinPerf SC'!A4</f>
        <v>Revenue - Standard</v>
      </c>
      <c r="B4" s="867"/>
      <c r="C4" s="317"/>
      <c r="D4" s="315"/>
      <c r="E4" s="315"/>
      <c r="F4" s="315"/>
      <c r="G4" s="315"/>
      <c r="H4" s="315"/>
      <c r="I4" s="315"/>
      <c r="J4" s="315"/>
      <c r="K4" s="315"/>
      <c r="L4" s="315"/>
      <c r="M4" s="315"/>
      <c r="N4" s="318"/>
      <c r="O4" s="317"/>
      <c r="P4" s="315"/>
      <c r="Q4" s="318"/>
      <c r="R4" s="370"/>
    </row>
    <row r="5" spans="1:18" ht="11.25" customHeight="1">
      <c r="A5" s="1271" t="str">
        <f>'A2-FinPerf SC'!A5</f>
        <v>Governance and administration</v>
      </c>
      <c r="B5" s="864"/>
      <c r="C5" s="1133">
        <f>SUM(C6:C8)</f>
        <v>33181303</v>
      </c>
      <c r="D5" s="1131">
        <f>SUM(D6:D8)</f>
        <v>30880738</v>
      </c>
      <c r="E5" s="1131">
        <f t="shared" ref="E5:M5" si="0">SUM(E6:E8)</f>
        <v>29233532</v>
      </c>
      <c r="F5" s="1131">
        <f t="shared" si="0"/>
        <v>34953997</v>
      </c>
      <c r="G5" s="1131">
        <f t="shared" si="0"/>
        <v>30844388</v>
      </c>
      <c r="H5" s="1131">
        <f t="shared" si="0"/>
        <v>31205121</v>
      </c>
      <c r="I5" s="1131">
        <f t="shared" si="0"/>
        <v>31149992</v>
      </c>
      <c r="J5" s="1131">
        <f t="shared" si="0"/>
        <v>31391337</v>
      </c>
      <c r="K5" s="1131">
        <f t="shared" si="0"/>
        <v>36218468</v>
      </c>
      <c r="L5" s="1131">
        <f t="shared" si="0"/>
        <v>31520701</v>
      </c>
      <c r="M5" s="1131">
        <f t="shared" si="0"/>
        <v>31673370</v>
      </c>
      <c r="N5" s="219">
        <f t="shared" ref="N5:N24" si="1">O5-SUM(C5:M5)</f>
        <v>89485909</v>
      </c>
      <c r="O5" s="220">
        <f>'A2-FinPerf SC'!I5</f>
        <v>441738856</v>
      </c>
      <c r="P5" s="218">
        <f>'A2-FinPerf SC'!J5</f>
        <v>420096073</v>
      </c>
      <c r="Q5" s="219">
        <f>'A2-FinPerf SC'!K5</f>
        <v>422411770</v>
      </c>
      <c r="R5" s="370"/>
    </row>
    <row r="6" spans="1:18" ht="11.25" customHeight="1">
      <c r="A6" s="1272" t="str">
        <f>'A2-FinPerf SC'!A6</f>
        <v>Executive and council</v>
      </c>
      <c r="B6" s="864"/>
      <c r="C6" s="1636">
        <v>17986852</v>
      </c>
      <c r="D6" s="1615">
        <v>15412189</v>
      </c>
      <c r="E6" s="1615">
        <v>14026562</v>
      </c>
      <c r="F6" s="1615">
        <v>18698520</v>
      </c>
      <c r="G6" s="1615">
        <v>15648980</v>
      </c>
      <c r="H6" s="1615">
        <v>14989852</v>
      </c>
      <c r="I6" s="1615">
        <v>14687410</v>
      </c>
      <c r="J6" s="1615">
        <v>15926895</v>
      </c>
      <c r="K6" s="1615">
        <v>18659856</v>
      </c>
      <c r="L6" s="1615">
        <v>15985201</v>
      </c>
      <c r="M6" s="1615">
        <v>15068540</v>
      </c>
      <c r="N6" s="204">
        <f t="shared" si="1"/>
        <v>46366044</v>
      </c>
      <c r="O6" s="205">
        <f>'A2-FinPerf SC'!I6</f>
        <v>223456901</v>
      </c>
      <c r="P6" s="207">
        <f>'A2-FinPerf SC'!J6</f>
        <v>195346846</v>
      </c>
      <c r="Q6" s="264">
        <f>'A2-FinPerf SC'!K6</f>
        <v>184064981</v>
      </c>
      <c r="R6" s="370"/>
    </row>
    <row r="7" spans="1:18" ht="11.25" customHeight="1">
      <c r="A7" s="1272" t="str">
        <f>'A2-FinPerf SC'!A7</f>
        <v>Budget and treasury office</v>
      </c>
      <c r="B7" s="864"/>
      <c r="C7" s="1640">
        <v>14924597</v>
      </c>
      <c r="D7" s="1638">
        <v>15205985</v>
      </c>
      <c r="E7" s="1638">
        <v>14926958</v>
      </c>
      <c r="F7" s="1638">
        <v>15989895</v>
      </c>
      <c r="G7" s="1638">
        <v>14907458</v>
      </c>
      <c r="H7" s="1638">
        <v>15925059</v>
      </c>
      <c r="I7" s="1638">
        <v>16192458</v>
      </c>
      <c r="J7" s="1638">
        <v>15202222</v>
      </c>
      <c r="K7" s="1638">
        <v>17299856</v>
      </c>
      <c r="L7" s="1638">
        <v>15256980</v>
      </c>
      <c r="M7" s="1638">
        <v>16359010</v>
      </c>
      <c r="N7" s="204">
        <f t="shared" si="1"/>
        <v>41951921</v>
      </c>
      <c r="O7" s="205">
        <f>'A2-FinPerf SC'!I7</f>
        <v>214142399</v>
      </c>
      <c r="P7" s="207">
        <f>'A2-FinPerf SC'!J7</f>
        <v>220404193</v>
      </c>
      <c r="Q7" s="264">
        <f>'A2-FinPerf SC'!K7</f>
        <v>233836437</v>
      </c>
      <c r="R7" s="370"/>
    </row>
    <row r="8" spans="1:18" ht="11.25" customHeight="1">
      <c r="A8" s="1272" t="str">
        <f>'A2-FinPerf SC'!A8</f>
        <v>Corporate services</v>
      </c>
      <c r="B8" s="864"/>
      <c r="C8" s="1636">
        <v>269854</v>
      </c>
      <c r="D8" s="1615">
        <v>262564</v>
      </c>
      <c r="E8" s="1615">
        <v>280012</v>
      </c>
      <c r="F8" s="1615">
        <v>265582</v>
      </c>
      <c r="G8" s="1615">
        <v>287950</v>
      </c>
      <c r="H8" s="1615">
        <v>290210</v>
      </c>
      <c r="I8" s="1615">
        <v>270124</v>
      </c>
      <c r="J8" s="1615">
        <v>262220</v>
      </c>
      <c r="K8" s="1615">
        <v>258756</v>
      </c>
      <c r="L8" s="1615">
        <v>278520</v>
      </c>
      <c r="M8" s="1615">
        <v>245820</v>
      </c>
      <c r="N8" s="204">
        <f t="shared" si="1"/>
        <v>1167944</v>
      </c>
      <c r="O8" s="205">
        <f>'A2-FinPerf SC'!I8</f>
        <v>4139556</v>
      </c>
      <c r="P8" s="207">
        <f>'A2-FinPerf SC'!J8</f>
        <v>4345034</v>
      </c>
      <c r="Q8" s="264">
        <f>'A2-FinPerf SC'!K8</f>
        <v>4510352</v>
      </c>
      <c r="R8" s="370"/>
    </row>
    <row r="9" spans="1:18" ht="11.25" customHeight="1">
      <c r="A9" s="1271" t="str">
        <f>'A2-FinPerf SC'!A9</f>
        <v>Community and public safety</v>
      </c>
      <c r="B9" s="864"/>
      <c r="C9" s="1133">
        <f>SUM(C10:C14)</f>
        <v>1407392</v>
      </c>
      <c r="D9" s="1131">
        <f t="shared" ref="D9:M9" si="2">SUM(D10:D14)</f>
        <v>1446937</v>
      </c>
      <c r="E9" s="1131">
        <f t="shared" si="2"/>
        <v>1340678</v>
      </c>
      <c r="F9" s="1131">
        <f t="shared" si="2"/>
        <v>1509053</v>
      </c>
      <c r="G9" s="1131">
        <f t="shared" si="2"/>
        <v>1527978</v>
      </c>
      <c r="H9" s="1131">
        <f t="shared" si="2"/>
        <v>1502582</v>
      </c>
      <c r="I9" s="1131">
        <f t="shared" si="2"/>
        <v>1481890</v>
      </c>
      <c r="J9" s="1131">
        <f t="shared" si="2"/>
        <v>1541205</v>
      </c>
      <c r="K9" s="1131">
        <f t="shared" si="2"/>
        <v>1533545</v>
      </c>
      <c r="L9" s="1131">
        <f t="shared" si="2"/>
        <v>1657254</v>
      </c>
      <c r="M9" s="1131">
        <f t="shared" si="2"/>
        <v>1663443</v>
      </c>
      <c r="N9" s="219">
        <f t="shared" si="1"/>
        <v>978008</v>
      </c>
      <c r="O9" s="220">
        <f>'A2-FinPerf SC'!I9</f>
        <v>17589965</v>
      </c>
      <c r="P9" s="394">
        <f>'A2-FinPerf SC'!J9</f>
        <v>18512355</v>
      </c>
      <c r="Q9" s="345">
        <f>'A2-FinPerf SC'!K9</f>
        <v>19325495</v>
      </c>
      <c r="R9" s="370"/>
    </row>
    <row r="10" spans="1:18" ht="11.25" customHeight="1">
      <c r="A10" s="1272" t="str">
        <f>'A2-FinPerf SC'!A10</f>
        <v>Community and social services</v>
      </c>
      <c r="B10" s="864"/>
      <c r="C10" s="1636">
        <v>300215</v>
      </c>
      <c r="D10" s="1615">
        <v>296854</v>
      </c>
      <c r="E10" s="1615">
        <v>254999</v>
      </c>
      <c r="F10" s="1615">
        <v>301259</v>
      </c>
      <c r="G10" s="1615">
        <v>322015</v>
      </c>
      <c r="H10" s="1615">
        <v>312050</v>
      </c>
      <c r="I10" s="1615">
        <v>298080</v>
      </c>
      <c r="J10" s="1615">
        <v>301250</v>
      </c>
      <c r="K10" s="1615">
        <v>298014</v>
      </c>
      <c r="L10" s="1615">
        <v>302658</v>
      </c>
      <c r="M10" s="1615">
        <v>352012</v>
      </c>
      <c r="N10" s="204">
        <f t="shared" si="1"/>
        <v>473444</v>
      </c>
      <c r="O10" s="205">
        <f>'A2-FinPerf SC'!I10</f>
        <v>3812850</v>
      </c>
      <c r="P10" s="207">
        <f>'A2-FinPerf SC'!J10</f>
        <v>3983077</v>
      </c>
      <c r="Q10" s="264">
        <f>'A2-FinPerf SC'!K10</f>
        <v>4031192</v>
      </c>
      <c r="R10" s="370"/>
    </row>
    <row r="11" spans="1:18" ht="11.25" customHeight="1">
      <c r="A11" s="1272" t="str">
        <f>'A2-FinPerf SC'!A11</f>
        <v>Sport and recreation</v>
      </c>
      <c r="B11" s="864"/>
      <c r="C11" s="1636">
        <v>98252</v>
      </c>
      <c r="D11" s="1615">
        <v>102590</v>
      </c>
      <c r="E11" s="1615">
        <v>110695</v>
      </c>
      <c r="F11" s="1615">
        <v>109452</v>
      </c>
      <c r="G11" s="1615">
        <v>99995</v>
      </c>
      <c r="H11" s="1615">
        <v>109480</v>
      </c>
      <c r="I11" s="1615">
        <v>105262</v>
      </c>
      <c r="J11" s="1615">
        <v>92658</v>
      </c>
      <c r="K11" s="1615">
        <v>97989</v>
      </c>
      <c r="L11" s="1615">
        <v>102658</v>
      </c>
      <c r="M11" s="1615">
        <v>125680</v>
      </c>
      <c r="N11" s="204">
        <f t="shared" si="1"/>
        <v>167789</v>
      </c>
      <c r="O11" s="205">
        <f>'A2-FinPerf SC'!I11</f>
        <v>1322500</v>
      </c>
      <c r="P11" s="207">
        <f>'A2-FinPerf SC'!J11</f>
        <v>1346100</v>
      </c>
      <c r="Q11" s="264">
        <f>'A2-FinPerf SC'!K11</f>
        <v>1369743</v>
      </c>
      <c r="R11" s="370"/>
    </row>
    <row r="12" spans="1:18" ht="11.25" customHeight="1">
      <c r="A12" s="1272" t="str">
        <f>'A2-FinPerf SC'!A12</f>
        <v>Public safety</v>
      </c>
      <c r="B12" s="864"/>
      <c r="C12" s="1636">
        <v>798689</v>
      </c>
      <c r="D12" s="1615">
        <v>802598</v>
      </c>
      <c r="E12" s="1615">
        <v>758901</v>
      </c>
      <c r="F12" s="1615">
        <v>898090</v>
      </c>
      <c r="G12" s="1615">
        <v>856980</v>
      </c>
      <c r="H12" s="1615">
        <v>825901</v>
      </c>
      <c r="I12" s="1615">
        <v>852980</v>
      </c>
      <c r="J12" s="1615">
        <v>890310</v>
      </c>
      <c r="K12" s="1615">
        <v>866721</v>
      </c>
      <c r="L12" s="1615">
        <v>989528</v>
      </c>
      <c r="M12" s="1615">
        <v>945901</v>
      </c>
      <c r="N12" s="204">
        <f t="shared" si="1"/>
        <v>-22345</v>
      </c>
      <c r="O12" s="205">
        <f>'A2-FinPerf SC'!I12</f>
        <v>9464254</v>
      </c>
      <c r="P12" s="207">
        <f>'A2-FinPerf SC'!J12</f>
        <v>10042910</v>
      </c>
      <c r="Q12" s="264">
        <f>'A2-FinPerf SC'!K12</f>
        <v>10608443</v>
      </c>
      <c r="R12" s="370"/>
    </row>
    <row r="13" spans="1:18" ht="11.25" customHeight="1">
      <c r="A13" s="1272" t="str">
        <f>'A2-FinPerf SC'!A13</f>
        <v>Housing</v>
      </c>
      <c r="B13" s="864"/>
      <c r="C13" s="1636">
        <v>210236</v>
      </c>
      <c r="D13" s="1615">
        <v>244895</v>
      </c>
      <c r="E13" s="1615">
        <v>215083</v>
      </c>
      <c r="F13" s="1615">
        <v>200252</v>
      </c>
      <c r="G13" s="1615">
        <v>248988</v>
      </c>
      <c r="H13" s="1615">
        <v>255151</v>
      </c>
      <c r="I13" s="1615">
        <v>225568</v>
      </c>
      <c r="J13" s="1615">
        <v>256987</v>
      </c>
      <c r="K13" s="1615">
        <v>270121</v>
      </c>
      <c r="L13" s="1615">
        <v>262410</v>
      </c>
      <c r="M13" s="1615">
        <v>239850</v>
      </c>
      <c r="N13" s="204">
        <f t="shared" si="1"/>
        <v>359033</v>
      </c>
      <c r="O13" s="205">
        <f>'A2-FinPerf SC'!I13</f>
        <v>2988574</v>
      </c>
      <c r="P13" s="207">
        <f>'A2-FinPerf SC'!J13</f>
        <v>3138392</v>
      </c>
      <c r="Q13" s="264">
        <f>'A2-FinPerf SC'!K13</f>
        <v>3314142</v>
      </c>
      <c r="R13" s="370"/>
    </row>
    <row r="14" spans="1:18" ht="11.25" customHeight="1">
      <c r="A14" s="1272" t="str">
        <f>'A2-FinPerf SC'!A14</f>
        <v>Health</v>
      </c>
      <c r="B14" s="864"/>
      <c r="C14" s="1636">
        <v>0</v>
      </c>
      <c r="D14" s="1615">
        <v>0</v>
      </c>
      <c r="E14" s="1615">
        <v>1000</v>
      </c>
      <c r="F14" s="1615">
        <v>0</v>
      </c>
      <c r="G14" s="1615">
        <v>0</v>
      </c>
      <c r="H14" s="1615">
        <v>0</v>
      </c>
      <c r="I14" s="1615">
        <v>0</v>
      </c>
      <c r="J14" s="1615">
        <v>0</v>
      </c>
      <c r="K14" s="1615">
        <v>700</v>
      </c>
      <c r="L14" s="1615">
        <v>0</v>
      </c>
      <c r="M14" s="1615">
        <v>0</v>
      </c>
      <c r="N14" s="204">
        <f t="shared" si="1"/>
        <v>87</v>
      </c>
      <c r="O14" s="205">
        <f>'A2-FinPerf SC'!I14</f>
        <v>1787</v>
      </c>
      <c r="P14" s="207">
        <f>'A2-FinPerf SC'!J14</f>
        <v>1876</v>
      </c>
      <c r="Q14" s="264">
        <f>'A2-FinPerf SC'!K14</f>
        <v>1975</v>
      </c>
      <c r="R14" s="370"/>
    </row>
    <row r="15" spans="1:18" ht="11.25" customHeight="1">
      <c r="A15" s="1271" t="str">
        <f>'A2-FinPerf SC'!A15</f>
        <v>Economic and environmental services</v>
      </c>
      <c r="B15" s="864"/>
      <c r="C15" s="1133">
        <f>SUM(C16:C18)</f>
        <v>1963403</v>
      </c>
      <c r="D15" s="1131">
        <f t="shared" ref="D15:M15" si="3">SUM(D16:D18)</f>
        <v>2120097</v>
      </c>
      <c r="E15" s="1131">
        <f t="shared" si="3"/>
        <v>1890120</v>
      </c>
      <c r="F15" s="1131">
        <f t="shared" si="3"/>
        <v>2065191</v>
      </c>
      <c r="G15" s="1131">
        <f t="shared" si="3"/>
        <v>1745022</v>
      </c>
      <c r="H15" s="1131">
        <f t="shared" si="3"/>
        <v>2021664</v>
      </c>
      <c r="I15" s="1131">
        <f t="shared" si="3"/>
        <v>2211531</v>
      </c>
      <c r="J15" s="1131">
        <f t="shared" si="3"/>
        <v>2120748</v>
      </c>
      <c r="K15" s="1131">
        <f t="shared" si="3"/>
        <v>2034618</v>
      </c>
      <c r="L15" s="1131">
        <f t="shared" si="3"/>
        <v>2168599</v>
      </c>
      <c r="M15" s="1131">
        <f t="shared" si="3"/>
        <v>2200883</v>
      </c>
      <c r="N15" s="219">
        <f t="shared" si="1"/>
        <v>145568308</v>
      </c>
      <c r="O15" s="220">
        <f>'A2-FinPerf SC'!I15</f>
        <v>168110184</v>
      </c>
      <c r="P15" s="394">
        <f>'A2-FinPerf SC'!J15</f>
        <v>110896671</v>
      </c>
      <c r="Q15" s="345">
        <f>'A2-FinPerf SC'!K15</f>
        <v>63364299</v>
      </c>
      <c r="R15" s="370"/>
    </row>
    <row r="16" spans="1:18" ht="11.25" customHeight="1">
      <c r="A16" s="1272" t="str">
        <f>'A2-FinPerf SC'!A16</f>
        <v>Planning and development</v>
      </c>
      <c r="B16" s="864"/>
      <c r="C16" s="1636">
        <v>709521</v>
      </c>
      <c r="D16" s="1615">
        <v>799499</v>
      </c>
      <c r="E16" s="1615">
        <v>755860</v>
      </c>
      <c r="F16" s="1615">
        <v>796204</v>
      </c>
      <c r="G16" s="1615">
        <v>732040</v>
      </c>
      <c r="H16" s="1615">
        <v>695684</v>
      </c>
      <c r="I16" s="1615">
        <v>752542</v>
      </c>
      <c r="J16" s="1615">
        <v>800200</v>
      </c>
      <c r="K16" s="1615">
        <v>735920</v>
      </c>
      <c r="L16" s="1615">
        <v>799012</v>
      </c>
      <c r="M16" s="1615">
        <v>805682</v>
      </c>
      <c r="N16" s="204">
        <f t="shared" si="1"/>
        <v>100806177</v>
      </c>
      <c r="O16" s="205">
        <f>'A2-FinPerf SC'!I16</f>
        <v>109188341</v>
      </c>
      <c r="P16" s="207">
        <f>'A2-FinPerf SC'!J16</f>
        <v>60743477</v>
      </c>
      <c r="Q16" s="264">
        <f>'A2-FinPerf SC'!K16</f>
        <v>11122487</v>
      </c>
      <c r="R16" s="370"/>
    </row>
    <row r="17" spans="1:18" ht="11.25" customHeight="1">
      <c r="A17" s="1272" t="str">
        <f>'A2-FinPerf SC'!A17</f>
        <v>Road transport</v>
      </c>
      <c r="B17" s="864"/>
      <c r="C17" s="1636">
        <v>1252982</v>
      </c>
      <c r="D17" s="1615">
        <v>1320598</v>
      </c>
      <c r="E17" s="1615">
        <v>1133302</v>
      </c>
      <c r="F17" s="1615">
        <v>1268987</v>
      </c>
      <c r="G17" s="1615">
        <v>1012982</v>
      </c>
      <c r="H17" s="1615">
        <v>1325980</v>
      </c>
      <c r="I17" s="1615">
        <v>1458989</v>
      </c>
      <c r="J17" s="1615">
        <v>1320548</v>
      </c>
      <c r="K17" s="1615">
        <v>1298698</v>
      </c>
      <c r="L17" s="1615">
        <v>1369587</v>
      </c>
      <c r="M17" s="1615">
        <v>1395201</v>
      </c>
      <c r="N17" s="204">
        <f t="shared" si="1"/>
        <v>44760839</v>
      </c>
      <c r="O17" s="205">
        <f>'A2-FinPerf SC'!I17</f>
        <v>58918693</v>
      </c>
      <c r="P17" s="207">
        <f>'A2-FinPerf SC'!J17</f>
        <v>50149886</v>
      </c>
      <c r="Q17" s="264">
        <f>'A2-FinPerf SC'!K17</f>
        <v>52238319</v>
      </c>
      <c r="R17" s="370"/>
    </row>
    <row r="18" spans="1:18" ht="11.25" customHeight="1">
      <c r="A18" s="1272" t="str">
        <f>'A2-FinPerf SC'!A18</f>
        <v>Environmental protection</v>
      </c>
      <c r="B18" s="864"/>
      <c r="C18" s="1636">
        <v>900</v>
      </c>
      <c r="D18" s="1615">
        <v>0</v>
      </c>
      <c r="E18" s="1615">
        <v>958</v>
      </c>
      <c r="F18" s="1615">
        <v>0</v>
      </c>
      <c r="G18" s="1615">
        <v>0</v>
      </c>
      <c r="H18" s="1615">
        <v>0</v>
      </c>
      <c r="I18" s="1615">
        <v>0</v>
      </c>
      <c r="J18" s="1615">
        <v>0</v>
      </c>
      <c r="K18" s="1615">
        <v>0</v>
      </c>
      <c r="L18" s="1615">
        <v>0</v>
      </c>
      <c r="M18" s="1615">
        <v>0</v>
      </c>
      <c r="N18" s="204">
        <f t="shared" si="1"/>
        <v>1292</v>
      </c>
      <c r="O18" s="205">
        <f>'A2-FinPerf SC'!I18</f>
        <v>3150</v>
      </c>
      <c r="P18" s="207">
        <f>'A2-FinPerf SC'!J18</f>
        <v>3308</v>
      </c>
      <c r="Q18" s="264">
        <f>'A2-FinPerf SC'!K18</f>
        <v>3493</v>
      </c>
      <c r="R18" s="370"/>
    </row>
    <row r="19" spans="1:18" ht="11.25" customHeight="1">
      <c r="A19" s="1271" t="str">
        <f>'A2-FinPerf SC'!A19</f>
        <v>Trading services</v>
      </c>
      <c r="B19" s="864"/>
      <c r="C19" s="1133">
        <f>SUM(C20:C23)</f>
        <v>240717510</v>
      </c>
      <c r="D19" s="1131">
        <f t="shared" ref="D19:M19" si="4">SUM(D20:D23)</f>
        <v>142974612</v>
      </c>
      <c r="E19" s="1131">
        <f t="shared" si="4"/>
        <v>148868528</v>
      </c>
      <c r="F19" s="1131">
        <f t="shared" si="4"/>
        <v>146141371</v>
      </c>
      <c r="G19" s="1131">
        <f t="shared" si="4"/>
        <v>226526642</v>
      </c>
      <c r="H19" s="1131">
        <f t="shared" si="4"/>
        <v>154944893</v>
      </c>
      <c r="I19" s="1131">
        <f t="shared" si="4"/>
        <v>159891599</v>
      </c>
      <c r="J19" s="1131">
        <f t="shared" si="4"/>
        <v>159880562</v>
      </c>
      <c r="K19" s="1131">
        <f t="shared" si="4"/>
        <v>240391208</v>
      </c>
      <c r="L19" s="1131">
        <f t="shared" si="4"/>
        <v>176825817</v>
      </c>
      <c r="M19" s="1131">
        <f t="shared" si="4"/>
        <v>183788364</v>
      </c>
      <c r="N19" s="219">
        <f>O19-SUM(C19:M19)</f>
        <v>120885424</v>
      </c>
      <c r="O19" s="220">
        <f>'A2-FinPerf SC'!I19</f>
        <v>2101836530</v>
      </c>
      <c r="P19" s="394">
        <f>'A2-FinPerf SC'!J19</f>
        <v>2284716852</v>
      </c>
      <c r="Q19" s="345">
        <f>'A2-FinPerf SC'!K19</f>
        <v>2567005770</v>
      </c>
      <c r="R19" s="370"/>
    </row>
    <row r="20" spans="1:18" ht="11.25" customHeight="1">
      <c r="A20" s="1272" t="str">
        <f>'A2-FinPerf SC'!A20</f>
        <v>Electricity</v>
      </c>
      <c r="B20" s="864"/>
      <c r="C20" s="1636">
        <v>172940583</v>
      </c>
      <c r="D20" s="1615">
        <v>94976598</v>
      </c>
      <c r="E20" s="1615">
        <v>101268521</v>
      </c>
      <c r="F20" s="1615">
        <v>97235920</v>
      </c>
      <c r="G20" s="1615">
        <v>162980509</v>
      </c>
      <c r="H20" s="1615">
        <v>105352012</v>
      </c>
      <c r="I20" s="1615">
        <v>108586720</v>
      </c>
      <c r="J20" s="1615">
        <v>104256950</v>
      </c>
      <c r="K20" s="1615">
        <v>177395420</v>
      </c>
      <c r="L20" s="1615">
        <v>121459540</v>
      </c>
      <c r="M20" s="1615">
        <v>124985200</v>
      </c>
      <c r="N20" s="204">
        <f t="shared" si="1"/>
        <v>-122205552</v>
      </c>
      <c r="O20" s="205">
        <f>'A2-FinPerf SC'!I20</f>
        <v>1249232421</v>
      </c>
      <c r="P20" s="207">
        <f>'A2-FinPerf SC'!J20</f>
        <v>1351037713</v>
      </c>
      <c r="Q20" s="264">
        <f>'A2-FinPerf SC'!K20</f>
        <v>1482144860</v>
      </c>
      <c r="R20" s="370"/>
    </row>
    <row r="21" spans="1:18" ht="11.25" customHeight="1">
      <c r="A21" s="1272" t="str">
        <f>'A2-FinPerf SC'!A21</f>
        <v>Water</v>
      </c>
      <c r="B21" s="864"/>
      <c r="C21" s="1636">
        <v>46412012</v>
      </c>
      <c r="D21" s="1615">
        <v>30925898</v>
      </c>
      <c r="E21" s="1615">
        <v>31198025</v>
      </c>
      <c r="F21" s="1615">
        <v>32579801</v>
      </c>
      <c r="G21" s="1615">
        <v>42401470</v>
      </c>
      <c r="H21" s="1615">
        <v>30985680</v>
      </c>
      <c r="I21" s="1615">
        <v>32959862</v>
      </c>
      <c r="J21" s="1615">
        <v>37012452</v>
      </c>
      <c r="K21" s="1615">
        <v>43268210</v>
      </c>
      <c r="L21" s="1615">
        <v>36161025</v>
      </c>
      <c r="M21" s="1615">
        <v>37856201</v>
      </c>
      <c r="N21" s="204">
        <f t="shared" si="1"/>
        <v>89400307</v>
      </c>
      <c r="O21" s="205">
        <f>'A2-FinPerf SC'!I21</f>
        <v>491160943</v>
      </c>
      <c r="P21" s="207">
        <f>'A2-FinPerf SC'!J21</f>
        <v>534557064</v>
      </c>
      <c r="Q21" s="264">
        <f>'A2-FinPerf SC'!K21</f>
        <v>607892232</v>
      </c>
      <c r="R21" s="370"/>
    </row>
    <row r="22" spans="1:18" ht="11.25" customHeight="1">
      <c r="A22" s="1272" t="str">
        <f>'A2-FinPerf SC'!A22</f>
        <v>Waste water management</v>
      </c>
      <c r="B22" s="864"/>
      <c r="C22" s="1636">
        <v>9681020</v>
      </c>
      <c r="D22" s="1615">
        <v>8352015</v>
      </c>
      <c r="E22" s="1615">
        <v>8212500</v>
      </c>
      <c r="F22" s="1615">
        <v>8052652</v>
      </c>
      <c r="G22" s="1615">
        <v>10009021</v>
      </c>
      <c r="H22" s="1615">
        <v>8721581</v>
      </c>
      <c r="I22" s="1615">
        <v>8652568</v>
      </c>
      <c r="J22" s="1615">
        <v>9092214</v>
      </c>
      <c r="K22" s="1615">
        <v>8917598</v>
      </c>
      <c r="L22" s="1615">
        <v>9251983</v>
      </c>
      <c r="M22" s="1615">
        <v>9299401</v>
      </c>
      <c r="N22" s="204">
        <f t="shared" si="1"/>
        <v>136238990</v>
      </c>
      <c r="O22" s="205">
        <f>'A2-FinPerf SC'!I22</f>
        <v>234481543</v>
      </c>
      <c r="P22" s="207">
        <f>'A2-FinPerf SC'!J22</f>
        <v>256067225</v>
      </c>
      <c r="Q22" s="264">
        <f>'A2-FinPerf SC'!K22</f>
        <v>314037759</v>
      </c>
      <c r="R22" s="370"/>
    </row>
    <row r="23" spans="1:18" ht="11.25" customHeight="1">
      <c r="A23" s="1272" t="str">
        <f>'A2-FinPerf SC'!A23</f>
        <v>Waste management</v>
      </c>
      <c r="B23" s="864"/>
      <c r="C23" s="1636">
        <v>11683895</v>
      </c>
      <c r="D23" s="1615">
        <v>8720101</v>
      </c>
      <c r="E23" s="1615">
        <v>8189482</v>
      </c>
      <c r="F23" s="1615">
        <v>8272998</v>
      </c>
      <c r="G23" s="1615">
        <v>11135642</v>
      </c>
      <c r="H23" s="1615">
        <v>9885620</v>
      </c>
      <c r="I23" s="1615">
        <v>9692449</v>
      </c>
      <c r="J23" s="1615">
        <v>9518946</v>
      </c>
      <c r="K23" s="1615">
        <v>10809980</v>
      </c>
      <c r="L23" s="1615">
        <v>9953269</v>
      </c>
      <c r="M23" s="1615">
        <v>11647562</v>
      </c>
      <c r="N23" s="204">
        <f t="shared" si="1"/>
        <v>17451679</v>
      </c>
      <c r="O23" s="205">
        <f>'A2-FinPerf SC'!I23</f>
        <v>126961623</v>
      </c>
      <c r="P23" s="207">
        <f>'A2-FinPerf SC'!J23</f>
        <v>143054850</v>
      </c>
      <c r="Q23" s="264">
        <f>'A2-FinPerf SC'!K23</f>
        <v>162930919</v>
      </c>
      <c r="R23" s="370"/>
    </row>
    <row r="24" spans="1:18" ht="11.25" customHeight="1">
      <c r="A24" s="1271" t="str">
        <f>'A2-FinPerf SC'!A24</f>
        <v>Other</v>
      </c>
      <c r="B24" s="864"/>
      <c r="C24" s="1650"/>
      <c r="D24" s="1648"/>
      <c r="E24" s="1648"/>
      <c r="F24" s="1648"/>
      <c r="G24" s="1648"/>
      <c r="H24" s="1648"/>
      <c r="I24" s="1648"/>
      <c r="J24" s="1648"/>
      <c r="K24" s="1648"/>
      <c r="L24" s="1648"/>
      <c r="M24" s="1648"/>
      <c r="N24" s="219">
        <f t="shared" si="1"/>
        <v>0</v>
      </c>
      <c r="O24" s="220">
        <f>'A2-FinPerf SC'!I24</f>
        <v>0</v>
      </c>
      <c r="P24" s="394">
        <f>'A2-FinPerf SC'!J24</f>
        <v>0</v>
      </c>
      <c r="Q24" s="345">
        <f>'A2-FinPerf SC'!K24</f>
        <v>0</v>
      </c>
      <c r="R24" s="370"/>
    </row>
    <row r="25" spans="1:18">
      <c r="A25" s="265" t="str">
        <f>'A2-FinPerf SC'!A25</f>
        <v>Total Revenue - Standard</v>
      </c>
      <c r="B25" s="865"/>
      <c r="C25" s="269">
        <f t="shared" ref="C25:Q25" si="5">C5+C9+C15+C19+C24</f>
        <v>277269608</v>
      </c>
      <c r="D25" s="267">
        <f t="shared" si="5"/>
        <v>177422384</v>
      </c>
      <c r="E25" s="267">
        <f t="shared" si="5"/>
        <v>181332858</v>
      </c>
      <c r="F25" s="267">
        <f t="shared" si="5"/>
        <v>184669612</v>
      </c>
      <c r="G25" s="267">
        <f t="shared" si="5"/>
        <v>260644030</v>
      </c>
      <c r="H25" s="267">
        <f t="shared" si="5"/>
        <v>189674260</v>
      </c>
      <c r="I25" s="267">
        <f t="shared" si="5"/>
        <v>194735012</v>
      </c>
      <c r="J25" s="267">
        <f t="shared" si="5"/>
        <v>194933852</v>
      </c>
      <c r="K25" s="267">
        <f t="shared" si="5"/>
        <v>280177839</v>
      </c>
      <c r="L25" s="267">
        <f t="shared" si="5"/>
        <v>212172371</v>
      </c>
      <c r="M25" s="267">
        <f t="shared" si="5"/>
        <v>219326060</v>
      </c>
      <c r="N25" s="267">
        <f t="shared" si="5"/>
        <v>356917649</v>
      </c>
      <c r="O25" s="215">
        <f t="shared" si="5"/>
        <v>2729275535</v>
      </c>
      <c r="P25" s="213">
        <f t="shared" si="5"/>
        <v>2834221951</v>
      </c>
      <c r="Q25" s="214">
        <f t="shared" si="5"/>
        <v>3072107334</v>
      </c>
      <c r="R25" s="370"/>
    </row>
    <row r="26" spans="1:18" ht="5" customHeight="1">
      <c r="A26" s="273"/>
      <c r="B26" s="864"/>
      <c r="C26" s="205"/>
      <c r="D26" s="203">
        <f t="shared" ref="D26:L26" si="6">D6+D10+D16+D20+D25</f>
        <v>288907524</v>
      </c>
      <c r="E26" s="203">
        <f t="shared" si="6"/>
        <v>297638800</v>
      </c>
      <c r="F26" s="203">
        <f t="shared" si="6"/>
        <v>301701515</v>
      </c>
      <c r="G26" s="203">
        <f t="shared" si="6"/>
        <v>440327574</v>
      </c>
      <c r="H26" s="203">
        <f t="shared" si="6"/>
        <v>311023858</v>
      </c>
      <c r="I26" s="203">
        <f t="shared" si="6"/>
        <v>319059764</v>
      </c>
      <c r="J26" s="203">
        <f t="shared" si="6"/>
        <v>316219147</v>
      </c>
      <c r="K26" s="203">
        <f t="shared" si="6"/>
        <v>477267049</v>
      </c>
      <c r="L26" s="203">
        <f t="shared" si="6"/>
        <v>350718782</v>
      </c>
      <c r="M26" s="203">
        <f>M6+M10+M16+M20+M25</f>
        <v>360537494</v>
      </c>
      <c r="N26" s="204"/>
      <c r="O26" s="205"/>
      <c r="P26" s="203"/>
      <c r="Q26" s="204"/>
      <c r="R26" s="370"/>
    </row>
    <row r="27" spans="1:18">
      <c r="A27" s="249" t="str">
        <f>'A2-FinPerf SC'!A27</f>
        <v>Expenditure - Standard</v>
      </c>
      <c r="B27" s="867"/>
      <c r="C27" s="205"/>
      <c r="D27" s="203"/>
      <c r="E27" s="203"/>
      <c r="F27" s="203"/>
      <c r="G27" s="203"/>
      <c r="H27" s="203"/>
      <c r="I27" s="203"/>
      <c r="J27" s="203"/>
      <c r="K27" s="203"/>
      <c r="L27" s="203"/>
      <c r="M27" s="203"/>
      <c r="N27" s="204"/>
      <c r="O27" s="205"/>
      <c r="P27" s="203"/>
      <c r="Q27" s="204"/>
      <c r="R27" s="370"/>
    </row>
    <row r="28" spans="1:18" ht="11.25" customHeight="1">
      <c r="A28" s="1271" t="str">
        <f>'A2-FinPerf SC'!A28</f>
        <v>Governance and administration</v>
      </c>
      <c r="B28" s="864"/>
      <c r="C28" s="1133">
        <f>SUM(C29:C31)</f>
        <v>27121842</v>
      </c>
      <c r="D28" s="1131">
        <f>SUM(D29:D31)</f>
        <v>26210003</v>
      </c>
      <c r="E28" s="1131">
        <f t="shared" ref="E28:M28" si="7">SUM(E29:E31)</f>
        <v>25802074</v>
      </c>
      <c r="F28" s="1131">
        <f t="shared" si="7"/>
        <v>25467455</v>
      </c>
      <c r="G28" s="1131">
        <f t="shared" si="7"/>
        <v>26165232</v>
      </c>
      <c r="H28" s="1131">
        <f t="shared" si="7"/>
        <v>26580996</v>
      </c>
      <c r="I28" s="1131">
        <f t="shared" si="7"/>
        <v>25286602</v>
      </c>
      <c r="J28" s="1131">
        <f t="shared" si="7"/>
        <v>24852623</v>
      </c>
      <c r="K28" s="1131">
        <f t="shared" si="7"/>
        <v>25299582</v>
      </c>
      <c r="L28" s="1131">
        <f t="shared" si="7"/>
        <v>26301462</v>
      </c>
      <c r="M28" s="1131">
        <f t="shared" si="7"/>
        <v>28054604</v>
      </c>
      <c r="N28" s="219">
        <f t="shared" ref="N28:N37" si="8">O28-SUM(C28:M28)</f>
        <v>184617701</v>
      </c>
      <c r="O28" s="220">
        <f>'A2-FinPerf SC'!I28</f>
        <v>471760176</v>
      </c>
      <c r="P28" s="218">
        <f>'A2-FinPerf SC'!J28</f>
        <v>467782732</v>
      </c>
      <c r="Q28" s="219">
        <f>'A2-FinPerf SC'!K28</f>
        <v>479373146</v>
      </c>
      <c r="R28" s="370"/>
    </row>
    <row r="29" spans="1:18" ht="11.25" customHeight="1">
      <c r="A29" s="1272" t="str">
        <f>'A2-FinPerf SC'!A29</f>
        <v>Executive and council</v>
      </c>
      <c r="B29" s="864"/>
      <c r="C29" s="1636">
        <v>9958262</v>
      </c>
      <c r="D29" s="1615">
        <v>8958620</v>
      </c>
      <c r="E29" s="1615">
        <v>9012598</v>
      </c>
      <c r="F29" s="1615">
        <v>9386852</v>
      </c>
      <c r="G29" s="1615">
        <v>9920589</v>
      </c>
      <c r="H29" s="1615">
        <v>9189890</v>
      </c>
      <c r="I29" s="1615">
        <v>8962400</v>
      </c>
      <c r="J29" s="1615">
        <v>8699111</v>
      </c>
      <c r="K29" s="1615">
        <v>9298920</v>
      </c>
      <c r="L29" s="1615">
        <v>10582620</v>
      </c>
      <c r="M29" s="1615">
        <v>10975980</v>
      </c>
      <c r="N29" s="204">
        <f t="shared" si="8"/>
        <v>41169717</v>
      </c>
      <c r="O29" s="205">
        <f>'A2-FinPerf SC'!I29</f>
        <v>146115559</v>
      </c>
      <c r="P29" s="203">
        <f>'A2-FinPerf SC'!J29</f>
        <v>143780482</v>
      </c>
      <c r="Q29" s="204">
        <f>'A2-FinPerf SC'!K29</f>
        <v>153620904</v>
      </c>
      <c r="R29" s="370"/>
    </row>
    <row r="30" spans="1:18" ht="11.25" customHeight="1">
      <c r="A30" s="1272" t="str">
        <f>'A2-FinPerf SC'!A30</f>
        <v>Budget and treasury office</v>
      </c>
      <c r="B30" s="864"/>
      <c r="C30" s="1640">
        <v>9564900</v>
      </c>
      <c r="D30" s="1638">
        <v>10265982</v>
      </c>
      <c r="E30" s="1638">
        <v>9578952</v>
      </c>
      <c r="F30" s="1638">
        <v>9021360</v>
      </c>
      <c r="G30" s="1638">
        <v>9258942</v>
      </c>
      <c r="H30" s="1638">
        <v>9801256</v>
      </c>
      <c r="I30" s="1638">
        <v>9800001</v>
      </c>
      <c r="J30" s="1638">
        <v>8935983</v>
      </c>
      <c r="K30" s="1638">
        <v>8301758</v>
      </c>
      <c r="L30" s="1638">
        <v>8258980</v>
      </c>
      <c r="M30" s="1638">
        <v>9025982</v>
      </c>
      <c r="N30" s="204">
        <f t="shared" si="8"/>
        <v>80260013</v>
      </c>
      <c r="O30" s="205">
        <f>'A2-FinPerf SC'!I30</f>
        <v>182074109</v>
      </c>
      <c r="P30" s="203">
        <f>'A2-FinPerf SC'!J30</f>
        <v>174164237</v>
      </c>
      <c r="Q30" s="204">
        <f>'A2-FinPerf SC'!K30</f>
        <v>165641919</v>
      </c>
      <c r="R30" s="370"/>
    </row>
    <row r="31" spans="1:18" ht="11.25" customHeight="1">
      <c r="A31" s="1272" t="str">
        <f>'A2-FinPerf SC'!A31</f>
        <v>Corporate services</v>
      </c>
      <c r="B31" s="864"/>
      <c r="C31" s="1636">
        <v>7598680</v>
      </c>
      <c r="D31" s="1615">
        <v>6985401</v>
      </c>
      <c r="E31" s="1615">
        <v>7210524</v>
      </c>
      <c r="F31" s="1615">
        <v>7059243</v>
      </c>
      <c r="G31" s="1615">
        <v>6985701</v>
      </c>
      <c r="H31" s="1615">
        <v>7589850</v>
      </c>
      <c r="I31" s="1615">
        <v>6524201</v>
      </c>
      <c r="J31" s="1615">
        <v>7217529</v>
      </c>
      <c r="K31" s="1615">
        <v>7698904</v>
      </c>
      <c r="L31" s="1615">
        <v>7459862</v>
      </c>
      <c r="M31" s="1615">
        <v>8052642</v>
      </c>
      <c r="N31" s="204">
        <f t="shared" si="8"/>
        <v>63187971</v>
      </c>
      <c r="O31" s="205">
        <f>'A2-FinPerf SC'!I31</f>
        <v>143570508</v>
      </c>
      <c r="P31" s="203">
        <f>'A2-FinPerf SC'!J31</f>
        <v>149838013</v>
      </c>
      <c r="Q31" s="204">
        <f>'A2-FinPerf SC'!K31</f>
        <v>160110323</v>
      </c>
      <c r="R31" s="370"/>
    </row>
    <row r="32" spans="1:18" ht="11.25" customHeight="1">
      <c r="A32" s="1271" t="str">
        <f>'A2-FinPerf SC'!A32</f>
        <v>Community and public safety</v>
      </c>
      <c r="B32" s="864"/>
      <c r="C32" s="1133">
        <f>SUM(C33:C37)</f>
        <v>15141294</v>
      </c>
      <c r="D32" s="1131">
        <f t="shared" ref="D32:M32" si="9">SUM(D33:D37)</f>
        <v>15900187</v>
      </c>
      <c r="E32" s="1131">
        <f t="shared" si="9"/>
        <v>15112016</v>
      </c>
      <c r="F32" s="1131">
        <f t="shared" si="9"/>
        <v>16671441</v>
      </c>
      <c r="G32" s="1131">
        <f t="shared" si="9"/>
        <v>15002805</v>
      </c>
      <c r="H32" s="1131">
        <f t="shared" si="9"/>
        <v>16833747</v>
      </c>
      <c r="I32" s="1131">
        <f t="shared" si="9"/>
        <v>17276020</v>
      </c>
      <c r="J32" s="1131">
        <f t="shared" si="9"/>
        <v>16795457</v>
      </c>
      <c r="K32" s="1131">
        <f t="shared" si="9"/>
        <v>16753826</v>
      </c>
      <c r="L32" s="1131">
        <f t="shared" si="9"/>
        <v>16724035</v>
      </c>
      <c r="M32" s="1131">
        <f t="shared" si="9"/>
        <v>17904838</v>
      </c>
      <c r="N32" s="219">
        <f t="shared" si="8"/>
        <v>134851564</v>
      </c>
      <c r="O32" s="220">
        <f>'A2-FinPerf SC'!I32</f>
        <v>314967230</v>
      </c>
      <c r="P32" s="218">
        <f>'A2-FinPerf SC'!J32</f>
        <v>330700319</v>
      </c>
      <c r="Q32" s="219">
        <f>'A2-FinPerf SC'!K32</f>
        <v>347938225</v>
      </c>
      <c r="R32" s="370"/>
    </row>
    <row r="33" spans="1:18" ht="11.25" customHeight="1">
      <c r="A33" s="1272" t="str">
        <f>'A2-FinPerf SC'!A33</f>
        <v>Community and social services</v>
      </c>
      <c r="B33" s="864"/>
      <c r="C33" s="1636">
        <v>3186520</v>
      </c>
      <c r="D33" s="1615">
        <v>3362590</v>
      </c>
      <c r="E33" s="1615">
        <v>3012598</v>
      </c>
      <c r="F33" s="1615">
        <v>3589540</v>
      </c>
      <c r="G33" s="1615">
        <v>3498989</v>
      </c>
      <c r="H33" s="1615">
        <v>3658957</v>
      </c>
      <c r="I33" s="1615">
        <v>3729800</v>
      </c>
      <c r="J33" s="1615">
        <v>3889890</v>
      </c>
      <c r="K33" s="1615">
        <v>3625120</v>
      </c>
      <c r="L33" s="1615">
        <v>3300124</v>
      </c>
      <c r="M33" s="1615">
        <v>3581250</v>
      </c>
      <c r="N33" s="204">
        <f t="shared" si="8"/>
        <v>11073046</v>
      </c>
      <c r="O33" s="205">
        <f>'A2-FinPerf SC'!I33</f>
        <v>49508424</v>
      </c>
      <c r="P33" s="203">
        <f>'A2-FinPerf SC'!J33</f>
        <v>52457543</v>
      </c>
      <c r="Q33" s="204">
        <f>'A2-FinPerf SC'!K33</f>
        <v>55577448</v>
      </c>
      <c r="R33" s="370"/>
    </row>
    <row r="34" spans="1:18" ht="11.25" customHeight="1">
      <c r="A34" s="1272" t="str">
        <f>'A2-FinPerf SC'!A34</f>
        <v>Sport and recreation</v>
      </c>
      <c r="B34" s="864"/>
      <c r="C34" s="1636">
        <v>3259856</v>
      </c>
      <c r="D34" s="1615">
        <v>3625287</v>
      </c>
      <c r="E34" s="1615">
        <v>3262520</v>
      </c>
      <c r="F34" s="1615">
        <v>3562642</v>
      </c>
      <c r="G34" s="1615">
        <v>3332510</v>
      </c>
      <c r="H34" s="1615">
        <v>3667946</v>
      </c>
      <c r="I34" s="1615">
        <v>3759586</v>
      </c>
      <c r="J34" s="1615">
        <v>3562985</v>
      </c>
      <c r="K34" s="1615">
        <v>3715298</v>
      </c>
      <c r="L34" s="1615">
        <v>3959821</v>
      </c>
      <c r="M34" s="1615">
        <v>4058756</v>
      </c>
      <c r="N34" s="204">
        <f t="shared" si="8"/>
        <v>61513653</v>
      </c>
      <c r="O34" s="205">
        <f>'A2-FinPerf SC'!I34</f>
        <v>101280860</v>
      </c>
      <c r="P34" s="203">
        <f>'A2-FinPerf SC'!J34</f>
        <v>104819956</v>
      </c>
      <c r="Q34" s="204">
        <f>'A2-FinPerf SC'!K34</f>
        <v>109957476</v>
      </c>
      <c r="R34" s="370"/>
    </row>
    <row r="35" spans="1:18" ht="11.25" customHeight="1">
      <c r="A35" s="1272" t="str">
        <f>'A2-FinPerf SC'!A35</f>
        <v>Public safety</v>
      </c>
      <c r="B35" s="864"/>
      <c r="C35" s="1636">
        <v>7210256</v>
      </c>
      <c r="D35" s="1615">
        <v>7495840</v>
      </c>
      <c r="E35" s="1615">
        <v>7251890</v>
      </c>
      <c r="F35" s="1615">
        <v>7951985</v>
      </c>
      <c r="G35" s="1615">
        <v>6726598</v>
      </c>
      <c r="H35" s="1615">
        <v>7926890</v>
      </c>
      <c r="I35" s="1615">
        <v>8259587</v>
      </c>
      <c r="J35" s="1615">
        <v>7822140</v>
      </c>
      <c r="K35" s="1615">
        <v>7895500</v>
      </c>
      <c r="L35" s="1615">
        <v>7895680</v>
      </c>
      <c r="M35" s="1615">
        <v>8656420</v>
      </c>
      <c r="N35" s="204">
        <f t="shared" si="8"/>
        <v>45288022</v>
      </c>
      <c r="O35" s="205">
        <f>'A2-FinPerf SC'!I35</f>
        <v>130380808</v>
      </c>
      <c r="P35" s="203">
        <f>'A2-FinPerf SC'!J35</f>
        <v>138063143</v>
      </c>
      <c r="Q35" s="204">
        <f>'A2-FinPerf SC'!K35</f>
        <v>145411296</v>
      </c>
      <c r="R35" s="370"/>
    </row>
    <row r="36" spans="1:18" ht="11.25" customHeight="1">
      <c r="A36" s="1272" t="str">
        <f>'A2-FinPerf SC'!A36</f>
        <v>Housing</v>
      </c>
      <c r="B36" s="864"/>
      <c r="C36" s="1636">
        <v>592012</v>
      </c>
      <c r="D36" s="1615">
        <v>609890</v>
      </c>
      <c r="E36" s="1615">
        <v>682598</v>
      </c>
      <c r="F36" s="1615">
        <v>707520</v>
      </c>
      <c r="G36" s="1615">
        <v>644125</v>
      </c>
      <c r="H36" s="1615">
        <v>680628</v>
      </c>
      <c r="I36" s="1615">
        <v>607589</v>
      </c>
      <c r="J36" s="1615">
        <v>632416</v>
      </c>
      <c r="K36" s="1615">
        <v>615898</v>
      </c>
      <c r="L36" s="1615">
        <v>668952</v>
      </c>
      <c r="M36" s="1615">
        <v>621820</v>
      </c>
      <c r="N36" s="204">
        <f t="shared" si="8"/>
        <v>13025567</v>
      </c>
      <c r="O36" s="205">
        <f>'A2-FinPerf SC'!I36</f>
        <v>20089015</v>
      </c>
      <c r="P36" s="203">
        <f>'A2-FinPerf SC'!J36</f>
        <v>20807285</v>
      </c>
      <c r="Q36" s="204">
        <f>'A2-FinPerf SC'!K36</f>
        <v>21834649</v>
      </c>
      <c r="R36" s="370"/>
    </row>
    <row r="37" spans="1:18" ht="11.25" customHeight="1">
      <c r="A37" s="1272" t="str">
        <f>'A2-FinPerf SC'!A37</f>
        <v>Health</v>
      </c>
      <c r="B37" s="864"/>
      <c r="C37" s="1636">
        <v>892650</v>
      </c>
      <c r="D37" s="1615">
        <v>806580</v>
      </c>
      <c r="E37" s="1615">
        <v>902410</v>
      </c>
      <c r="F37" s="1615">
        <v>859754</v>
      </c>
      <c r="G37" s="1615">
        <v>800583</v>
      </c>
      <c r="H37" s="1615">
        <v>899326</v>
      </c>
      <c r="I37" s="1615">
        <v>919458</v>
      </c>
      <c r="J37" s="1615">
        <v>888026</v>
      </c>
      <c r="K37" s="1615">
        <v>902010</v>
      </c>
      <c r="L37" s="1615">
        <v>899458</v>
      </c>
      <c r="M37" s="1615">
        <v>986592</v>
      </c>
      <c r="N37" s="204">
        <f t="shared" si="8"/>
        <v>3951276</v>
      </c>
      <c r="O37" s="205">
        <f>'A2-FinPerf SC'!I37</f>
        <v>13708123</v>
      </c>
      <c r="P37" s="203">
        <f>'A2-FinPerf SC'!J37</f>
        <v>14552392</v>
      </c>
      <c r="Q37" s="204">
        <f>'A2-FinPerf SC'!K37</f>
        <v>15157356</v>
      </c>
      <c r="R37" s="370"/>
    </row>
    <row r="38" spans="1:18" ht="11.25" customHeight="1">
      <c r="A38" s="1271" t="str">
        <f>'A2-FinPerf SC'!A38</f>
        <v>Economic and environmental services</v>
      </c>
      <c r="B38" s="864"/>
      <c r="C38" s="1133">
        <f>SUM(C39:C41)</f>
        <v>10276557</v>
      </c>
      <c r="D38" s="1131">
        <f t="shared" ref="D38:M38" si="10">SUM(D39:D41)</f>
        <v>10205393</v>
      </c>
      <c r="E38" s="1131">
        <f t="shared" si="10"/>
        <v>10797634</v>
      </c>
      <c r="F38" s="1131">
        <f t="shared" si="10"/>
        <v>10568609</v>
      </c>
      <c r="G38" s="1131">
        <f t="shared" si="10"/>
        <v>11078716</v>
      </c>
      <c r="H38" s="1131">
        <f t="shared" si="10"/>
        <v>10808733</v>
      </c>
      <c r="I38" s="1131">
        <f t="shared" si="10"/>
        <v>10095941</v>
      </c>
      <c r="J38" s="1131">
        <f t="shared" si="10"/>
        <v>10996321</v>
      </c>
      <c r="K38" s="1131">
        <f t="shared" si="10"/>
        <v>11158582</v>
      </c>
      <c r="L38" s="1131">
        <f t="shared" si="10"/>
        <v>11488718</v>
      </c>
      <c r="M38" s="1131">
        <f t="shared" si="10"/>
        <v>11134030</v>
      </c>
      <c r="N38" s="219">
        <f t="shared" ref="N38:N47" si="11">O38-SUM(C38:M38)</f>
        <v>139023492</v>
      </c>
      <c r="O38" s="220">
        <f>'A2-FinPerf SC'!I38</f>
        <v>257632726</v>
      </c>
      <c r="P38" s="218">
        <f>'A2-FinPerf SC'!J38</f>
        <v>256398230</v>
      </c>
      <c r="Q38" s="219">
        <f>'A2-FinPerf SC'!K38</f>
        <v>274030901</v>
      </c>
      <c r="R38" s="370"/>
    </row>
    <row r="39" spans="1:18" ht="11.25" customHeight="1">
      <c r="A39" s="1272" t="str">
        <f>'A2-FinPerf SC'!A39</f>
        <v>Planning and development</v>
      </c>
      <c r="B39" s="864"/>
      <c r="C39" s="1636">
        <v>2258987</v>
      </c>
      <c r="D39" s="1615">
        <v>2403251</v>
      </c>
      <c r="E39" s="1615">
        <v>2698562</v>
      </c>
      <c r="F39" s="1615">
        <v>2549010</v>
      </c>
      <c r="G39" s="1615">
        <v>2759860</v>
      </c>
      <c r="H39" s="1615">
        <v>2558700</v>
      </c>
      <c r="I39" s="1615">
        <v>2023201</v>
      </c>
      <c r="J39" s="1615">
        <v>2398701</v>
      </c>
      <c r="K39" s="1615">
        <v>2659987</v>
      </c>
      <c r="L39" s="1615">
        <v>2168562</v>
      </c>
      <c r="M39" s="1615">
        <v>2049830</v>
      </c>
      <c r="N39" s="204">
        <f t="shared" si="11"/>
        <v>18638458</v>
      </c>
      <c r="O39" s="205">
        <f>'A2-FinPerf SC'!I39</f>
        <v>45167109</v>
      </c>
      <c r="P39" s="203">
        <f>'A2-FinPerf SC'!J39</f>
        <v>41060514</v>
      </c>
      <c r="Q39" s="204">
        <f>'A2-FinPerf SC'!K39</f>
        <v>44708619</v>
      </c>
      <c r="R39" s="370"/>
    </row>
    <row r="40" spans="1:18" ht="11.25" customHeight="1">
      <c r="A40" s="1272" t="str">
        <f>'A2-FinPerf SC'!A40</f>
        <v>Road transport</v>
      </c>
      <c r="B40" s="864"/>
      <c r="C40" s="1636">
        <v>7098980</v>
      </c>
      <c r="D40" s="1615">
        <v>6901254</v>
      </c>
      <c r="E40" s="1615">
        <v>7120120</v>
      </c>
      <c r="F40" s="1615">
        <v>7059710</v>
      </c>
      <c r="G40" s="1615">
        <v>7336259</v>
      </c>
      <c r="H40" s="1615">
        <v>7257933</v>
      </c>
      <c r="I40" s="1615">
        <v>7021500</v>
      </c>
      <c r="J40" s="1615">
        <v>7498650</v>
      </c>
      <c r="K40" s="1615">
        <v>7590000</v>
      </c>
      <c r="L40" s="1615">
        <v>8221580</v>
      </c>
      <c r="M40" s="1615">
        <v>7957620</v>
      </c>
      <c r="N40" s="204">
        <f t="shared" si="11"/>
        <v>120319849</v>
      </c>
      <c r="O40" s="205">
        <f>'A2-FinPerf SC'!I40</f>
        <v>201383455</v>
      </c>
      <c r="P40" s="203">
        <f>'A2-FinPerf SC'!J40</f>
        <v>204516456</v>
      </c>
      <c r="Q40" s="204">
        <f>'A2-FinPerf SC'!K40</f>
        <v>218008481</v>
      </c>
      <c r="R40" s="370"/>
    </row>
    <row r="41" spans="1:18" ht="11.25" customHeight="1">
      <c r="A41" s="1272" t="str">
        <f>'A2-FinPerf SC'!A41</f>
        <v>Environmental protection</v>
      </c>
      <c r="B41" s="864"/>
      <c r="C41" s="1636">
        <v>918590</v>
      </c>
      <c r="D41" s="1615">
        <v>900888</v>
      </c>
      <c r="E41" s="1615">
        <v>978952</v>
      </c>
      <c r="F41" s="1615">
        <v>959889</v>
      </c>
      <c r="G41" s="1615">
        <v>982597</v>
      </c>
      <c r="H41" s="1615">
        <v>992100</v>
      </c>
      <c r="I41" s="1615">
        <v>1051240</v>
      </c>
      <c r="J41" s="1615">
        <v>1098970</v>
      </c>
      <c r="K41" s="1615">
        <v>908595</v>
      </c>
      <c r="L41" s="1615">
        <v>1098576</v>
      </c>
      <c r="M41" s="1615">
        <v>1126580</v>
      </c>
      <c r="N41" s="204">
        <f t="shared" si="11"/>
        <v>65185</v>
      </c>
      <c r="O41" s="205">
        <f>'A2-FinPerf SC'!I41</f>
        <v>11082162</v>
      </c>
      <c r="P41" s="203">
        <f>'A2-FinPerf SC'!J41</f>
        <v>10821260</v>
      </c>
      <c r="Q41" s="204">
        <f>'A2-FinPerf SC'!K41</f>
        <v>11313801</v>
      </c>
      <c r="R41" s="370"/>
    </row>
    <row r="42" spans="1:18" ht="11.25" customHeight="1">
      <c r="A42" s="1271" t="str">
        <f>'A2-FinPerf SC'!A42</f>
        <v>Trading services</v>
      </c>
      <c r="B42" s="864"/>
      <c r="C42" s="1133">
        <f>SUM(C43:C46)</f>
        <v>146359955</v>
      </c>
      <c r="D42" s="1131">
        <f t="shared" ref="D42:M42" si="12">SUM(D43:D46)</f>
        <v>136940272</v>
      </c>
      <c r="E42" s="1131">
        <f t="shared" si="12"/>
        <v>145329030</v>
      </c>
      <c r="F42" s="1131">
        <f t="shared" si="12"/>
        <v>151855878</v>
      </c>
      <c r="G42" s="1131">
        <f t="shared" si="12"/>
        <v>141742940</v>
      </c>
      <c r="H42" s="1131">
        <f t="shared" si="12"/>
        <v>153950740</v>
      </c>
      <c r="I42" s="1131">
        <f t="shared" si="12"/>
        <v>157829305</v>
      </c>
      <c r="J42" s="1131">
        <f t="shared" si="12"/>
        <v>159853925</v>
      </c>
      <c r="K42" s="1131">
        <f t="shared" si="12"/>
        <v>165017889</v>
      </c>
      <c r="L42" s="1131">
        <f t="shared" si="12"/>
        <v>168343485</v>
      </c>
      <c r="M42" s="1131">
        <f t="shared" si="12"/>
        <v>170934507</v>
      </c>
      <c r="N42" s="219">
        <f>O42-SUM(C42:M42)</f>
        <v>-31723859</v>
      </c>
      <c r="O42" s="220">
        <f>'A2-FinPerf SC'!I42</f>
        <v>1666434067</v>
      </c>
      <c r="P42" s="218">
        <f>'A2-FinPerf SC'!J42</f>
        <v>1743667366</v>
      </c>
      <c r="Q42" s="219">
        <f>'A2-FinPerf SC'!K42</f>
        <v>1879298406</v>
      </c>
      <c r="R42" s="370"/>
    </row>
    <row r="43" spans="1:18" ht="11.25" customHeight="1">
      <c r="A43" s="1272" t="str">
        <f>'A2-FinPerf SC'!A43</f>
        <v>Electricity</v>
      </c>
      <c r="B43" s="864"/>
      <c r="C43" s="1636">
        <v>104920187</v>
      </c>
      <c r="D43" s="1615">
        <v>95596200</v>
      </c>
      <c r="E43" s="1615">
        <v>103550520</v>
      </c>
      <c r="F43" s="1615">
        <v>111252120</v>
      </c>
      <c r="G43" s="1615">
        <v>98650042</v>
      </c>
      <c r="H43" s="1615">
        <v>111652200</v>
      </c>
      <c r="I43" s="1615">
        <v>116379333</v>
      </c>
      <c r="J43" s="1615">
        <v>115998001</v>
      </c>
      <c r="K43" s="1615">
        <v>124571700</v>
      </c>
      <c r="L43" s="1615">
        <v>125189870</v>
      </c>
      <c r="M43" s="1615">
        <v>128548014</v>
      </c>
      <c r="N43" s="204">
        <f t="shared" si="11"/>
        <v>-335554122</v>
      </c>
      <c r="O43" s="205">
        <f>'A2-FinPerf SC'!I43</f>
        <v>900754065</v>
      </c>
      <c r="P43" s="203">
        <f>'A2-FinPerf SC'!J43</f>
        <v>961648984</v>
      </c>
      <c r="Q43" s="204">
        <f>'A2-FinPerf SC'!K43</f>
        <v>1029356159</v>
      </c>
      <c r="R43" s="370"/>
    </row>
    <row r="44" spans="1:18" ht="11.25" customHeight="1">
      <c r="A44" s="1272" t="str">
        <f>'A2-FinPerf SC'!A44</f>
        <v>Water</v>
      </c>
      <c r="B44" s="864"/>
      <c r="C44" s="1636">
        <v>29264987</v>
      </c>
      <c r="D44" s="1615">
        <v>27298020</v>
      </c>
      <c r="E44" s="1615">
        <v>29098980</v>
      </c>
      <c r="F44" s="1615">
        <v>28098024</v>
      </c>
      <c r="G44" s="1615">
        <v>30298501</v>
      </c>
      <c r="H44" s="1615">
        <v>28175870</v>
      </c>
      <c r="I44" s="1615">
        <v>26878801</v>
      </c>
      <c r="J44" s="1615">
        <v>29698597</v>
      </c>
      <c r="K44" s="1615">
        <v>27986890</v>
      </c>
      <c r="L44" s="1615">
        <v>30326552</v>
      </c>
      <c r="M44" s="1615">
        <v>28980120</v>
      </c>
      <c r="N44" s="204">
        <f t="shared" si="11"/>
        <v>187632261</v>
      </c>
      <c r="O44" s="205">
        <f>'A2-FinPerf SC'!I44</f>
        <v>503737603</v>
      </c>
      <c r="P44" s="203">
        <f>'A2-FinPerf SC'!J44</f>
        <v>520075641</v>
      </c>
      <c r="Q44" s="204">
        <f>'A2-FinPerf SC'!K44</f>
        <v>543230764</v>
      </c>
      <c r="R44" s="370"/>
    </row>
    <row r="45" spans="1:18" ht="11.25" customHeight="1">
      <c r="A45" s="1272" t="str">
        <f>'A2-FinPerf SC'!A45</f>
        <v>Waste water management</v>
      </c>
      <c r="B45" s="864"/>
      <c r="C45" s="1636">
        <v>6084980</v>
      </c>
      <c r="D45" s="1615">
        <v>7125624</v>
      </c>
      <c r="E45" s="1615">
        <v>6422110</v>
      </c>
      <c r="F45" s="1615">
        <v>6215982</v>
      </c>
      <c r="G45" s="1615">
        <v>6795821</v>
      </c>
      <c r="H45" s="1615">
        <v>7120012</v>
      </c>
      <c r="I45" s="1615">
        <v>6985957</v>
      </c>
      <c r="J45" s="1615">
        <v>7098568</v>
      </c>
      <c r="K45" s="1615">
        <v>6359800</v>
      </c>
      <c r="L45" s="1615">
        <v>6958015</v>
      </c>
      <c r="M45" s="1615">
        <v>6820133</v>
      </c>
      <c r="N45" s="204">
        <f t="shared" si="11"/>
        <v>70661873</v>
      </c>
      <c r="O45" s="205">
        <f>'A2-FinPerf SC'!I45</f>
        <v>144648875</v>
      </c>
      <c r="P45" s="203">
        <f>'A2-FinPerf SC'!J45</f>
        <v>145151141</v>
      </c>
      <c r="Q45" s="204">
        <f>'A2-FinPerf SC'!K45</f>
        <v>186332882</v>
      </c>
      <c r="R45" s="370"/>
    </row>
    <row r="46" spans="1:18" ht="11.25" customHeight="1">
      <c r="A46" s="1272" t="str">
        <f>'A2-FinPerf SC'!A46</f>
        <v>Waste management</v>
      </c>
      <c r="B46" s="864"/>
      <c r="C46" s="1636">
        <v>6089801</v>
      </c>
      <c r="D46" s="1615">
        <v>6920428</v>
      </c>
      <c r="E46" s="1615">
        <v>6257420</v>
      </c>
      <c r="F46" s="1615">
        <v>6289752</v>
      </c>
      <c r="G46" s="1615">
        <v>5998576</v>
      </c>
      <c r="H46" s="1615">
        <v>7002658</v>
      </c>
      <c r="I46" s="1615">
        <v>7585214</v>
      </c>
      <c r="J46" s="1615">
        <v>7058759</v>
      </c>
      <c r="K46" s="1615">
        <v>6099499</v>
      </c>
      <c r="L46" s="1615">
        <v>5869048</v>
      </c>
      <c r="M46" s="1615">
        <v>6586240</v>
      </c>
      <c r="N46" s="204">
        <f t="shared" si="11"/>
        <v>45536129</v>
      </c>
      <c r="O46" s="205">
        <f>'A2-FinPerf SC'!I46</f>
        <v>117293524</v>
      </c>
      <c r="P46" s="203">
        <f>'A2-FinPerf SC'!J46</f>
        <v>116791600</v>
      </c>
      <c r="Q46" s="204">
        <f>'A2-FinPerf SC'!K46</f>
        <v>120378601</v>
      </c>
      <c r="R46" s="370"/>
    </row>
    <row r="47" spans="1:18" ht="11.25" customHeight="1">
      <c r="A47" s="1271" t="str">
        <f>'A2-FinPerf SC'!A47</f>
        <v>Other</v>
      </c>
      <c r="B47" s="864"/>
      <c r="C47" s="1650"/>
      <c r="D47" s="1648"/>
      <c r="E47" s="1648"/>
      <c r="F47" s="1648"/>
      <c r="G47" s="1648"/>
      <c r="H47" s="1648"/>
      <c r="I47" s="1648"/>
      <c r="J47" s="1648"/>
      <c r="K47" s="1648"/>
      <c r="L47" s="1648"/>
      <c r="M47" s="1648"/>
      <c r="N47" s="219">
        <f t="shared" si="11"/>
        <v>0</v>
      </c>
      <c r="O47" s="220">
        <f>'A2-FinPerf SC'!I47</f>
        <v>0</v>
      </c>
      <c r="P47" s="218">
        <f>'A2-FinPerf SC'!J47</f>
        <v>0</v>
      </c>
      <c r="Q47" s="219">
        <f>'A2-FinPerf SC'!K47</f>
        <v>0</v>
      </c>
      <c r="R47" s="370"/>
    </row>
    <row r="48" spans="1:18">
      <c r="A48" s="265" t="str">
        <f>'A2-FinPerf SC'!A48</f>
        <v>Total Expenditure - Standard</v>
      </c>
      <c r="B48" s="865"/>
      <c r="C48" s="269">
        <f>C28+C32+C38+C42+C47</f>
        <v>198899648</v>
      </c>
      <c r="D48" s="267">
        <f t="shared" ref="D48:P48" si="13">D28+D32+D38+D42+D47</f>
        <v>189255855</v>
      </c>
      <c r="E48" s="267">
        <f t="shared" si="13"/>
        <v>197040754</v>
      </c>
      <c r="F48" s="267">
        <f t="shared" si="13"/>
        <v>204563383</v>
      </c>
      <c r="G48" s="267">
        <f t="shared" si="13"/>
        <v>193989693</v>
      </c>
      <c r="H48" s="267">
        <f t="shared" si="13"/>
        <v>208174216</v>
      </c>
      <c r="I48" s="267">
        <f t="shared" si="13"/>
        <v>210487868</v>
      </c>
      <c r="J48" s="267">
        <f t="shared" si="13"/>
        <v>212498326</v>
      </c>
      <c r="K48" s="267">
        <f t="shared" si="13"/>
        <v>218229879</v>
      </c>
      <c r="L48" s="267">
        <f t="shared" si="13"/>
        <v>222857700</v>
      </c>
      <c r="M48" s="267">
        <f t="shared" si="13"/>
        <v>228027979</v>
      </c>
      <c r="N48" s="214">
        <f t="shared" si="13"/>
        <v>426768898</v>
      </c>
      <c r="O48" s="215">
        <f t="shared" si="13"/>
        <v>2710794199</v>
      </c>
      <c r="P48" s="213">
        <f t="shared" si="13"/>
        <v>2798548647</v>
      </c>
      <c r="Q48" s="214">
        <f>Q28+Q32+Q38+Q42+Q47</f>
        <v>2980640678</v>
      </c>
      <c r="R48" s="370"/>
    </row>
    <row r="49" spans="1:18" ht="6" customHeight="1">
      <c r="A49" s="273"/>
      <c r="B49" s="864"/>
      <c r="C49" s="205"/>
      <c r="D49" s="203"/>
      <c r="E49" s="203"/>
      <c r="F49" s="203"/>
      <c r="G49" s="203"/>
      <c r="H49" s="203"/>
      <c r="I49" s="203"/>
      <c r="J49" s="203"/>
      <c r="K49" s="203"/>
      <c r="L49" s="203"/>
      <c r="M49" s="203"/>
      <c r="N49" s="204"/>
      <c r="O49" s="205"/>
      <c r="P49" s="203"/>
      <c r="Q49" s="204"/>
      <c r="R49" s="370"/>
    </row>
    <row r="50" spans="1:18">
      <c r="A50" s="868" t="str">
        <f>'A4-FinPerf RE'!A38&amp;" before assoc."</f>
        <v>Surplus/(Deficit) before assoc.</v>
      </c>
      <c r="B50" s="869"/>
      <c r="C50" s="215">
        <f t="shared" ref="C50:Q50" si="14">C25-C48</f>
        <v>78369960</v>
      </c>
      <c r="D50" s="213">
        <f t="shared" si="14"/>
        <v>-11833471</v>
      </c>
      <c r="E50" s="213">
        <f t="shared" si="14"/>
        <v>-15707896</v>
      </c>
      <c r="F50" s="213">
        <f t="shared" si="14"/>
        <v>-19893771</v>
      </c>
      <c r="G50" s="213">
        <f t="shared" si="14"/>
        <v>66654337</v>
      </c>
      <c r="H50" s="213">
        <f t="shared" si="14"/>
        <v>-18499956</v>
      </c>
      <c r="I50" s="213">
        <f t="shared" si="14"/>
        <v>-15752856</v>
      </c>
      <c r="J50" s="213">
        <f t="shared" si="14"/>
        <v>-17564474</v>
      </c>
      <c r="K50" s="213">
        <f t="shared" si="14"/>
        <v>61947960</v>
      </c>
      <c r="L50" s="213">
        <f t="shared" si="14"/>
        <v>-10685329</v>
      </c>
      <c r="M50" s="213">
        <f t="shared" si="14"/>
        <v>-8701919</v>
      </c>
      <c r="N50" s="214">
        <f t="shared" si="14"/>
        <v>-69851249</v>
      </c>
      <c r="O50" s="215">
        <f t="shared" si="14"/>
        <v>18481336</v>
      </c>
      <c r="P50" s="213">
        <f t="shared" si="14"/>
        <v>35673304</v>
      </c>
      <c r="Q50" s="214">
        <f t="shared" si="14"/>
        <v>91466656</v>
      </c>
      <c r="R50" s="370"/>
    </row>
    <row r="51" spans="1:18" ht="6" customHeight="1">
      <c r="A51" s="273"/>
      <c r="B51" s="864"/>
      <c r="C51" s="205"/>
      <c r="D51" s="203"/>
      <c r="E51" s="203"/>
      <c r="F51" s="203"/>
      <c r="G51" s="203"/>
      <c r="H51" s="203"/>
      <c r="I51" s="203"/>
      <c r="J51" s="203"/>
      <c r="K51" s="203"/>
      <c r="L51" s="203"/>
      <c r="M51" s="203"/>
      <c r="N51" s="204"/>
      <c r="O51" s="205"/>
      <c r="P51" s="203"/>
      <c r="Q51" s="204"/>
      <c r="R51" s="370"/>
    </row>
    <row r="52" spans="1:18">
      <c r="A52" s="524" t="str">
        <f>'A4-FinPerf RE'!A47</f>
        <v>Share of surplus/ (deficit) of associate</v>
      </c>
      <c r="B52" s="876"/>
      <c r="C52" s="1636"/>
      <c r="D52" s="1615"/>
      <c r="E52" s="1615"/>
      <c r="F52" s="1615"/>
      <c r="G52" s="1615"/>
      <c r="H52" s="1615"/>
      <c r="I52" s="1615"/>
      <c r="J52" s="1615"/>
      <c r="K52" s="1615"/>
      <c r="L52" s="1615"/>
      <c r="M52" s="1615"/>
      <c r="N52" s="204">
        <f>O52-SUM(C52:M52)</f>
        <v>0</v>
      </c>
      <c r="O52" s="205">
        <f>'A4-FinPerf RE'!J47</f>
        <v>0</v>
      </c>
      <c r="P52" s="203">
        <f>'A4-FinPerf RE'!K47</f>
        <v>0</v>
      </c>
      <c r="Q52" s="204">
        <f>'A4-FinPerf RE'!L47</f>
        <v>0</v>
      </c>
      <c r="R52" s="370"/>
    </row>
    <row r="53" spans="1:18">
      <c r="A53" s="849" t="str">
        <f>'A4-FinPerf RE'!A38</f>
        <v>Surplus/(Deficit)</v>
      </c>
      <c r="B53" s="877">
        <v>1</v>
      </c>
      <c r="C53" s="353">
        <f>C50+C52</f>
        <v>78369960</v>
      </c>
      <c r="D53" s="227">
        <f t="shared" ref="D53:Q53" si="15">D50+D52</f>
        <v>-11833471</v>
      </c>
      <c r="E53" s="227">
        <f t="shared" si="15"/>
        <v>-15707896</v>
      </c>
      <c r="F53" s="227">
        <f t="shared" si="15"/>
        <v>-19893771</v>
      </c>
      <c r="G53" s="227">
        <f t="shared" si="15"/>
        <v>66654337</v>
      </c>
      <c r="H53" s="227">
        <f t="shared" si="15"/>
        <v>-18499956</v>
      </c>
      <c r="I53" s="227">
        <f t="shared" si="15"/>
        <v>-15752856</v>
      </c>
      <c r="J53" s="227">
        <f t="shared" si="15"/>
        <v>-17564474</v>
      </c>
      <c r="K53" s="227">
        <f t="shared" si="15"/>
        <v>61947960</v>
      </c>
      <c r="L53" s="227">
        <f t="shared" si="15"/>
        <v>-10685329</v>
      </c>
      <c r="M53" s="227">
        <f t="shared" si="15"/>
        <v>-8701919</v>
      </c>
      <c r="N53" s="352">
        <f t="shared" si="15"/>
        <v>-69851249</v>
      </c>
      <c r="O53" s="353">
        <f t="shared" si="15"/>
        <v>18481336</v>
      </c>
      <c r="P53" s="227">
        <f t="shared" si="15"/>
        <v>35673304</v>
      </c>
      <c r="Q53" s="352">
        <f t="shared" si="15"/>
        <v>91466656</v>
      </c>
      <c r="R53" s="370"/>
    </row>
    <row r="54" spans="1:18">
      <c r="A54" s="878" t="str">
        <f>head27a</f>
        <v>References</v>
      </c>
      <c r="B54" s="880"/>
      <c r="C54" s="238"/>
      <c r="D54" s="238"/>
      <c r="E54" s="238"/>
      <c r="F54" s="238"/>
      <c r="G54" s="238"/>
      <c r="H54" s="238"/>
      <c r="I54" s="238"/>
      <c r="J54" s="238"/>
      <c r="K54" s="238"/>
      <c r="L54" s="238"/>
      <c r="M54" s="238"/>
      <c r="N54" s="238"/>
      <c r="O54" s="238"/>
      <c r="P54" s="238"/>
      <c r="Q54" s="238"/>
      <c r="R54" s="370"/>
    </row>
    <row r="55" spans="1:18">
      <c r="A55" s="833" t="s">
        <v>1612</v>
      </c>
    </row>
    <row r="56" spans="1:18">
      <c r="A56" s="437" t="s">
        <v>1524</v>
      </c>
      <c r="B56" s="805"/>
      <c r="O56" s="879">
        <f>O53-'A4-FinPerf RE'!J48</f>
        <v>18481336</v>
      </c>
      <c r="P56" s="879">
        <f>P53-'A4-FinPerf RE'!K48</f>
        <v>35673304</v>
      </c>
      <c r="Q56" s="879">
        <f>Q53-'A4-FinPerf RE'!L48</f>
        <v>91466656</v>
      </c>
    </row>
  </sheetData>
  <sheetProtection sheet="1" objects="1" scenarios="1"/>
  <mergeCells count="2">
    <mergeCell ref="C2:N2"/>
    <mergeCell ref="O2:Q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tabColor indexed="42"/>
  </sheetPr>
  <dimension ref="A1:T47"/>
  <sheetViews>
    <sheetView showGridLines="0" workbookViewId="0">
      <pane xSplit="2" ySplit="3" topLeftCell="C4" activePane="bottomRight" state="frozen"/>
      <selection pane="topRight"/>
      <selection pane="bottomLeft"/>
      <selection pane="bottomRight" activeCell="C5" sqref="C5:I13"/>
    </sheetView>
  </sheetViews>
  <sheetFormatPr baseColWidth="10" defaultColWidth="8.83203125" defaultRowHeight="10" x14ac:dyDescent="0"/>
  <cols>
    <col min="1" max="1" width="30.6640625" style="149" customWidth="1"/>
    <col min="2" max="2" width="3" style="247" customWidth="1"/>
    <col min="3" max="14" width="8.33203125" style="149" customWidth="1"/>
    <col min="15" max="17" width="9.33203125" style="149" customWidth="1"/>
    <col min="18" max="16384" width="8.83203125" style="149"/>
  </cols>
  <sheetData>
    <row r="1" spans="1:17" ht="13.5" customHeight="1">
      <c r="A1" s="147" t="str">
        <f>muni&amp;" - "&amp; TableA28</f>
        <v>NW373 Rustenburg - Supporting Table SA28 Consolidated budgeted monthly capital expenditure (municipal vote)</v>
      </c>
      <c r="B1" s="147"/>
      <c r="C1" s="147"/>
      <c r="D1" s="147"/>
      <c r="E1" s="147"/>
      <c r="F1" s="147"/>
      <c r="G1" s="147"/>
      <c r="H1" s="147"/>
      <c r="I1" s="147"/>
      <c r="J1" s="147"/>
      <c r="K1" s="147"/>
      <c r="L1" s="147"/>
      <c r="M1" s="147"/>
      <c r="N1" s="147"/>
      <c r="O1" s="147"/>
      <c r="P1" s="147"/>
      <c r="Q1" s="147"/>
    </row>
    <row r="2" spans="1:17" ht="27" customHeight="1">
      <c r="A2" s="985" t="str">
        <f>desc</f>
        <v>Description</v>
      </c>
      <c r="B2" s="997" t="str">
        <f>head27</f>
        <v>Ref</v>
      </c>
      <c r="C2" s="2765" t="str">
        <f>Head9</f>
        <v>Budget Year 2013/14</v>
      </c>
      <c r="D2" s="2766"/>
      <c r="E2" s="2766"/>
      <c r="F2" s="2766"/>
      <c r="G2" s="2766"/>
      <c r="H2" s="2766"/>
      <c r="I2" s="2766"/>
      <c r="J2" s="2766"/>
      <c r="K2" s="2766"/>
      <c r="L2" s="2766"/>
      <c r="M2" s="2766"/>
      <c r="N2" s="2766"/>
      <c r="O2" s="2762" t="s">
        <v>1802</v>
      </c>
      <c r="P2" s="2763"/>
      <c r="Q2" s="2764"/>
    </row>
    <row r="3" spans="1:17" ht="20">
      <c r="A3" s="992" t="s">
        <v>667</v>
      </c>
      <c r="B3" s="998"/>
      <c r="C3" s="299" t="s">
        <v>725</v>
      </c>
      <c r="D3" s="928" t="s">
        <v>1412</v>
      </c>
      <c r="E3" s="928" t="s">
        <v>1413</v>
      </c>
      <c r="F3" s="928" t="s">
        <v>1414</v>
      </c>
      <c r="G3" s="928" t="s">
        <v>422</v>
      </c>
      <c r="H3" s="928" t="s">
        <v>423</v>
      </c>
      <c r="I3" s="928" t="s">
        <v>708</v>
      </c>
      <c r="J3" s="928" t="s">
        <v>424</v>
      </c>
      <c r="K3" s="928" t="s">
        <v>710</v>
      </c>
      <c r="L3" s="928" t="s">
        <v>711</v>
      </c>
      <c r="M3" s="928" t="s">
        <v>712</v>
      </c>
      <c r="N3" s="389" t="s">
        <v>713</v>
      </c>
      <c r="O3" s="299" t="str">
        <f>Head9</f>
        <v>Budget Year 2013/14</v>
      </c>
      <c r="P3" s="390" t="str">
        <f>Head10</f>
        <v>Budget Year +1 2014/15</v>
      </c>
      <c r="Q3" s="391" t="str">
        <f>Head11</f>
        <v>Budget Year +2 2015/16</v>
      </c>
    </row>
    <row r="4" spans="1:17">
      <c r="A4" s="181" t="s">
        <v>353</v>
      </c>
      <c r="B4" s="994">
        <v>1</v>
      </c>
      <c r="C4" s="205"/>
      <c r="D4" s="203"/>
      <c r="E4" s="203"/>
      <c r="F4" s="203"/>
      <c r="G4" s="203"/>
      <c r="H4" s="203"/>
      <c r="I4" s="203"/>
      <c r="J4" s="203"/>
      <c r="K4" s="203"/>
      <c r="L4" s="203"/>
      <c r="M4" s="203"/>
      <c r="N4" s="202"/>
      <c r="O4" s="205"/>
      <c r="P4" s="203"/>
      <c r="Q4" s="204"/>
    </row>
    <row r="5" spans="1:17">
      <c r="A5" s="1137" t="str">
        <f>'A5-Capex'!A6</f>
        <v>Vote 1 - EXECUTIVE MAYOR</v>
      </c>
      <c r="B5" s="864"/>
      <c r="C5" s="1636">
        <v>7018</v>
      </c>
      <c r="D5" s="1615">
        <v>0</v>
      </c>
      <c r="E5" s="1615">
        <v>0</v>
      </c>
      <c r="F5" s="1615">
        <v>12798</v>
      </c>
      <c r="G5" s="1615">
        <v>0</v>
      </c>
      <c r="H5" s="1615">
        <v>0</v>
      </c>
      <c r="I5" s="1615">
        <v>-12798</v>
      </c>
      <c r="J5" s="1615"/>
      <c r="K5" s="1615"/>
      <c r="L5" s="1615"/>
      <c r="M5" s="1615"/>
      <c r="N5" s="202">
        <f>O5-SUM(C5:M5)</f>
        <v>203982</v>
      </c>
      <c r="O5" s="205">
        <f>'A5-Capex'!J6</f>
        <v>211000</v>
      </c>
      <c r="P5" s="203">
        <f>'A5-Capex'!K6</f>
        <v>100000</v>
      </c>
      <c r="Q5" s="204">
        <f>'A5-Capex'!L6</f>
        <v>100000</v>
      </c>
    </row>
    <row r="6" spans="1:17">
      <c r="A6" s="1137" t="str">
        <f>'A5-Capex'!A7</f>
        <v>Vote 2 - MUNICIPAL MANAGER</v>
      </c>
      <c r="B6" s="864"/>
      <c r="C6" s="1636">
        <v>24128</v>
      </c>
      <c r="D6" s="1615">
        <v>211438</v>
      </c>
      <c r="E6" s="1615">
        <v>243431</v>
      </c>
      <c r="F6" s="1615">
        <v>47233</v>
      </c>
      <c r="G6" s="1615">
        <v>407216</v>
      </c>
      <c r="H6" s="1615">
        <v>4152640</v>
      </c>
      <c r="I6" s="1615">
        <v>453172</v>
      </c>
      <c r="J6" s="1615"/>
      <c r="K6" s="1615"/>
      <c r="L6" s="1615"/>
      <c r="M6" s="1615"/>
      <c r="N6" s="202">
        <f t="shared" ref="N6:N11" si="0">O6-SUM(C6:M6)</f>
        <v>-5086608</v>
      </c>
      <c r="O6" s="205">
        <f>'A5-Capex'!J7</f>
        <v>452650</v>
      </c>
      <c r="P6" s="203">
        <f>'A5-Capex'!K7</f>
        <v>142200</v>
      </c>
      <c r="Q6" s="204">
        <f>'A5-Capex'!L7</f>
        <v>100000</v>
      </c>
    </row>
    <row r="7" spans="1:17">
      <c r="A7" s="1137" t="str">
        <f>'A5-Capex'!A8</f>
        <v>Vote 3 - CORPORATE SUPPORT SERVICES</v>
      </c>
      <c r="B7" s="864"/>
      <c r="C7" s="1636">
        <v>38949</v>
      </c>
      <c r="D7" s="1615">
        <v>483569</v>
      </c>
      <c r="E7" s="1615">
        <v>230061</v>
      </c>
      <c r="F7" s="1615">
        <v>63707</v>
      </c>
      <c r="G7" s="1615">
        <v>27000</v>
      </c>
      <c r="H7" s="1615">
        <v>26101</v>
      </c>
      <c r="I7" s="1615">
        <v>288798</v>
      </c>
      <c r="J7" s="1615"/>
      <c r="K7" s="1615"/>
      <c r="L7" s="1615"/>
      <c r="M7" s="1615"/>
      <c r="N7" s="202">
        <f t="shared" si="0"/>
        <v>3627246</v>
      </c>
      <c r="O7" s="205">
        <f>'A5-Capex'!J8</f>
        <v>4785431</v>
      </c>
      <c r="P7" s="203">
        <f>'A5-Capex'!K8</f>
        <v>4333648</v>
      </c>
      <c r="Q7" s="204">
        <f>'A5-Capex'!L8</f>
        <v>2525000</v>
      </c>
    </row>
    <row r="8" spans="1:17">
      <c r="A8" s="1137" t="str">
        <f>'A5-Capex'!A9</f>
        <v>Vote 4 - BUDGET AND TREASURY OFFICE</v>
      </c>
      <c r="B8" s="864"/>
      <c r="C8" s="1636">
        <v>0</v>
      </c>
      <c r="D8" s="1615">
        <v>0</v>
      </c>
      <c r="E8" s="1615">
        <v>0</v>
      </c>
      <c r="F8" s="1615">
        <v>0</v>
      </c>
      <c r="G8" s="1615">
        <v>0</v>
      </c>
      <c r="H8" s="1615">
        <v>0</v>
      </c>
      <c r="I8" s="1615">
        <v>0</v>
      </c>
      <c r="J8" s="1615"/>
      <c r="K8" s="1615"/>
      <c r="L8" s="1615"/>
      <c r="M8" s="1615"/>
      <c r="N8" s="202">
        <f t="shared" si="0"/>
        <v>380730</v>
      </c>
      <c r="O8" s="205">
        <f>'A5-Capex'!J9</f>
        <v>380730</v>
      </c>
      <c r="P8" s="203">
        <f>'A5-Capex'!K9</f>
        <v>320000</v>
      </c>
      <c r="Q8" s="204">
        <f>'A5-Capex'!L9</f>
        <v>310000</v>
      </c>
    </row>
    <row r="9" spans="1:17">
      <c r="A9" s="1137" t="str">
        <f>'A5-Capex'!A10</f>
        <v>Vote 5 - PUBLIC SAFETY</v>
      </c>
      <c r="B9" s="864"/>
      <c r="C9" s="1636">
        <v>7629</v>
      </c>
      <c r="D9" s="1615">
        <v>1191004</v>
      </c>
      <c r="E9" s="1615">
        <v>879525</v>
      </c>
      <c r="F9" s="1615">
        <v>606679</v>
      </c>
      <c r="G9" s="1615">
        <v>568744</v>
      </c>
      <c r="H9" s="1615">
        <v>16575</v>
      </c>
      <c r="I9" s="1615">
        <v>784219</v>
      </c>
      <c r="J9" s="1615"/>
      <c r="K9" s="1615"/>
      <c r="L9" s="1615"/>
      <c r="M9" s="1615"/>
      <c r="N9" s="202">
        <f t="shared" si="0"/>
        <v>5288175</v>
      </c>
      <c r="O9" s="205">
        <f>'A5-Capex'!J10</f>
        <v>9342550</v>
      </c>
      <c r="P9" s="203">
        <f>'A5-Capex'!K10</f>
        <v>5854300</v>
      </c>
      <c r="Q9" s="204">
        <f>'A5-Capex'!L10</f>
        <v>374000</v>
      </c>
    </row>
    <row r="10" spans="1:17">
      <c r="A10" s="1137" t="str">
        <f>'A5-Capex'!A11</f>
        <v>Vote 6 - PLANNING &amp; HUMAN SETTLEMENT</v>
      </c>
      <c r="B10" s="864"/>
      <c r="C10" s="1636">
        <v>10992</v>
      </c>
      <c r="D10" s="1615">
        <v>3916</v>
      </c>
      <c r="E10" s="1615">
        <v>38649</v>
      </c>
      <c r="F10" s="1615">
        <v>15257</v>
      </c>
      <c r="G10" s="1615">
        <v>189645</v>
      </c>
      <c r="H10" s="1615">
        <v>18561</v>
      </c>
      <c r="I10" s="1615">
        <v>4134750</v>
      </c>
      <c r="J10" s="1615"/>
      <c r="K10" s="1615"/>
      <c r="L10" s="1615"/>
      <c r="M10" s="1615"/>
      <c r="N10" s="202">
        <f t="shared" si="0"/>
        <v>72668230</v>
      </c>
      <c r="O10" s="205">
        <f>'A5-Capex'!J11</f>
        <v>77080000</v>
      </c>
      <c r="P10" s="203">
        <f>'A5-Capex'!K11</f>
        <v>36000000</v>
      </c>
      <c r="Q10" s="204">
        <f>'A5-Capex'!L11</f>
        <v>16000000</v>
      </c>
    </row>
    <row r="11" spans="1:17">
      <c r="A11" s="1137" t="str">
        <f>'A5-Capex'!A12</f>
        <v xml:space="preserve">Vote 7 - LOCAL ECONOMIC DEVELOPMENT </v>
      </c>
      <c r="B11" s="864"/>
      <c r="C11" s="1636">
        <v>0</v>
      </c>
      <c r="D11" s="1615">
        <v>207050</v>
      </c>
      <c r="E11" s="1615">
        <v>601392</v>
      </c>
      <c r="F11" s="1615">
        <v>218717</v>
      </c>
      <c r="G11" s="1615">
        <v>683978</v>
      </c>
      <c r="H11" s="1615">
        <v>158720</v>
      </c>
      <c r="I11" s="1615">
        <v>67657</v>
      </c>
      <c r="J11" s="1615"/>
      <c r="K11" s="1615"/>
      <c r="L11" s="1615"/>
      <c r="M11" s="1615"/>
      <c r="N11" s="202">
        <f t="shared" si="0"/>
        <v>3226486</v>
      </c>
      <c r="O11" s="205">
        <f>'A5-Capex'!J12</f>
        <v>5164000</v>
      </c>
      <c r="P11" s="203">
        <f>'A5-Capex'!K12</f>
        <v>4080000</v>
      </c>
      <c r="Q11" s="204">
        <f>'A5-Capex'!L12</f>
        <v>4515000</v>
      </c>
    </row>
    <row r="12" spans="1:17">
      <c r="A12" s="1137" t="str">
        <f>'A5-Capex'!A13</f>
        <v>Vote 8 - COMMUNITY DEVELOPMENT</v>
      </c>
      <c r="B12" s="864"/>
      <c r="C12" s="1636">
        <v>2100</v>
      </c>
      <c r="D12" s="1615">
        <v>59322</v>
      </c>
      <c r="E12" s="1615">
        <v>91308</v>
      </c>
      <c r="F12" s="1615">
        <v>13393</v>
      </c>
      <c r="G12" s="1615">
        <v>452994</v>
      </c>
      <c r="H12" s="1615">
        <v>481709</v>
      </c>
      <c r="I12" s="1615">
        <v>386653</v>
      </c>
      <c r="J12" s="1615"/>
      <c r="K12" s="1615"/>
      <c r="L12" s="1615"/>
      <c r="M12" s="1615"/>
      <c r="N12" s="202">
        <f>O12-SUM(C12:M12)</f>
        <v>10806021</v>
      </c>
      <c r="O12" s="205">
        <f>'A5-Capex'!J13</f>
        <v>12293500</v>
      </c>
      <c r="P12" s="203">
        <f>'A5-Capex'!K13</f>
        <v>3938500</v>
      </c>
      <c r="Q12" s="204">
        <f>'A5-Capex'!L13</f>
        <v>3683000</v>
      </c>
    </row>
    <row r="13" spans="1:17">
      <c r="A13" s="1137" t="str">
        <f>'A5-Capex'!A14</f>
        <v>Vote 9 - TECHNICAL AND INFRASTRUCTURE</v>
      </c>
      <c r="B13" s="864"/>
      <c r="C13" s="1636">
        <v>5932502</v>
      </c>
      <c r="D13" s="1615">
        <v>11700880</v>
      </c>
      <c r="E13" s="1615">
        <v>18328620</v>
      </c>
      <c r="F13" s="1615">
        <v>24864134</v>
      </c>
      <c r="G13" s="1615">
        <v>62522110</v>
      </c>
      <c r="H13" s="1615">
        <v>40856225</v>
      </c>
      <c r="I13" s="1615">
        <v>35788494</v>
      </c>
      <c r="J13" s="1615"/>
      <c r="K13" s="1615"/>
      <c r="L13" s="1615"/>
      <c r="M13" s="1615"/>
      <c r="N13" s="202">
        <f>O13-SUM(C13:M13)</f>
        <v>903956355</v>
      </c>
      <c r="O13" s="205">
        <f>'A5-Capex'!J14</f>
        <v>1103949320</v>
      </c>
      <c r="P13" s="203">
        <f>'A5-Capex'!K14</f>
        <v>1065653000</v>
      </c>
      <c r="Q13" s="204">
        <f>'A5-Capex'!L14</f>
        <v>1014273000</v>
      </c>
    </row>
    <row r="14" spans="1:17">
      <c r="A14" s="1137" t="str">
        <f>'A5-Capex'!A15</f>
        <v>Vote 10 - RUSTENBURG WATER SERVICE TRUST</v>
      </c>
      <c r="B14" s="864"/>
      <c r="C14" s="1636"/>
      <c r="D14" s="1615"/>
      <c r="E14" s="1615"/>
      <c r="F14" s="1615"/>
      <c r="G14" s="1615"/>
      <c r="H14" s="1615"/>
      <c r="I14" s="1615"/>
      <c r="J14" s="1615"/>
      <c r="K14" s="1615"/>
      <c r="L14" s="1615"/>
      <c r="M14" s="1615"/>
      <c r="N14" s="202">
        <f t="shared" ref="N14:N19" si="1">O14-SUM(C14:M14)</f>
        <v>100000000</v>
      </c>
      <c r="O14" s="205">
        <f>'A5-Capex'!J15</f>
        <v>100000000</v>
      </c>
      <c r="P14" s="203">
        <f>'A5-Capex'!K15</f>
        <v>690000000</v>
      </c>
      <c r="Q14" s="204">
        <f>'A5-Capex'!L15</f>
        <v>0</v>
      </c>
    </row>
    <row r="15" spans="1:17">
      <c r="A15" s="1137" t="str">
        <f>'A5-Capex'!A16</f>
        <v>Vote 11 - [NAME OF VOTE 11]</v>
      </c>
      <c r="B15" s="864"/>
      <c r="C15" s="1636"/>
      <c r="D15" s="1615"/>
      <c r="E15" s="1615"/>
      <c r="F15" s="1615"/>
      <c r="G15" s="1615"/>
      <c r="H15" s="1615"/>
      <c r="I15" s="1615"/>
      <c r="J15" s="1615"/>
      <c r="K15" s="1615"/>
      <c r="L15" s="1615"/>
      <c r="M15" s="1615"/>
      <c r="N15" s="202">
        <f t="shared" si="1"/>
        <v>0</v>
      </c>
      <c r="O15" s="205">
        <f>'A5-Capex'!J16</f>
        <v>0</v>
      </c>
      <c r="P15" s="203">
        <f>'A5-Capex'!K16</f>
        <v>0</v>
      </c>
      <c r="Q15" s="204">
        <f>'A5-Capex'!L16</f>
        <v>0</v>
      </c>
    </row>
    <row r="16" spans="1:17">
      <c r="A16" s="1137" t="str">
        <f>'A5-Capex'!A17</f>
        <v>Vote 12 - [NAME OF VOTE 12]</v>
      </c>
      <c r="B16" s="864"/>
      <c r="C16" s="1636"/>
      <c r="D16" s="1615"/>
      <c r="E16" s="1615"/>
      <c r="F16" s="1615"/>
      <c r="G16" s="1615"/>
      <c r="H16" s="1615"/>
      <c r="I16" s="1615"/>
      <c r="J16" s="1615"/>
      <c r="K16" s="1615"/>
      <c r="L16" s="1615"/>
      <c r="M16" s="1615"/>
      <c r="N16" s="202">
        <f t="shared" si="1"/>
        <v>0</v>
      </c>
      <c r="O16" s="205">
        <f>'A5-Capex'!J17</f>
        <v>0</v>
      </c>
      <c r="P16" s="203">
        <f>'A5-Capex'!K17</f>
        <v>0</v>
      </c>
      <c r="Q16" s="204">
        <f>'A5-Capex'!L17</f>
        <v>0</v>
      </c>
    </row>
    <row r="17" spans="1:17">
      <c r="A17" s="1137" t="str">
        <f>'A5-Capex'!A18</f>
        <v>Vote 13 - [NAME OF VOTE 13]</v>
      </c>
      <c r="B17" s="864"/>
      <c r="C17" s="1636"/>
      <c r="D17" s="1615"/>
      <c r="E17" s="1615"/>
      <c r="F17" s="1615"/>
      <c r="G17" s="1615"/>
      <c r="H17" s="1615"/>
      <c r="I17" s="1615"/>
      <c r="J17" s="1615"/>
      <c r="K17" s="1615"/>
      <c r="L17" s="1615"/>
      <c r="M17" s="1615"/>
      <c r="N17" s="202">
        <f t="shared" si="1"/>
        <v>0</v>
      </c>
      <c r="O17" s="205">
        <f>'A5-Capex'!J18</f>
        <v>0</v>
      </c>
      <c r="P17" s="203">
        <f>'A5-Capex'!K18</f>
        <v>0</v>
      </c>
      <c r="Q17" s="204">
        <f>'A5-Capex'!L18</f>
        <v>0</v>
      </c>
    </row>
    <row r="18" spans="1:17">
      <c r="A18" s="1137" t="str">
        <f>'A5-Capex'!A19</f>
        <v>Vote 14 - [NAME OF VOTE 14]</v>
      </c>
      <c r="B18" s="864"/>
      <c r="C18" s="1636"/>
      <c r="D18" s="1615"/>
      <c r="E18" s="1615"/>
      <c r="F18" s="1615"/>
      <c r="G18" s="1615"/>
      <c r="H18" s="1615"/>
      <c r="I18" s="1615"/>
      <c r="J18" s="1615"/>
      <c r="K18" s="1615"/>
      <c r="L18" s="1615"/>
      <c r="M18" s="1615"/>
      <c r="N18" s="202">
        <f t="shared" si="1"/>
        <v>0</v>
      </c>
      <c r="O18" s="205">
        <f>'A5-Capex'!J19</f>
        <v>0</v>
      </c>
      <c r="P18" s="203">
        <f>'A5-Capex'!K19</f>
        <v>0</v>
      </c>
      <c r="Q18" s="204">
        <f>'A5-Capex'!L19</f>
        <v>0</v>
      </c>
    </row>
    <row r="19" spans="1:17">
      <c r="A19" s="1137" t="str">
        <f>'A5-Capex'!A20</f>
        <v>Vote 15 - [NAME OF VOTE 15]</v>
      </c>
      <c r="B19" s="864"/>
      <c r="C19" s="1636"/>
      <c r="D19" s="1615"/>
      <c r="E19" s="1615"/>
      <c r="F19" s="1615"/>
      <c r="G19" s="1615"/>
      <c r="H19" s="1615"/>
      <c r="I19" s="1615"/>
      <c r="J19" s="1615"/>
      <c r="K19" s="1615"/>
      <c r="L19" s="1615"/>
      <c r="M19" s="1615"/>
      <c r="N19" s="202">
        <f t="shared" si="1"/>
        <v>0</v>
      </c>
      <c r="O19" s="205">
        <f>'A5-Capex'!J20</f>
        <v>0</v>
      </c>
      <c r="P19" s="203">
        <f>'A5-Capex'!K20</f>
        <v>0</v>
      </c>
      <c r="Q19" s="204">
        <f>'A5-Capex'!L20</f>
        <v>0</v>
      </c>
    </row>
    <row r="20" spans="1:17">
      <c r="A20" s="197" t="s">
        <v>197</v>
      </c>
      <c r="B20" s="1288">
        <v>2</v>
      </c>
      <c r="C20" s="269">
        <f>SUM(C5:C19)</f>
        <v>6023318</v>
      </c>
      <c r="D20" s="267">
        <f t="shared" ref="D20:Q20" si="2">SUM(D5:D19)</f>
        <v>13857179</v>
      </c>
      <c r="E20" s="267">
        <f t="shared" si="2"/>
        <v>20412986</v>
      </c>
      <c r="F20" s="267">
        <f t="shared" si="2"/>
        <v>25841918</v>
      </c>
      <c r="G20" s="267">
        <f t="shared" si="2"/>
        <v>64851687</v>
      </c>
      <c r="H20" s="267">
        <f t="shared" si="2"/>
        <v>45710531</v>
      </c>
      <c r="I20" s="267">
        <f t="shared" si="2"/>
        <v>41890945</v>
      </c>
      <c r="J20" s="267">
        <f t="shared" si="2"/>
        <v>0</v>
      </c>
      <c r="K20" s="267">
        <f t="shared" si="2"/>
        <v>0</v>
      </c>
      <c r="L20" s="267">
        <f t="shared" si="2"/>
        <v>0</v>
      </c>
      <c r="M20" s="267">
        <f>SUM(M5:M19)</f>
        <v>0</v>
      </c>
      <c r="N20" s="266">
        <f t="shared" si="2"/>
        <v>1095070617</v>
      </c>
      <c r="O20" s="269">
        <f t="shared" si="2"/>
        <v>1313659181</v>
      </c>
      <c r="P20" s="267">
        <f t="shared" si="2"/>
        <v>1810421648</v>
      </c>
      <c r="Q20" s="268">
        <f t="shared" si="2"/>
        <v>1041880000</v>
      </c>
    </row>
    <row r="21" spans="1:17" ht="3.75" customHeight="1">
      <c r="A21" s="1286"/>
      <c r="B21" s="1287"/>
      <c r="C21" s="395"/>
      <c r="D21" s="394"/>
      <c r="E21" s="394"/>
      <c r="F21" s="394"/>
      <c r="G21" s="394"/>
      <c r="H21" s="394"/>
      <c r="I21" s="394"/>
      <c r="J21" s="394"/>
      <c r="K21" s="394"/>
      <c r="L21" s="394"/>
      <c r="M21" s="394"/>
      <c r="N21" s="396"/>
      <c r="O21" s="395"/>
      <c r="P21" s="394"/>
      <c r="Q21" s="345"/>
    </row>
    <row r="22" spans="1:17">
      <c r="A22" s="181" t="s">
        <v>931</v>
      </c>
      <c r="B22" s="994"/>
      <c r="C22" s="205"/>
      <c r="D22" s="203"/>
      <c r="E22" s="203"/>
      <c r="F22" s="203"/>
      <c r="G22" s="203"/>
      <c r="H22" s="203"/>
      <c r="I22" s="203"/>
      <c r="J22" s="203"/>
      <c r="K22" s="203"/>
      <c r="L22" s="203"/>
      <c r="M22" s="203"/>
      <c r="N22" s="202"/>
      <c r="O22" s="205"/>
      <c r="P22" s="203"/>
      <c r="Q22" s="204"/>
    </row>
    <row r="23" spans="1:17">
      <c r="A23" s="1137" t="str">
        <f>'A5-Capex'!A24</f>
        <v>Vote 1 - EXECUTIVE MAYOR</v>
      </c>
      <c r="B23" s="864"/>
      <c r="C23" s="1636"/>
      <c r="D23" s="1615"/>
      <c r="E23" s="1615"/>
      <c r="F23" s="1615"/>
      <c r="G23" s="1615"/>
      <c r="H23" s="1615"/>
      <c r="I23" s="1615"/>
      <c r="J23" s="1615"/>
      <c r="K23" s="1615"/>
      <c r="L23" s="1615"/>
      <c r="M23" s="1615"/>
      <c r="N23" s="202">
        <f>O23-SUM(C23:M23)</f>
        <v>0</v>
      </c>
      <c r="O23" s="205">
        <f>'A5-Capex'!J24</f>
        <v>0</v>
      </c>
      <c r="P23" s="203">
        <f>'A5-Capex'!K24</f>
        <v>0</v>
      </c>
      <c r="Q23" s="204">
        <f>'A5-Capex'!L24</f>
        <v>0</v>
      </c>
    </row>
    <row r="24" spans="1:17">
      <c r="A24" s="1137" t="str">
        <f>'A5-Capex'!A25</f>
        <v>Vote 2 - MUNICIPAL MANAGER</v>
      </c>
      <c r="B24" s="864"/>
      <c r="C24" s="1636"/>
      <c r="D24" s="1615"/>
      <c r="E24" s="1615"/>
      <c r="F24" s="1615"/>
      <c r="G24" s="1615"/>
      <c r="H24" s="1615"/>
      <c r="I24" s="1615"/>
      <c r="J24" s="1615"/>
      <c r="K24" s="1615"/>
      <c r="L24" s="1615"/>
      <c r="M24" s="1615"/>
      <c r="N24" s="202">
        <f t="shared" ref="N24:N29" si="3">O24-SUM(C24:M24)</f>
        <v>0</v>
      </c>
      <c r="O24" s="205">
        <f>'A5-Capex'!J25</f>
        <v>0</v>
      </c>
      <c r="P24" s="203">
        <f>'A5-Capex'!K25</f>
        <v>0</v>
      </c>
      <c r="Q24" s="204">
        <f>'A5-Capex'!L25</f>
        <v>0</v>
      </c>
    </row>
    <row r="25" spans="1:17">
      <c r="A25" s="1137" t="str">
        <f>'A5-Capex'!A26</f>
        <v>Vote 3 - CORPORATE SUPPORT SERVICES</v>
      </c>
      <c r="B25" s="864"/>
      <c r="C25" s="1636"/>
      <c r="D25" s="1615"/>
      <c r="E25" s="1615"/>
      <c r="F25" s="1615"/>
      <c r="G25" s="1615"/>
      <c r="H25" s="1615"/>
      <c r="I25" s="1615"/>
      <c r="J25" s="1615"/>
      <c r="K25" s="1615"/>
      <c r="L25" s="1615"/>
      <c r="M25" s="1615"/>
      <c r="N25" s="202">
        <f t="shared" si="3"/>
        <v>0</v>
      </c>
      <c r="O25" s="205">
        <f>'A5-Capex'!J26</f>
        <v>0</v>
      </c>
      <c r="P25" s="203">
        <f>'A5-Capex'!K26</f>
        <v>0</v>
      </c>
      <c r="Q25" s="204">
        <f>'A5-Capex'!L26</f>
        <v>0</v>
      </c>
    </row>
    <row r="26" spans="1:17">
      <c r="A26" s="1137" t="str">
        <f>'A5-Capex'!A27</f>
        <v>Vote 4 - BUDGET AND TREASURY OFFICE</v>
      </c>
      <c r="B26" s="864"/>
      <c r="C26" s="1636"/>
      <c r="D26" s="1615"/>
      <c r="E26" s="1615"/>
      <c r="F26" s="1615"/>
      <c r="G26" s="1615"/>
      <c r="H26" s="1615"/>
      <c r="I26" s="1615"/>
      <c r="J26" s="1615"/>
      <c r="K26" s="1615"/>
      <c r="L26" s="1615"/>
      <c r="M26" s="1615"/>
      <c r="N26" s="202">
        <f t="shared" si="3"/>
        <v>0</v>
      </c>
      <c r="O26" s="205">
        <f>'A5-Capex'!J27</f>
        <v>0</v>
      </c>
      <c r="P26" s="203">
        <f>'A5-Capex'!K27</f>
        <v>0</v>
      </c>
      <c r="Q26" s="204">
        <f>'A5-Capex'!L27</f>
        <v>0</v>
      </c>
    </row>
    <row r="27" spans="1:17">
      <c r="A27" s="1137" t="str">
        <f>'A5-Capex'!A28</f>
        <v>Vote 5 - PUBLIC SAFETY</v>
      </c>
      <c r="B27" s="864"/>
      <c r="C27" s="1636"/>
      <c r="D27" s="1615"/>
      <c r="E27" s="1615"/>
      <c r="F27" s="1615"/>
      <c r="G27" s="1615"/>
      <c r="H27" s="1615"/>
      <c r="I27" s="1615"/>
      <c r="J27" s="1615"/>
      <c r="K27" s="1615"/>
      <c r="L27" s="1615"/>
      <c r="M27" s="1615"/>
      <c r="N27" s="202">
        <f t="shared" si="3"/>
        <v>0</v>
      </c>
      <c r="O27" s="205">
        <f>'A5-Capex'!J28</f>
        <v>0</v>
      </c>
      <c r="P27" s="203">
        <f>'A5-Capex'!K28</f>
        <v>0</v>
      </c>
      <c r="Q27" s="204">
        <f>'A5-Capex'!L28</f>
        <v>0</v>
      </c>
    </row>
    <row r="28" spans="1:17">
      <c r="A28" s="1137" t="str">
        <f>'A5-Capex'!A29</f>
        <v>Vote 6 - PLANNING &amp; HUMAN SETTLEMENT</v>
      </c>
      <c r="B28" s="864"/>
      <c r="C28" s="1636"/>
      <c r="D28" s="1615"/>
      <c r="E28" s="1615"/>
      <c r="F28" s="1615"/>
      <c r="G28" s="1615"/>
      <c r="H28" s="1615"/>
      <c r="I28" s="1615"/>
      <c r="J28" s="1615"/>
      <c r="K28" s="1615"/>
      <c r="L28" s="1615"/>
      <c r="M28" s="1615"/>
      <c r="N28" s="202">
        <f t="shared" si="3"/>
        <v>0</v>
      </c>
      <c r="O28" s="205">
        <f>'A5-Capex'!J29</f>
        <v>0</v>
      </c>
      <c r="P28" s="203">
        <f>'A5-Capex'!K29</f>
        <v>0</v>
      </c>
      <c r="Q28" s="204">
        <f>'A5-Capex'!L29</f>
        <v>0</v>
      </c>
    </row>
    <row r="29" spans="1:17">
      <c r="A29" s="1137" t="str">
        <f>'A5-Capex'!A30</f>
        <v xml:space="preserve">Vote 7 - LOCAL ECONOMIC DEVELOPMENT </v>
      </c>
      <c r="B29" s="864"/>
      <c r="C29" s="1636"/>
      <c r="D29" s="1615"/>
      <c r="E29" s="1615"/>
      <c r="F29" s="1615"/>
      <c r="G29" s="1615"/>
      <c r="H29" s="1615"/>
      <c r="I29" s="1615"/>
      <c r="J29" s="1615"/>
      <c r="K29" s="1615"/>
      <c r="L29" s="1615"/>
      <c r="M29" s="1615"/>
      <c r="N29" s="202">
        <f t="shared" si="3"/>
        <v>0</v>
      </c>
      <c r="O29" s="205">
        <f>'A5-Capex'!J30</f>
        <v>0</v>
      </c>
      <c r="P29" s="203">
        <f>'A5-Capex'!K30</f>
        <v>0</v>
      </c>
      <c r="Q29" s="204">
        <f>'A5-Capex'!L30</f>
        <v>0</v>
      </c>
    </row>
    <row r="30" spans="1:17">
      <c r="A30" s="1137" t="str">
        <f>'A5-Capex'!A31</f>
        <v>Vote 8 - COMMUNITY DEVELOPMENT</v>
      </c>
      <c r="B30" s="864"/>
      <c r="C30" s="1636"/>
      <c r="D30" s="1615"/>
      <c r="E30" s="1615"/>
      <c r="F30" s="1615"/>
      <c r="G30" s="1615"/>
      <c r="H30" s="1615"/>
      <c r="I30" s="1615"/>
      <c r="J30" s="1615"/>
      <c r="K30" s="1615"/>
      <c r="L30" s="1615"/>
      <c r="M30" s="1615"/>
      <c r="N30" s="202">
        <f>O30-SUM(C30:M30)</f>
        <v>0</v>
      </c>
      <c r="O30" s="205">
        <f>'A5-Capex'!J31</f>
        <v>0</v>
      </c>
      <c r="P30" s="203">
        <f>'A5-Capex'!K31</f>
        <v>0</v>
      </c>
      <c r="Q30" s="204">
        <f>'A5-Capex'!L31</f>
        <v>0</v>
      </c>
    </row>
    <row r="31" spans="1:17">
      <c r="A31" s="1137" t="str">
        <f>'A5-Capex'!A32</f>
        <v>Vote 9 - TECHNICAL AND INFRASTRUCTURE</v>
      </c>
      <c r="B31" s="864"/>
      <c r="C31" s="1636"/>
      <c r="D31" s="1615"/>
      <c r="E31" s="1615"/>
      <c r="F31" s="1615"/>
      <c r="G31" s="1615"/>
      <c r="H31" s="1615"/>
      <c r="I31" s="1615"/>
      <c r="J31" s="1615"/>
      <c r="K31" s="1615"/>
      <c r="L31" s="1615"/>
      <c r="M31" s="1615"/>
      <c r="N31" s="202">
        <f>O31-SUM(C31:M31)</f>
        <v>0</v>
      </c>
      <c r="O31" s="205">
        <f>'A5-Capex'!J32</f>
        <v>0</v>
      </c>
      <c r="P31" s="203">
        <f>'A5-Capex'!K32</f>
        <v>0</v>
      </c>
      <c r="Q31" s="204">
        <f>'A5-Capex'!L32</f>
        <v>0</v>
      </c>
    </row>
    <row r="32" spans="1:17">
      <c r="A32" s="1137" t="str">
        <f>'A5-Capex'!A33</f>
        <v>Vote 10 - RUSTENBURG WATER SERVICE TRUST</v>
      </c>
      <c r="B32" s="864"/>
      <c r="C32" s="1636"/>
      <c r="D32" s="1615"/>
      <c r="E32" s="1615"/>
      <c r="F32" s="1615"/>
      <c r="G32" s="1615"/>
      <c r="H32" s="1615"/>
      <c r="I32" s="1615"/>
      <c r="J32" s="1615"/>
      <c r="K32" s="1615"/>
      <c r="L32" s="1615"/>
      <c r="M32" s="1615"/>
      <c r="N32" s="202">
        <f t="shared" ref="N32:N37" si="4">O32-SUM(C32:M32)</f>
        <v>0</v>
      </c>
      <c r="O32" s="205">
        <f>'A5-Capex'!J33</f>
        <v>0</v>
      </c>
      <c r="P32" s="203">
        <f>'A5-Capex'!K33</f>
        <v>0</v>
      </c>
      <c r="Q32" s="204">
        <f>'A5-Capex'!L33</f>
        <v>0</v>
      </c>
    </row>
    <row r="33" spans="1:20">
      <c r="A33" s="1137" t="str">
        <f>'A5-Capex'!A34</f>
        <v>Vote 11 - [NAME OF VOTE 11]</v>
      </c>
      <c r="B33" s="864"/>
      <c r="C33" s="1636"/>
      <c r="D33" s="1615"/>
      <c r="E33" s="1615"/>
      <c r="F33" s="1615"/>
      <c r="G33" s="1615"/>
      <c r="H33" s="1615"/>
      <c r="I33" s="1615"/>
      <c r="J33" s="1615"/>
      <c r="K33" s="1615"/>
      <c r="L33" s="1615"/>
      <c r="M33" s="1615"/>
      <c r="N33" s="202">
        <f t="shared" si="4"/>
        <v>0</v>
      </c>
      <c r="O33" s="205">
        <f>'A5-Capex'!J34</f>
        <v>0</v>
      </c>
      <c r="P33" s="203">
        <f>'A5-Capex'!K34</f>
        <v>0</v>
      </c>
      <c r="Q33" s="204">
        <f>'A5-Capex'!L34</f>
        <v>0</v>
      </c>
    </row>
    <row r="34" spans="1:20">
      <c r="A34" s="1137" t="str">
        <f>'A5-Capex'!A35</f>
        <v>Vote 12 - [NAME OF VOTE 12]</v>
      </c>
      <c r="B34" s="864"/>
      <c r="C34" s="1636"/>
      <c r="D34" s="1615"/>
      <c r="E34" s="1615"/>
      <c r="F34" s="1615"/>
      <c r="G34" s="1615"/>
      <c r="H34" s="1615"/>
      <c r="I34" s="1615"/>
      <c r="J34" s="1615"/>
      <c r="K34" s="1615"/>
      <c r="L34" s="1615"/>
      <c r="M34" s="1615"/>
      <c r="N34" s="202">
        <f t="shared" si="4"/>
        <v>0</v>
      </c>
      <c r="O34" s="205">
        <f>'A5-Capex'!J35</f>
        <v>0</v>
      </c>
      <c r="P34" s="203">
        <f>'A5-Capex'!K35</f>
        <v>0</v>
      </c>
      <c r="Q34" s="204">
        <f>'A5-Capex'!L35</f>
        <v>0</v>
      </c>
    </row>
    <row r="35" spans="1:20">
      <c r="A35" s="1137" t="str">
        <f>'A5-Capex'!A36</f>
        <v>Vote 13 - [NAME OF VOTE 13]</v>
      </c>
      <c r="B35" s="864"/>
      <c r="C35" s="1636"/>
      <c r="D35" s="1615"/>
      <c r="E35" s="1615"/>
      <c r="F35" s="1615"/>
      <c r="G35" s="1615"/>
      <c r="H35" s="1615"/>
      <c r="I35" s="1615"/>
      <c r="J35" s="1615"/>
      <c r="K35" s="1615"/>
      <c r="L35" s="1615"/>
      <c r="M35" s="1615"/>
      <c r="N35" s="202">
        <f t="shared" si="4"/>
        <v>0</v>
      </c>
      <c r="O35" s="205">
        <f>'A5-Capex'!J36</f>
        <v>0</v>
      </c>
      <c r="P35" s="203">
        <f>'A5-Capex'!K36</f>
        <v>0</v>
      </c>
      <c r="Q35" s="204">
        <f>'A5-Capex'!L36</f>
        <v>0</v>
      </c>
    </row>
    <row r="36" spans="1:20">
      <c r="A36" s="1137" t="str">
        <f>'A5-Capex'!A37</f>
        <v>Vote 14 - [NAME OF VOTE 14]</v>
      </c>
      <c r="B36" s="864"/>
      <c r="C36" s="1636"/>
      <c r="D36" s="1615"/>
      <c r="E36" s="1615"/>
      <c r="F36" s="1615"/>
      <c r="G36" s="1615"/>
      <c r="H36" s="1615"/>
      <c r="I36" s="1615"/>
      <c r="J36" s="1615"/>
      <c r="K36" s="1615"/>
      <c r="L36" s="1615"/>
      <c r="M36" s="1615"/>
      <c r="N36" s="202">
        <f t="shared" si="4"/>
        <v>0</v>
      </c>
      <c r="O36" s="205">
        <f>'A5-Capex'!J37</f>
        <v>0</v>
      </c>
      <c r="P36" s="203">
        <f>'A5-Capex'!K37</f>
        <v>0</v>
      </c>
      <c r="Q36" s="204">
        <f>'A5-Capex'!L37</f>
        <v>0</v>
      </c>
    </row>
    <row r="37" spans="1:20">
      <c r="A37" s="1137" t="str">
        <f>'A5-Capex'!A38</f>
        <v>Vote 15 - [NAME OF VOTE 15]</v>
      </c>
      <c r="B37" s="864"/>
      <c r="C37" s="1636"/>
      <c r="D37" s="1615"/>
      <c r="E37" s="1615"/>
      <c r="F37" s="1615"/>
      <c r="G37" s="1615"/>
      <c r="H37" s="1615"/>
      <c r="I37" s="1615"/>
      <c r="J37" s="1615"/>
      <c r="K37" s="1615"/>
      <c r="L37" s="1615"/>
      <c r="M37" s="1615"/>
      <c r="N37" s="202">
        <f t="shared" si="4"/>
        <v>0</v>
      </c>
      <c r="O37" s="205">
        <f>'A5-Capex'!J38</f>
        <v>0</v>
      </c>
      <c r="P37" s="203">
        <f>'A5-Capex'!K38</f>
        <v>0</v>
      </c>
      <c r="Q37" s="204">
        <f>'A5-Capex'!L38</f>
        <v>0</v>
      </c>
    </row>
    <row r="38" spans="1:20">
      <c r="A38" s="197" t="s">
        <v>1330</v>
      </c>
      <c r="B38" s="1288">
        <v>2</v>
      </c>
      <c r="C38" s="269">
        <f t="shared" ref="C38:Q38" si="5">SUM(C23:C37)</f>
        <v>0</v>
      </c>
      <c r="D38" s="267">
        <f t="shared" si="5"/>
        <v>0</v>
      </c>
      <c r="E38" s="267">
        <f t="shared" si="5"/>
        <v>0</v>
      </c>
      <c r="F38" s="267">
        <f t="shared" si="5"/>
        <v>0</v>
      </c>
      <c r="G38" s="267">
        <f t="shared" si="5"/>
        <v>0</v>
      </c>
      <c r="H38" s="267">
        <f t="shared" si="5"/>
        <v>0</v>
      </c>
      <c r="I38" s="267">
        <f t="shared" si="5"/>
        <v>0</v>
      </c>
      <c r="J38" s="267">
        <f t="shared" si="5"/>
        <v>0</v>
      </c>
      <c r="K38" s="267">
        <f t="shared" si="5"/>
        <v>0</v>
      </c>
      <c r="L38" s="267">
        <f t="shared" si="5"/>
        <v>0</v>
      </c>
      <c r="M38" s="267">
        <f t="shared" si="5"/>
        <v>0</v>
      </c>
      <c r="N38" s="266">
        <f t="shared" si="5"/>
        <v>0</v>
      </c>
      <c r="O38" s="269">
        <f t="shared" si="5"/>
        <v>0</v>
      </c>
      <c r="P38" s="267">
        <f t="shared" si="5"/>
        <v>0</v>
      </c>
      <c r="Q38" s="268">
        <f t="shared" si="5"/>
        <v>0</v>
      </c>
    </row>
    <row r="39" spans="1:20">
      <c r="A39" s="849" t="s">
        <v>602</v>
      </c>
      <c r="B39" s="881">
        <v>2</v>
      </c>
      <c r="C39" s="353">
        <f>C20+C38</f>
        <v>6023318</v>
      </c>
      <c r="D39" s="227">
        <f t="shared" ref="D39:N39" si="6">D20+D38</f>
        <v>13857179</v>
      </c>
      <c r="E39" s="227">
        <f t="shared" si="6"/>
        <v>20412986</v>
      </c>
      <c r="F39" s="227">
        <f t="shared" si="6"/>
        <v>25841918</v>
      </c>
      <c r="G39" s="227">
        <f t="shared" si="6"/>
        <v>64851687</v>
      </c>
      <c r="H39" s="227">
        <f t="shared" si="6"/>
        <v>45710531</v>
      </c>
      <c r="I39" s="227">
        <f t="shared" si="6"/>
        <v>41890945</v>
      </c>
      <c r="J39" s="227">
        <f t="shared" si="6"/>
        <v>0</v>
      </c>
      <c r="K39" s="227">
        <f t="shared" si="6"/>
        <v>0</v>
      </c>
      <c r="L39" s="227">
        <f t="shared" si="6"/>
        <v>0</v>
      </c>
      <c r="M39" s="227">
        <f t="shared" si="6"/>
        <v>0</v>
      </c>
      <c r="N39" s="226">
        <f t="shared" si="6"/>
        <v>1095070617</v>
      </c>
      <c r="O39" s="353">
        <f>O20+O38</f>
        <v>1313659181</v>
      </c>
      <c r="P39" s="227">
        <f>P20+P38</f>
        <v>1810421648</v>
      </c>
      <c r="Q39" s="352">
        <f>Q20+Q38</f>
        <v>1041880000</v>
      </c>
    </row>
    <row r="40" spans="1:20">
      <c r="A40" s="1284"/>
      <c r="B40" s="1285"/>
      <c r="C40" s="396"/>
      <c r="D40" s="396"/>
      <c r="E40" s="396"/>
      <c r="F40" s="396"/>
      <c r="G40" s="396"/>
      <c r="H40" s="396"/>
      <c r="I40" s="396"/>
      <c r="J40" s="396"/>
      <c r="K40" s="396"/>
      <c r="L40" s="396"/>
      <c r="M40" s="396"/>
      <c r="N40" s="396"/>
      <c r="O40" s="396"/>
      <c r="P40" s="396"/>
      <c r="Q40" s="396"/>
    </row>
    <row r="41" spans="1:20">
      <c r="A41" s="1284"/>
      <c r="B41" s="1285"/>
      <c r="C41" s="396"/>
      <c r="D41" s="396"/>
      <c r="E41" s="396"/>
      <c r="F41" s="396"/>
      <c r="G41" s="396"/>
      <c r="H41" s="396"/>
      <c r="I41" s="396"/>
      <c r="J41" s="396"/>
      <c r="K41" s="396"/>
      <c r="L41" s="396"/>
      <c r="M41" s="396"/>
      <c r="N41" s="396"/>
      <c r="O41" s="396"/>
      <c r="P41" s="396"/>
      <c r="Q41" s="396"/>
    </row>
    <row r="42" spans="1:20" s="709" customFormat="1">
      <c r="A42" s="1422" t="str">
        <f>head27a</f>
        <v>References</v>
      </c>
      <c r="B42" s="1086"/>
      <c r="C42" s="1040"/>
      <c r="D42" s="1040"/>
      <c r="E42" s="1040"/>
      <c r="F42" s="1040"/>
      <c r="G42" s="1040"/>
      <c r="H42" s="1040"/>
      <c r="I42" s="1040"/>
      <c r="J42" s="1040"/>
      <c r="K42" s="1040"/>
      <c r="L42" s="1040"/>
      <c r="M42" s="1040"/>
      <c r="N42" s="1040"/>
      <c r="O42" s="1040"/>
      <c r="P42" s="1040"/>
      <c r="Q42" s="1040"/>
      <c r="R42" s="149"/>
      <c r="S42" s="1087"/>
      <c r="T42" s="1087"/>
    </row>
    <row r="43" spans="1:20" s="709" customFormat="1">
      <c r="A43" s="1416" t="s">
        <v>795</v>
      </c>
      <c r="B43" s="1048"/>
      <c r="C43" s="1040"/>
      <c r="D43" s="1040"/>
      <c r="E43" s="1040"/>
      <c r="F43" s="1040"/>
      <c r="G43" s="1040"/>
      <c r="H43" s="1040"/>
      <c r="I43" s="1040"/>
      <c r="J43" s="1040"/>
      <c r="K43" s="1040"/>
      <c r="L43" s="1040"/>
      <c r="M43" s="1040"/>
      <c r="N43" s="1040"/>
      <c r="O43" s="1040"/>
      <c r="P43" s="1040"/>
      <c r="Q43" s="1040"/>
      <c r="R43" s="1087"/>
      <c r="S43" s="1087"/>
      <c r="T43" s="1087"/>
    </row>
    <row r="44" spans="1:20" s="709" customFormat="1">
      <c r="A44" s="1416" t="s">
        <v>171</v>
      </c>
      <c r="B44" s="1048"/>
    </row>
    <row r="45" spans="1:20">
      <c r="A45" s="437" t="s">
        <v>1524</v>
      </c>
      <c r="B45" s="805"/>
      <c r="O45" s="807">
        <f>O20-'A5-Capex'!J21</f>
        <v>0</v>
      </c>
      <c r="P45" s="807">
        <f>P20-'A5-Capex'!K21</f>
        <v>0</v>
      </c>
      <c r="Q45" s="807">
        <f>Q20-'A5-Capex'!L21</f>
        <v>0</v>
      </c>
    </row>
    <row r="47" spans="1:20">
      <c r="E47" s="149" t="s">
        <v>198</v>
      </c>
    </row>
  </sheetData>
  <sheetProtection sheet="1" objects="1" scenarios="1"/>
  <mergeCells count="2">
    <mergeCell ref="C2:N2"/>
    <mergeCell ref="O2:Q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tabColor indexed="42"/>
    <pageSetUpPr fitToPage="1"/>
  </sheetPr>
  <dimension ref="A1:T29"/>
  <sheetViews>
    <sheetView showGridLines="0" workbookViewId="0">
      <pane xSplit="2" ySplit="3" topLeftCell="C4" activePane="bottomRight" state="frozen"/>
      <selection pane="topRight"/>
      <selection pane="bottomLeft"/>
      <selection pane="bottomRight" activeCell="P12" sqref="P12"/>
    </sheetView>
  </sheetViews>
  <sheetFormatPr baseColWidth="10" defaultColWidth="8.83203125" defaultRowHeight="10" x14ac:dyDescent="0"/>
  <cols>
    <col min="1" max="1" width="30.6640625" style="149" customWidth="1"/>
    <col min="2" max="2" width="3" style="149" customWidth="1"/>
    <col min="3" max="14" width="8.33203125" style="149" customWidth="1"/>
    <col min="15" max="17" width="9.33203125" style="149" customWidth="1"/>
    <col min="18" max="16384" width="8.83203125" style="149"/>
  </cols>
  <sheetData>
    <row r="1" spans="1:18" ht="13.5" customHeight="1">
      <c r="A1" s="147" t="str">
        <f>muni&amp;" - "&amp; TableA29</f>
        <v>NW373 Rustenburg - Supporting Table SA29 Consolidated budgeted monthly capital expenditure (standard classification)</v>
      </c>
      <c r="B1" s="147"/>
      <c r="C1" s="147"/>
      <c r="D1" s="147"/>
      <c r="E1" s="147"/>
      <c r="F1" s="147"/>
      <c r="G1" s="147"/>
      <c r="H1" s="147"/>
      <c r="I1" s="147"/>
      <c r="J1" s="147"/>
      <c r="K1" s="147"/>
      <c r="L1" s="147"/>
      <c r="M1" s="147"/>
      <c r="N1" s="147"/>
      <c r="O1" s="147"/>
      <c r="P1" s="147"/>
      <c r="Q1" s="147"/>
    </row>
    <row r="2" spans="1:18" ht="27" customHeight="1">
      <c r="A2" s="985" t="str">
        <f>desc</f>
        <v>Description</v>
      </c>
      <c r="B2" s="997" t="str">
        <f>head27</f>
        <v>Ref</v>
      </c>
      <c r="C2" s="2765" t="str">
        <f>Head9</f>
        <v>Budget Year 2013/14</v>
      </c>
      <c r="D2" s="2766"/>
      <c r="E2" s="2766"/>
      <c r="F2" s="2766"/>
      <c r="G2" s="2766"/>
      <c r="H2" s="2766"/>
      <c r="I2" s="2766"/>
      <c r="J2" s="2766"/>
      <c r="K2" s="2766"/>
      <c r="L2" s="2766"/>
      <c r="M2" s="2766"/>
      <c r="N2" s="2766"/>
      <c r="O2" s="2762" t="s">
        <v>1802</v>
      </c>
      <c r="P2" s="2763"/>
      <c r="Q2" s="2764"/>
    </row>
    <row r="3" spans="1:18" ht="20">
      <c r="A3" s="180" t="s">
        <v>667</v>
      </c>
      <c r="B3" s="998"/>
      <c r="C3" s="299" t="s">
        <v>725</v>
      </c>
      <c r="D3" s="928" t="s">
        <v>1412</v>
      </c>
      <c r="E3" s="928" t="s">
        <v>1413</v>
      </c>
      <c r="F3" s="928" t="s">
        <v>1414</v>
      </c>
      <c r="G3" s="928" t="s">
        <v>422</v>
      </c>
      <c r="H3" s="928" t="s">
        <v>423</v>
      </c>
      <c r="I3" s="928" t="s">
        <v>708</v>
      </c>
      <c r="J3" s="928" t="s">
        <v>424</v>
      </c>
      <c r="K3" s="928" t="s">
        <v>710</v>
      </c>
      <c r="L3" s="928" t="s">
        <v>711</v>
      </c>
      <c r="M3" s="928" t="s">
        <v>712</v>
      </c>
      <c r="N3" s="389" t="s">
        <v>713</v>
      </c>
      <c r="O3" s="299" t="str">
        <f>Head9</f>
        <v>Budget Year 2013/14</v>
      </c>
      <c r="P3" s="390" t="str">
        <f>Head10</f>
        <v>Budget Year +1 2014/15</v>
      </c>
      <c r="Q3" s="391" t="str">
        <f>Head11</f>
        <v>Budget Year +2 2015/16</v>
      </c>
    </row>
    <row r="4" spans="1:18">
      <c r="A4" s="249" t="str">
        <f>'A5-Capex'!A42</f>
        <v>Capital Expenditure - Standard</v>
      </c>
      <c r="B4" s="994">
        <v>1</v>
      </c>
      <c r="C4" s="205"/>
      <c r="D4" s="203"/>
      <c r="E4" s="203"/>
      <c r="F4" s="203"/>
      <c r="G4" s="203"/>
      <c r="H4" s="203"/>
      <c r="I4" s="203"/>
      <c r="J4" s="203"/>
      <c r="K4" s="203"/>
      <c r="L4" s="203"/>
      <c r="M4" s="203"/>
      <c r="N4" s="202"/>
      <c r="O4" s="205"/>
      <c r="P4" s="203"/>
      <c r="Q4" s="204"/>
    </row>
    <row r="5" spans="1:18">
      <c r="A5" s="1271" t="str">
        <f>'A5-Capex'!A43</f>
        <v>Governance and administration</v>
      </c>
      <c r="B5" s="864"/>
      <c r="C5" s="1133">
        <f>SUM(C6:C8)</f>
        <v>220499</v>
      </c>
      <c r="D5" s="1131">
        <f>SUM(D6:D8)</f>
        <v>599801</v>
      </c>
      <c r="E5" s="1131">
        <f t="shared" ref="E5:M5" si="0">SUM(E6:E8)</f>
        <v>1046791</v>
      </c>
      <c r="F5" s="1131">
        <f t="shared" si="0"/>
        <v>438920</v>
      </c>
      <c r="G5" s="1131">
        <f t="shared" si="0"/>
        <v>218245</v>
      </c>
      <c r="H5" s="1131">
        <f t="shared" si="0"/>
        <v>958937</v>
      </c>
      <c r="I5" s="1131">
        <f t="shared" si="0"/>
        <v>250741</v>
      </c>
      <c r="J5" s="1131">
        <f t="shared" si="0"/>
        <v>661867</v>
      </c>
      <c r="K5" s="1131">
        <f t="shared" si="0"/>
        <v>437818</v>
      </c>
      <c r="L5" s="1131">
        <f t="shared" si="0"/>
        <v>265002</v>
      </c>
      <c r="M5" s="1131">
        <f t="shared" si="0"/>
        <v>297955</v>
      </c>
      <c r="N5" s="217">
        <f>O5-SUM(C5:M5)</f>
        <v>433235</v>
      </c>
      <c r="O5" s="220">
        <f>'A5-Capex'!J43</f>
        <v>5829811</v>
      </c>
      <c r="P5" s="218">
        <f>'A5-Capex'!K43</f>
        <v>4895648</v>
      </c>
      <c r="Q5" s="345">
        <f>'A5-Capex'!L43</f>
        <v>3035000</v>
      </c>
      <c r="R5" s="370"/>
    </row>
    <row r="6" spans="1:18">
      <c r="A6" s="1272" t="str">
        <f>'A5-Capex'!A44</f>
        <v>Executive and council</v>
      </c>
      <c r="B6" s="864"/>
      <c r="C6" s="1615">
        <v>0</v>
      </c>
      <c r="D6" s="1615">
        <v>0</v>
      </c>
      <c r="E6" s="1615">
        <v>56890</v>
      </c>
      <c r="F6" s="1615">
        <v>110250</v>
      </c>
      <c r="G6" s="1615">
        <v>0</v>
      </c>
      <c r="H6" s="1615">
        <v>162018</v>
      </c>
      <c r="I6" s="1615">
        <v>49201</v>
      </c>
      <c r="J6" s="1615">
        <v>0</v>
      </c>
      <c r="K6" s="1615">
        <v>79850</v>
      </c>
      <c r="L6" s="1615">
        <v>110247</v>
      </c>
      <c r="M6" s="1615">
        <v>45218</v>
      </c>
      <c r="N6" s="202">
        <f t="shared" ref="N6:N24" si="1">O6-SUM(C6:M6)</f>
        <v>49976</v>
      </c>
      <c r="O6" s="205">
        <f>'A5-Capex'!J44</f>
        <v>663650</v>
      </c>
      <c r="P6" s="203">
        <f>'A5-Capex'!K44</f>
        <v>242000</v>
      </c>
      <c r="Q6" s="264">
        <f>'A5-Capex'!L44</f>
        <v>200000</v>
      </c>
      <c r="R6" s="370"/>
    </row>
    <row r="7" spans="1:18">
      <c r="A7" s="1272" t="str">
        <f>'A5-Capex'!A45</f>
        <v>Budget and treasury office</v>
      </c>
      <c r="B7" s="864"/>
      <c r="C7" s="1636">
        <v>19240</v>
      </c>
      <c r="D7" s="1615">
        <v>0</v>
      </c>
      <c r="E7" s="1615">
        <v>0</v>
      </c>
      <c r="F7" s="1615">
        <v>25980</v>
      </c>
      <c r="G7" s="1638">
        <v>16987</v>
      </c>
      <c r="H7" s="1638">
        <v>100920</v>
      </c>
      <c r="I7" s="1638">
        <v>0</v>
      </c>
      <c r="J7" s="1638">
        <v>92013</v>
      </c>
      <c r="K7" s="1638">
        <v>21709</v>
      </c>
      <c r="L7" s="1638">
        <v>52158</v>
      </c>
      <c r="M7" s="1638">
        <v>30140</v>
      </c>
      <c r="N7" s="202">
        <f t="shared" si="1"/>
        <v>21583</v>
      </c>
      <c r="O7" s="205">
        <f>'A5-Capex'!J45</f>
        <v>380730</v>
      </c>
      <c r="P7" s="203">
        <f>'A5-Capex'!K45</f>
        <v>320000</v>
      </c>
      <c r="Q7" s="264">
        <f>'A5-Capex'!L45</f>
        <v>310000</v>
      </c>
      <c r="R7" s="370"/>
    </row>
    <row r="8" spans="1:18">
      <c r="A8" s="1272" t="str">
        <f>'A5-Capex'!A46</f>
        <v>Corporate services</v>
      </c>
      <c r="B8" s="864"/>
      <c r="C8" s="1636">
        <v>201259</v>
      </c>
      <c r="D8" s="1615">
        <v>599801</v>
      </c>
      <c r="E8" s="1615">
        <v>989901</v>
      </c>
      <c r="F8" s="1615">
        <v>302690</v>
      </c>
      <c r="G8" s="1615">
        <v>201258</v>
      </c>
      <c r="H8" s="1615">
        <v>695999</v>
      </c>
      <c r="I8" s="1615">
        <v>201540</v>
      </c>
      <c r="J8" s="1615">
        <v>569854</v>
      </c>
      <c r="K8" s="1615">
        <v>336259</v>
      </c>
      <c r="L8" s="1615">
        <v>102597</v>
      </c>
      <c r="M8" s="1615">
        <v>222597</v>
      </c>
      <c r="N8" s="202">
        <f t="shared" si="1"/>
        <v>361676</v>
      </c>
      <c r="O8" s="205">
        <f>'A5-Capex'!J46</f>
        <v>4785431</v>
      </c>
      <c r="P8" s="203">
        <f>'A5-Capex'!K46</f>
        <v>4333648</v>
      </c>
      <c r="Q8" s="264">
        <f>'A5-Capex'!L46</f>
        <v>2525000</v>
      </c>
      <c r="R8" s="370"/>
    </row>
    <row r="9" spans="1:18">
      <c r="A9" s="1271" t="str">
        <f>'A5-Capex'!A47</f>
        <v>Community and public safety</v>
      </c>
      <c r="B9" s="864"/>
      <c r="C9" s="1133">
        <f>SUM(C10:C14)</f>
        <v>4023826</v>
      </c>
      <c r="D9" s="1131">
        <f t="shared" ref="D9:M9" si="2">SUM(D10:D14)</f>
        <v>3885275</v>
      </c>
      <c r="E9" s="1131">
        <f t="shared" si="2"/>
        <v>6029485</v>
      </c>
      <c r="F9" s="1131">
        <f t="shared" si="2"/>
        <v>3352824</v>
      </c>
      <c r="G9" s="1131">
        <f t="shared" si="2"/>
        <v>3996368</v>
      </c>
      <c r="H9" s="1131">
        <f t="shared" si="2"/>
        <v>6727172</v>
      </c>
      <c r="I9" s="1131">
        <f t="shared" si="2"/>
        <v>6058592</v>
      </c>
      <c r="J9" s="1131">
        <f t="shared" si="2"/>
        <v>4113446</v>
      </c>
      <c r="K9" s="1131">
        <f t="shared" si="2"/>
        <v>2372287</v>
      </c>
      <c r="L9" s="1131">
        <f t="shared" si="2"/>
        <v>4640464</v>
      </c>
      <c r="M9" s="1131">
        <f t="shared" si="2"/>
        <v>5866690</v>
      </c>
      <c r="N9" s="217">
        <f t="shared" si="1"/>
        <v>3569621</v>
      </c>
      <c r="O9" s="220">
        <f>'A5-Capex'!J47</f>
        <v>54636050</v>
      </c>
      <c r="P9" s="218">
        <f>'A5-Capex'!K47</f>
        <v>9793800</v>
      </c>
      <c r="Q9" s="345">
        <f>'A5-Capex'!L47</f>
        <v>4057000</v>
      </c>
      <c r="R9" s="370"/>
    </row>
    <row r="10" spans="1:18">
      <c r="A10" s="1272" t="str">
        <f>'A5-Capex'!A48</f>
        <v>Community and social services</v>
      </c>
      <c r="B10" s="864"/>
      <c r="C10" s="1636">
        <v>69585</v>
      </c>
      <c r="D10" s="1615">
        <v>390010</v>
      </c>
      <c r="E10" s="1615">
        <v>669890</v>
      </c>
      <c r="F10" s="1615">
        <v>420587</v>
      </c>
      <c r="G10" s="1615">
        <v>389520</v>
      </c>
      <c r="H10" s="1615">
        <v>895201</v>
      </c>
      <c r="I10" s="1615">
        <v>452810</v>
      </c>
      <c r="J10" s="1615">
        <v>765898</v>
      </c>
      <c r="K10" s="1615">
        <v>325980</v>
      </c>
      <c r="L10" s="1615">
        <v>229458</v>
      </c>
      <c r="M10" s="1615">
        <v>325480</v>
      </c>
      <c r="N10" s="202">
        <f t="shared" si="1"/>
        <v>431081</v>
      </c>
      <c r="O10" s="205">
        <f>'A5-Capex'!J48</f>
        <v>5365500</v>
      </c>
      <c r="P10" s="203">
        <f>'A5-Capex'!K48</f>
        <v>2996500</v>
      </c>
      <c r="Q10" s="264">
        <f>'A5-Capex'!L48</f>
        <v>1763000</v>
      </c>
      <c r="R10" s="370"/>
    </row>
    <row r="11" spans="1:18">
      <c r="A11" s="1272" t="str">
        <f>'A5-Capex'!A49</f>
        <v>Sport and recreation</v>
      </c>
      <c r="B11" s="864"/>
      <c r="C11" s="1636">
        <v>425658</v>
      </c>
      <c r="D11" s="1615">
        <v>399010</v>
      </c>
      <c r="E11" s="1615">
        <v>565800</v>
      </c>
      <c r="F11" s="1615">
        <v>298012</v>
      </c>
      <c r="G11" s="1615">
        <v>400253</v>
      </c>
      <c r="H11" s="1615">
        <v>525980</v>
      </c>
      <c r="I11" s="1615">
        <v>658970</v>
      </c>
      <c r="J11" s="1615">
        <v>810260</v>
      </c>
      <c r="K11" s="1615">
        <v>798240</v>
      </c>
      <c r="L11" s="1615">
        <v>555246</v>
      </c>
      <c r="M11" s="1615">
        <v>635989</v>
      </c>
      <c r="N11" s="202">
        <f t="shared" si="1"/>
        <v>854582</v>
      </c>
      <c r="O11" s="205">
        <f>'A5-Capex'!J49</f>
        <v>6928000</v>
      </c>
      <c r="P11" s="203">
        <f>'A5-Capex'!K49</f>
        <v>942000</v>
      </c>
      <c r="Q11" s="264">
        <f>'A5-Capex'!L49</f>
        <v>1920000</v>
      </c>
      <c r="R11" s="370"/>
    </row>
    <row r="12" spans="1:18">
      <c r="A12" s="1272" t="str">
        <f>'A5-Capex'!A50</f>
        <v>Public safety</v>
      </c>
      <c r="B12" s="864"/>
      <c r="C12" s="1636">
        <v>778583</v>
      </c>
      <c r="D12" s="1615">
        <v>895001</v>
      </c>
      <c r="E12" s="1615">
        <v>1095780</v>
      </c>
      <c r="F12" s="1615">
        <v>633205</v>
      </c>
      <c r="G12" s="1615">
        <v>1225698</v>
      </c>
      <c r="H12" s="1615">
        <v>1680010</v>
      </c>
      <c r="I12" s="1615">
        <v>925800</v>
      </c>
      <c r="J12" s="1615">
        <v>524801</v>
      </c>
      <c r="K12" s="1615">
        <v>222587</v>
      </c>
      <c r="L12" s="1615">
        <v>586790</v>
      </c>
      <c r="M12" s="1615">
        <v>325010</v>
      </c>
      <c r="N12" s="202">
        <f t="shared" si="1"/>
        <v>449285</v>
      </c>
      <c r="O12" s="205">
        <f>'A5-Capex'!J50</f>
        <v>9342550</v>
      </c>
      <c r="P12" s="203">
        <f>'A5-Capex'!K50</f>
        <v>5855300</v>
      </c>
      <c r="Q12" s="264">
        <f>'A5-Capex'!L50</f>
        <v>374000</v>
      </c>
      <c r="R12" s="370"/>
    </row>
    <row r="13" spans="1:18">
      <c r="A13" s="1272" t="str">
        <f>'A5-Capex'!A51</f>
        <v>Housing</v>
      </c>
      <c r="B13" s="864"/>
      <c r="C13" s="1636">
        <v>2750000</v>
      </c>
      <c r="D13" s="1615">
        <v>2201254</v>
      </c>
      <c r="E13" s="1615">
        <v>3698015</v>
      </c>
      <c r="F13" s="1615">
        <v>2001020</v>
      </c>
      <c r="G13" s="1615">
        <v>1980897</v>
      </c>
      <c r="H13" s="1615">
        <v>3625981</v>
      </c>
      <c r="I13" s="1615">
        <v>4021012</v>
      </c>
      <c r="J13" s="1615">
        <v>2012487</v>
      </c>
      <c r="K13" s="1615">
        <v>1025480</v>
      </c>
      <c r="L13" s="1615">
        <v>3268970</v>
      </c>
      <c r="M13" s="1615">
        <v>4580211</v>
      </c>
      <c r="N13" s="202">
        <f t="shared" si="1"/>
        <v>1834673</v>
      </c>
      <c r="O13" s="205">
        <f>'A5-Capex'!J51</f>
        <v>33000000</v>
      </c>
      <c r="P13" s="203">
        <f>'A5-Capex'!K51</f>
        <v>0</v>
      </c>
      <c r="Q13" s="264">
        <f>'A5-Capex'!L51</f>
        <v>0</v>
      </c>
      <c r="R13" s="370"/>
    </row>
    <row r="14" spans="1:18">
      <c r="A14" s="1272" t="str">
        <f>'A5-Capex'!A52</f>
        <v>Health</v>
      </c>
      <c r="B14" s="864"/>
      <c r="C14" s="1636">
        <v>0</v>
      </c>
      <c r="D14" s="1615">
        <v>0</v>
      </c>
      <c r="E14" s="1615">
        <v>0</v>
      </c>
      <c r="F14" s="1615">
        <v>0</v>
      </c>
      <c r="G14" s="1615">
        <v>0</v>
      </c>
      <c r="H14" s="1615">
        <v>0</v>
      </c>
      <c r="I14" s="1615">
        <v>0</v>
      </c>
      <c r="J14" s="1615">
        <v>0</v>
      </c>
      <c r="K14" s="1615">
        <v>0</v>
      </c>
      <c r="L14" s="1615">
        <v>0</v>
      </c>
      <c r="M14" s="1615">
        <v>0</v>
      </c>
      <c r="N14" s="202">
        <f t="shared" si="1"/>
        <v>0</v>
      </c>
      <c r="O14" s="205">
        <f>'A5-Capex'!J52</f>
        <v>0</v>
      </c>
      <c r="P14" s="203">
        <f>'A5-Capex'!K52</f>
        <v>0</v>
      </c>
      <c r="Q14" s="264">
        <f>'A5-Capex'!L52</f>
        <v>0</v>
      </c>
      <c r="R14" s="370"/>
    </row>
    <row r="15" spans="1:18">
      <c r="A15" s="1271" t="str">
        <f>'A5-Capex'!A53</f>
        <v>Economic and environmental services</v>
      </c>
      <c r="B15" s="864"/>
      <c r="C15" s="1133">
        <f>SUM(C16:C18)</f>
        <v>55302937</v>
      </c>
      <c r="D15" s="1131">
        <f t="shared" ref="D15:M15" si="3">SUM(D16:D18)</f>
        <v>67022846</v>
      </c>
      <c r="E15" s="1131">
        <f t="shared" si="3"/>
        <v>39231613</v>
      </c>
      <c r="F15" s="1131">
        <f t="shared" si="3"/>
        <v>43604665</v>
      </c>
      <c r="G15" s="1131">
        <f t="shared" si="3"/>
        <v>71402168</v>
      </c>
      <c r="H15" s="1131">
        <f t="shared" si="3"/>
        <v>88402020</v>
      </c>
      <c r="I15" s="1131">
        <f t="shared" si="3"/>
        <v>66202927</v>
      </c>
      <c r="J15" s="1131">
        <f t="shared" si="3"/>
        <v>63601298</v>
      </c>
      <c r="K15" s="1131">
        <f t="shared" si="3"/>
        <v>60550201</v>
      </c>
      <c r="L15" s="1131">
        <f t="shared" si="3"/>
        <v>60471878</v>
      </c>
      <c r="M15" s="1131">
        <f t="shared" si="3"/>
        <v>35223477</v>
      </c>
      <c r="N15" s="217">
        <f t="shared" si="1"/>
        <v>53248970</v>
      </c>
      <c r="O15" s="220">
        <f>'A5-Capex'!J53</f>
        <v>704265000</v>
      </c>
      <c r="P15" s="218">
        <f>'A5-Capex'!K53</f>
        <v>804580000</v>
      </c>
      <c r="Q15" s="345">
        <f>'A5-Capex'!L53</f>
        <v>810515000</v>
      </c>
      <c r="R15" s="370"/>
    </row>
    <row r="16" spans="1:18">
      <c r="A16" s="1272" t="str">
        <f>'A5-Capex'!A54</f>
        <v>Planning and development</v>
      </c>
      <c r="B16" s="864"/>
      <c r="C16" s="1636">
        <v>4134521</v>
      </c>
      <c r="D16" s="1615">
        <v>2021587</v>
      </c>
      <c r="E16" s="1615">
        <v>1210015</v>
      </c>
      <c r="F16" s="1615">
        <v>3680014</v>
      </c>
      <c r="G16" s="1615">
        <v>5920150</v>
      </c>
      <c r="H16" s="1615">
        <v>8599870</v>
      </c>
      <c r="I16" s="1615">
        <v>5210268</v>
      </c>
      <c r="J16" s="1615">
        <v>2598701</v>
      </c>
      <c r="K16" s="1615">
        <v>4690012</v>
      </c>
      <c r="L16" s="1615">
        <v>2256018</v>
      </c>
      <c r="M16" s="1615">
        <v>3001897</v>
      </c>
      <c r="N16" s="202">
        <f t="shared" si="1"/>
        <v>5290947</v>
      </c>
      <c r="O16" s="205">
        <f>'A5-Capex'!J54</f>
        <v>48614000</v>
      </c>
      <c r="P16" s="203">
        <f>'A5-Capex'!K54</f>
        <v>40080000</v>
      </c>
      <c r="Q16" s="264">
        <f>'A5-Capex'!L54</f>
        <v>20515000</v>
      </c>
      <c r="R16" s="370"/>
    </row>
    <row r="17" spans="1:20">
      <c r="A17" s="1272" t="str">
        <f>'A5-Capex'!A55</f>
        <v>Road transport</v>
      </c>
      <c r="B17" s="864"/>
      <c r="C17" s="1636">
        <v>51168416</v>
      </c>
      <c r="D17" s="1615">
        <v>65001259</v>
      </c>
      <c r="E17" s="1615">
        <v>38021598</v>
      </c>
      <c r="F17" s="1615">
        <v>39558400</v>
      </c>
      <c r="G17" s="1615">
        <v>65482018</v>
      </c>
      <c r="H17" s="1615">
        <v>79802150</v>
      </c>
      <c r="I17" s="1615">
        <v>60728910</v>
      </c>
      <c r="J17" s="1615">
        <v>61002597</v>
      </c>
      <c r="K17" s="1615">
        <v>55860189</v>
      </c>
      <c r="L17" s="1615">
        <v>58215860</v>
      </c>
      <c r="M17" s="1615">
        <v>32221580</v>
      </c>
      <c r="N17" s="202">
        <f t="shared" si="1"/>
        <v>47958023</v>
      </c>
      <c r="O17" s="205">
        <f>'A5-Capex'!J55</f>
        <v>655021000</v>
      </c>
      <c r="P17" s="203">
        <f>'A5-Capex'!K55</f>
        <v>764500000</v>
      </c>
      <c r="Q17" s="264">
        <f>'A5-Capex'!L55</f>
        <v>790000000</v>
      </c>
      <c r="R17" s="370"/>
    </row>
    <row r="18" spans="1:20">
      <c r="A18" s="1272" t="str">
        <f>'A5-Capex'!A56</f>
        <v>Environmental protection</v>
      </c>
      <c r="B18" s="864"/>
      <c r="C18" s="1636">
        <v>0</v>
      </c>
      <c r="D18" s="1615">
        <v>0</v>
      </c>
      <c r="E18" s="1615">
        <v>0</v>
      </c>
      <c r="F18" s="1615">
        <v>366251</v>
      </c>
      <c r="G18" s="1615">
        <v>0</v>
      </c>
      <c r="H18" s="1615">
        <v>0</v>
      </c>
      <c r="I18" s="1615">
        <v>263749</v>
      </c>
      <c r="J18" s="1615">
        <v>0</v>
      </c>
      <c r="K18" s="1615">
        <v>0</v>
      </c>
      <c r="L18" s="1615">
        <v>0</v>
      </c>
      <c r="M18" s="1615">
        <v>0</v>
      </c>
      <c r="N18" s="202">
        <f t="shared" si="1"/>
        <v>0</v>
      </c>
      <c r="O18" s="205">
        <f>'A5-Capex'!J56</f>
        <v>630000</v>
      </c>
      <c r="P18" s="203">
        <f>'A5-Capex'!K56</f>
        <v>0</v>
      </c>
      <c r="Q18" s="264">
        <f>'A5-Capex'!L56</f>
        <v>0</v>
      </c>
      <c r="R18" s="370"/>
    </row>
    <row r="19" spans="1:20">
      <c r="A19" s="1271" t="str">
        <f>'A5-Capex'!A57</f>
        <v>Trading services</v>
      </c>
      <c r="B19" s="864"/>
      <c r="C19" s="1133">
        <f>SUM(C20:C23)</f>
        <v>34018306</v>
      </c>
      <c r="D19" s="1131">
        <f t="shared" ref="D19:M19" si="4">SUM(D20:D23)</f>
        <v>33152411</v>
      </c>
      <c r="E19" s="1131">
        <f t="shared" si="4"/>
        <v>33567502</v>
      </c>
      <c r="F19" s="1131">
        <f t="shared" si="4"/>
        <v>32019362</v>
      </c>
      <c r="G19" s="1131">
        <f t="shared" si="4"/>
        <v>33994167</v>
      </c>
      <c r="H19" s="1131">
        <f t="shared" si="4"/>
        <v>37545225</v>
      </c>
      <c r="I19" s="1131">
        <f t="shared" si="4"/>
        <v>35090917</v>
      </c>
      <c r="J19" s="1131">
        <f t="shared" si="4"/>
        <v>37468368</v>
      </c>
      <c r="K19" s="1131">
        <f t="shared" si="4"/>
        <v>42285281</v>
      </c>
      <c r="L19" s="1131">
        <f t="shared" si="4"/>
        <v>38278221</v>
      </c>
      <c r="M19" s="1131">
        <f t="shared" si="4"/>
        <v>39315062</v>
      </c>
      <c r="N19" s="217">
        <f t="shared" si="1"/>
        <v>135758178</v>
      </c>
      <c r="O19" s="220">
        <f>'A5-Capex'!J57</f>
        <v>532493000</v>
      </c>
      <c r="P19" s="218">
        <f>'A5-Capex'!K57</f>
        <v>975153000</v>
      </c>
      <c r="Q19" s="345">
        <f>'A5-Capex'!L57</f>
        <v>209273000</v>
      </c>
      <c r="R19" s="370"/>
    </row>
    <row r="20" spans="1:20">
      <c r="A20" s="1272" t="str">
        <f>'A5-Capex'!A58</f>
        <v>Electricity</v>
      </c>
      <c r="B20" s="864"/>
      <c r="C20" s="1636">
        <v>19285833</v>
      </c>
      <c r="D20" s="1615">
        <v>17581395</v>
      </c>
      <c r="E20" s="1615">
        <v>16220125</v>
      </c>
      <c r="F20" s="1615">
        <v>11952120</v>
      </c>
      <c r="G20" s="1615">
        <v>14542012</v>
      </c>
      <c r="H20" s="1615">
        <v>15826820</v>
      </c>
      <c r="I20" s="1615">
        <v>14001248</v>
      </c>
      <c r="J20" s="1615">
        <v>17899985</v>
      </c>
      <c r="K20" s="1615">
        <v>19568012</v>
      </c>
      <c r="L20" s="1615">
        <v>16662540</v>
      </c>
      <c r="M20" s="1615">
        <v>17521801</v>
      </c>
      <c r="N20" s="202">
        <f t="shared" si="1"/>
        <v>17693109</v>
      </c>
      <c r="O20" s="205">
        <f>'A5-Capex'!J58</f>
        <v>198755000</v>
      </c>
      <c r="P20" s="203">
        <f>'A5-Capex'!K58</f>
        <v>42965000</v>
      </c>
      <c r="Q20" s="264">
        <f>'A5-Capex'!L58</f>
        <v>38760000</v>
      </c>
      <c r="R20" s="370"/>
    </row>
    <row r="21" spans="1:20">
      <c r="A21" s="1272" t="str">
        <f>'A5-Capex'!A59</f>
        <v>Water</v>
      </c>
      <c r="B21" s="864"/>
      <c r="C21" s="1636">
        <v>6586954</v>
      </c>
      <c r="D21" s="1615">
        <v>8750231</v>
      </c>
      <c r="E21" s="1615">
        <v>5520125</v>
      </c>
      <c r="F21" s="1615">
        <v>6652102</v>
      </c>
      <c r="G21" s="1615">
        <v>7652100</v>
      </c>
      <c r="H21" s="1615">
        <v>9269880</v>
      </c>
      <c r="I21" s="1615">
        <v>8001259</v>
      </c>
      <c r="J21" s="1615">
        <v>7512585</v>
      </c>
      <c r="K21" s="1615">
        <v>9821010</v>
      </c>
      <c r="L21" s="1615">
        <v>12024200</v>
      </c>
      <c r="M21" s="1615">
        <v>10019980</v>
      </c>
      <c r="N21" s="202">
        <f t="shared" si="1"/>
        <v>27705174.988989055</v>
      </c>
      <c r="O21" s="205">
        <f>'A5-Capex'!J59</f>
        <v>119515600.98898906</v>
      </c>
      <c r="P21" s="203">
        <f>'A5-Capex'!K59</f>
        <v>229807644.44968611</v>
      </c>
      <c r="Q21" s="264">
        <f>'A5-Capex'!L59</f>
        <v>51500000</v>
      </c>
      <c r="R21" s="370"/>
    </row>
    <row r="22" spans="1:20">
      <c r="A22" s="1272" t="str">
        <f>'A5-Capex'!A60</f>
        <v>Waste water management</v>
      </c>
      <c r="B22" s="864"/>
      <c r="C22" s="1636">
        <v>4895501</v>
      </c>
      <c r="D22" s="1615">
        <v>3500187</v>
      </c>
      <c r="E22" s="1615">
        <v>5845240</v>
      </c>
      <c r="F22" s="1615">
        <v>4524890</v>
      </c>
      <c r="G22" s="1615">
        <v>6598158</v>
      </c>
      <c r="H22" s="1615">
        <v>9123509</v>
      </c>
      <c r="I22" s="1615">
        <v>7564200</v>
      </c>
      <c r="J22" s="1615">
        <v>5254218</v>
      </c>
      <c r="K22" s="1615">
        <v>4201258</v>
      </c>
      <c r="L22" s="1615">
        <v>3332680</v>
      </c>
      <c r="M22" s="1615">
        <v>4251801</v>
      </c>
      <c r="N22" s="202">
        <f t="shared" si="1"/>
        <v>85957757.011010945</v>
      </c>
      <c r="O22" s="205">
        <f>'A5-Capex'!J60</f>
        <v>145049399.01101094</v>
      </c>
      <c r="P22" s="203">
        <f>'A5-Capex'!K60</f>
        <v>628892355.55031383</v>
      </c>
      <c r="Q22" s="264">
        <f>'A5-Capex'!L60</f>
        <v>64838000</v>
      </c>
      <c r="R22" s="370"/>
    </row>
    <row r="23" spans="1:20">
      <c r="A23" s="1272" t="str">
        <f>'A5-Capex'!A61</f>
        <v>Waste management</v>
      </c>
      <c r="B23" s="864"/>
      <c r="C23" s="1636">
        <v>3250018</v>
      </c>
      <c r="D23" s="1615">
        <v>3320598</v>
      </c>
      <c r="E23" s="1615">
        <v>5982012</v>
      </c>
      <c r="F23" s="1615">
        <v>8890250</v>
      </c>
      <c r="G23" s="1615">
        <v>5201897</v>
      </c>
      <c r="H23" s="1615">
        <v>3325016</v>
      </c>
      <c r="I23" s="1615">
        <v>5524210</v>
      </c>
      <c r="J23" s="1615">
        <v>6801580</v>
      </c>
      <c r="K23" s="1615">
        <v>8695001</v>
      </c>
      <c r="L23" s="1615">
        <v>6258801</v>
      </c>
      <c r="M23" s="1615">
        <v>7521480</v>
      </c>
      <c r="N23" s="202">
        <f t="shared" si="1"/>
        <v>4402137</v>
      </c>
      <c r="O23" s="205">
        <f>'A5-Capex'!J61</f>
        <v>69173000</v>
      </c>
      <c r="P23" s="203">
        <f>'A5-Capex'!K61</f>
        <v>73488000</v>
      </c>
      <c r="Q23" s="264">
        <f>'A5-Capex'!L61</f>
        <v>54175000</v>
      </c>
      <c r="R23" s="370"/>
    </row>
    <row r="24" spans="1:20">
      <c r="A24" s="1271" t="str">
        <f>'A5-Capex'!A62</f>
        <v>Other</v>
      </c>
      <c r="B24" s="864"/>
      <c r="C24" s="1650">
        <v>1025620</v>
      </c>
      <c r="D24" s="1648">
        <v>368833</v>
      </c>
      <c r="E24" s="1648">
        <v>152014</v>
      </c>
      <c r="F24" s="1648">
        <v>8329870</v>
      </c>
      <c r="G24" s="1648">
        <v>521520</v>
      </c>
      <c r="H24" s="1648">
        <v>1900240</v>
      </c>
      <c r="I24" s="1648">
        <v>1320587</v>
      </c>
      <c r="J24" s="1648">
        <v>150178</v>
      </c>
      <c r="K24" s="1648">
        <v>299701</v>
      </c>
      <c r="L24" s="1648">
        <v>325640</v>
      </c>
      <c r="M24" s="1648">
        <v>910254</v>
      </c>
      <c r="N24" s="217">
        <f t="shared" si="1"/>
        <v>1131043</v>
      </c>
      <c r="O24" s="220">
        <f>'A5-Capex'!J62</f>
        <v>16435500</v>
      </c>
      <c r="P24" s="218">
        <f>'A5-Capex'!K62</f>
        <v>16000000</v>
      </c>
      <c r="Q24" s="345">
        <f>'A5-Capex'!L62</f>
        <v>15000000</v>
      </c>
      <c r="R24" s="370"/>
    </row>
    <row r="25" spans="1:20">
      <c r="A25" s="849" t="str">
        <f>'A5-Capex'!A63</f>
        <v>Total Capital Expenditure - Standard</v>
      </c>
      <c r="B25" s="881">
        <v>2</v>
      </c>
      <c r="C25" s="353">
        <f>C5+C9+C15+C19+C24</f>
        <v>94591188</v>
      </c>
      <c r="D25" s="227">
        <f t="shared" ref="D25:Q25" si="5">D5+D9+D15+D19+D24</f>
        <v>105029166</v>
      </c>
      <c r="E25" s="227">
        <f t="shared" si="5"/>
        <v>80027405</v>
      </c>
      <c r="F25" s="227">
        <f t="shared" si="5"/>
        <v>87745641</v>
      </c>
      <c r="G25" s="227">
        <f t="shared" si="5"/>
        <v>110132468</v>
      </c>
      <c r="H25" s="227">
        <f t="shared" si="5"/>
        <v>135533594</v>
      </c>
      <c r="I25" s="227">
        <f t="shared" si="5"/>
        <v>108923764</v>
      </c>
      <c r="J25" s="227">
        <f t="shared" si="5"/>
        <v>105995157</v>
      </c>
      <c r="K25" s="227">
        <f t="shared" si="5"/>
        <v>105945288</v>
      </c>
      <c r="L25" s="227">
        <f t="shared" si="5"/>
        <v>103981205</v>
      </c>
      <c r="M25" s="227">
        <f t="shared" si="5"/>
        <v>81613438</v>
      </c>
      <c r="N25" s="226">
        <f t="shared" si="5"/>
        <v>194141047</v>
      </c>
      <c r="O25" s="353">
        <f t="shared" si="5"/>
        <v>1313659361</v>
      </c>
      <c r="P25" s="227">
        <f t="shared" si="5"/>
        <v>1810422448</v>
      </c>
      <c r="Q25" s="352">
        <f t="shared" si="5"/>
        <v>1041880000</v>
      </c>
      <c r="R25" s="370"/>
    </row>
    <row r="26" spans="1:20" s="709" customFormat="1">
      <c r="A26" s="1423" t="str">
        <f>head27a</f>
        <v>References</v>
      </c>
      <c r="B26" s="1088"/>
      <c r="C26" s="1040"/>
      <c r="D26" s="1040"/>
      <c r="E26" s="1040"/>
      <c r="F26" s="1040"/>
      <c r="G26" s="1040"/>
      <c r="H26" s="1040"/>
      <c r="I26" s="1040"/>
      <c r="J26" s="1040"/>
      <c r="K26" s="1040"/>
      <c r="L26" s="1040"/>
      <c r="M26" s="1040"/>
      <c r="N26" s="1040"/>
      <c r="O26" s="1040"/>
      <c r="P26" s="1040"/>
      <c r="Q26" s="1040"/>
      <c r="R26" s="1087"/>
      <c r="S26" s="1087"/>
      <c r="T26" s="1087"/>
    </row>
    <row r="27" spans="1:20" s="709" customFormat="1">
      <c r="A27" s="1419" t="s">
        <v>795</v>
      </c>
      <c r="C27" s="1040"/>
      <c r="D27" s="1040"/>
      <c r="E27" s="1040"/>
      <c r="F27" s="1040"/>
      <c r="G27" s="1040"/>
      <c r="H27" s="1040"/>
      <c r="I27" s="1040"/>
      <c r="J27" s="1040"/>
      <c r="K27" s="1040"/>
      <c r="L27" s="1040"/>
      <c r="M27" s="1040"/>
      <c r="N27" s="1040"/>
      <c r="O27" s="1040"/>
      <c r="P27" s="1040"/>
      <c r="Q27" s="1040"/>
      <c r="R27" s="1087"/>
      <c r="S27" s="1087"/>
      <c r="T27" s="1087"/>
    </row>
    <row r="28" spans="1:20" s="709" customFormat="1">
      <c r="A28" s="1419" t="str">
        <f>'SA28'!A44</f>
        <v>2. Total Capital Expenditure must reconcile to Budgeted Capital Expenditure</v>
      </c>
    </row>
    <row r="29" spans="1:20">
      <c r="A29" s="437" t="s">
        <v>1524</v>
      </c>
      <c r="B29" s="437"/>
      <c r="O29" s="807">
        <f>O25-'A5-Capex'!J40</f>
        <v>180</v>
      </c>
      <c r="P29" s="807">
        <f>P25-'A5-Capex'!K40</f>
        <v>800</v>
      </c>
      <c r="Q29" s="807">
        <f>Q25-'A5-Capex'!L40</f>
        <v>0</v>
      </c>
    </row>
  </sheetData>
  <sheetProtection sheet="1" objects="1" scenarios="1"/>
  <mergeCells count="2">
    <mergeCell ref="C2:N2"/>
    <mergeCell ref="O2:Q2"/>
  </mergeCells>
  <phoneticPr fontId="5" type="noConversion"/>
  <printOptions horizontalCentered="1"/>
  <pageMargins left="0"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enableFormatConditionsCalculation="0">
    <tabColor indexed="44"/>
  </sheetPr>
  <dimension ref="A1:E166"/>
  <sheetViews>
    <sheetView showGridLines="0" topLeftCell="A143" workbookViewId="0">
      <selection activeCell="C105" sqref="C105"/>
    </sheetView>
  </sheetViews>
  <sheetFormatPr baseColWidth="10" defaultColWidth="8.83203125" defaultRowHeight="10" x14ac:dyDescent="0"/>
  <cols>
    <col min="1" max="1" width="37.5" style="2212" customWidth="1"/>
    <col min="2" max="2" width="7.6640625" style="2216" customWidth="1"/>
    <col min="3" max="3" width="47.83203125" style="2217" customWidth="1"/>
    <col min="4" max="4" width="20" style="2212" hidden="1" customWidth="1"/>
    <col min="5" max="5" width="43.5" style="2212" customWidth="1"/>
    <col min="6" max="16384" width="8.83203125" style="2212"/>
  </cols>
  <sheetData>
    <row r="1" spans="1:5" ht="35.25" customHeight="1">
      <c r="A1" s="2209" t="s">
        <v>2026</v>
      </c>
      <c r="B1" s="2210"/>
      <c r="C1" s="2211" t="s">
        <v>2025</v>
      </c>
      <c r="E1" s="2209" t="s">
        <v>2037</v>
      </c>
    </row>
    <row r="2" spans="1:5">
      <c r="A2" s="2212" t="str">
        <f>B2&amp;" - "&amp;C2</f>
        <v>Vote 1 - EXECUTIVE MAYOR</v>
      </c>
      <c r="B2" s="2213" t="s">
        <v>1979</v>
      </c>
      <c r="C2" s="2519" t="s">
        <v>2264</v>
      </c>
      <c r="E2" s="2303"/>
    </row>
    <row r="3" spans="1:5">
      <c r="A3" s="2212" t="str">
        <f>B13&amp;" - "&amp; C13</f>
        <v>Vote 2 - MUNICIPAL MANAGER</v>
      </c>
      <c r="B3" s="2214">
        <v>1.1000000000000001</v>
      </c>
      <c r="C3" s="2520" t="s">
        <v>2265</v>
      </c>
      <c r="D3" s="2212" t="str">
        <f t="shared" ref="D3:D12" si="0">CONCATENATE(B3, " - ", C3)</f>
        <v>1,1 - 001 - OFFICE OF THE EXECUTIVE MAYOR</v>
      </c>
      <c r="E3" s="2304" t="s">
        <v>2332</v>
      </c>
    </row>
    <row r="4" spans="1:5">
      <c r="A4" s="2212" t="str">
        <f>B24&amp;" - "&amp;C24</f>
        <v>Vote 3 - CORPORATE SUPPORT SERVICES</v>
      </c>
      <c r="B4" s="2214">
        <v>1.2</v>
      </c>
      <c r="C4" s="2520" t="s">
        <v>2266</v>
      </c>
      <c r="D4" s="2212" t="str">
        <f t="shared" si="0"/>
        <v>1,2 - 002 - OFFICE OF THE SPEAKER</v>
      </c>
      <c r="E4" s="2304" t="s">
        <v>2333</v>
      </c>
    </row>
    <row r="5" spans="1:5">
      <c r="A5" s="2212" t="str">
        <f>B35&amp;" - "&amp;C35</f>
        <v>Vote 4 - BUDGET AND TREASURY OFFICE</v>
      </c>
      <c r="B5" s="2214">
        <v>1.3</v>
      </c>
      <c r="C5" s="2520" t="s">
        <v>2267</v>
      </c>
      <c r="D5" s="2212" t="str">
        <f t="shared" si="0"/>
        <v>1,3 - 003 - MAYORAL COMMITTEE</v>
      </c>
      <c r="E5" s="2304" t="s">
        <v>2334</v>
      </c>
    </row>
    <row r="6" spans="1:5">
      <c r="A6" s="2212" t="str">
        <f>B46&amp;" - "&amp;C46</f>
        <v>Vote 5 - PUBLIC SAFETY</v>
      </c>
      <c r="B6" s="2214">
        <v>1.4</v>
      </c>
      <c r="C6" s="2520" t="s">
        <v>2268</v>
      </c>
      <c r="D6" s="2212" t="str">
        <f t="shared" si="0"/>
        <v>1,4 - 004 - COUNCIL GENERAL</v>
      </c>
      <c r="E6" s="2304" t="s">
        <v>2335</v>
      </c>
    </row>
    <row r="7" spans="1:5">
      <c r="A7" s="2212" t="str">
        <f>B57&amp;" - "&amp;C57</f>
        <v>Vote 6 - PLANNING &amp; HUMAN SETTLEMENT</v>
      </c>
      <c r="B7" s="2214">
        <v>1.5</v>
      </c>
      <c r="C7" s="2520" t="s">
        <v>2269</v>
      </c>
      <c r="D7" s="2212" t="str">
        <f t="shared" si="0"/>
        <v>1,5 - 005 - OFFICE OF THE CHIEF WHIP</v>
      </c>
      <c r="E7" s="2304" t="s">
        <v>2336</v>
      </c>
    </row>
    <row r="8" spans="1:5">
      <c r="A8" s="2212" t="str">
        <f>B68&amp;" - "&amp;C68</f>
        <v xml:space="preserve">Vote 7 - LOCAL ECONOMIC DEVELOPMENT </v>
      </c>
      <c r="B8" s="2214">
        <v>1.6</v>
      </c>
      <c r="C8" s="2520" t="s">
        <v>2270</v>
      </c>
      <c r="D8" s="2212" t="str">
        <f t="shared" si="0"/>
        <v>1,6 - 006 - INTERGOVERNMENTAL RELATIONS</v>
      </c>
      <c r="E8" s="2304" t="s">
        <v>2337</v>
      </c>
    </row>
    <row r="9" spans="1:5">
      <c r="A9" s="2212" t="str">
        <f>B79&amp;" - "&amp;C79</f>
        <v>Vote 8 - COMMUNITY DEVELOPMENT</v>
      </c>
      <c r="B9" s="2214">
        <v>1.7</v>
      </c>
      <c r="C9" s="2520" t="s">
        <v>2536</v>
      </c>
      <c r="D9" s="2212" t="str">
        <f t="shared" si="0"/>
        <v>1,7 - 007 - OFFICE OF THE MUNICIPAL PUBLIC ACCOUNTS</v>
      </c>
      <c r="E9" s="2304" t="s">
        <v>2537</v>
      </c>
    </row>
    <row r="10" spans="1:5">
      <c r="A10" s="2212" t="str">
        <f>B90&amp;" - "&amp;C90</f>
        <v>Vote 9 - TECHNICAL AND INFRASTRUCTURE</v>
      </c>
      <c r="B10" s="2214">
        <v>1.8</v>
      </c>
      <c r="C10" s="2208"/>
      <c r="D10" s="2212" t="str">
        <f t="shared" si="0"/>
        <v xml:space="preserve">1,8 - </v>
      </c>
      <c r="E10" s="2304"/>
    </row>
    <row r="11" spans="1:5">
      <c r="A11" s="2212" t="str">
        <f>B101&amp;" - "&amp;C101</f>
        <v>Vote 10 - RUSTENBURG WATER SERVICE TRUST</v>
      </c>
      <c r="B11" s="2214">
        <v>1.9</v>
      </c>
      <c r="C11" s="2208"/>
      <c r="D11" s="2212" t="str">
        <f t="shared" si="0"/>
        <v xml:space="preserve">1,9 - </v>
      </c>
      <c r="E11" s="2304"/>
    </row>
    <row r="12" spans="1:5">
      <c r="A12" s="2212" t="str">
        <f>B112&amp;" - "&amp;C112</f>
        <v>Vote 11 - [NAME OF VOTE 11]</v>
      </c>
      <c r="B12" s="2214" t="s">
        <v>2010</v>
      </c>
      <c r="C12" s="2208"/>
      <c r="D12" s="2212" t="str">
        <f t="shared" si="0"/>
        <v xml:space="preserve">1.10 - </v>
      </c>
      <c r="E12" s="2304"/>
    </row>
    <row r="13" spans="1:5">
      <c r="A13" s="2212" t="str">
        <f>B123&amp;" - "&amp;C123</f>
        <v>Vote 12 - [NAME OF VOTE 12]</v>
      </c>
      <c r="B13" s="2213" t="s">
        <v>1980</v>
      </c>
      <c r="C13" s="2519" t="s">
        <v>2271</v>
      </c>
      <c r="E13" s="2303"/>
    </row>
    <row r="14" spans="1:5">
      <c r="A14" s="2212" t="str">
        <f>B134&amp;" - "&amp;C134</f>
        <v>Vote 13 - [NAME OF VOTE 13]</v>
      </c>
      <c r="B14" s="2214">
        <v>2.1</v>
      </c>
      <c r="C14" s="2520" t="s">
        <v>2272</v>
      </c>
      <c r="D14" s="2212" t="str">
        <f t="shared" ref="D14:D23" si="1">CONCATENATE(B14, " - ", C14)</f>
        <v>2,1 - 010 - OFFICE OF THE MUNICIPAL MANAGER</v>
      </c>
      <c r="E14" s="2304" t="s">
        <v>2338</v>
      </c>
    </row>
    <row r="15" spans="1:5">
      <c r="A15" s="2212" t="str">
        <f>B145&amp;" - "&amp;C145</f>
        <v>Vote 14 - [NAME OF VOTE 14]</v>
      </c>
      <c r="B15" s="2214">
        <v>2.2000000000000002</v>
      </c>
      <c r="C15" s="2520" t="s">
        <v>2273</v>
      </c>
      <c r="D15" s="2212" t="str">
        <f t="shared" si="1"/>
        <v>2,2 - 011 - INTERNAL AUDITING</v>
      </c>
      <c r="E15" s="2304" t="s">
        <v>2339</v>
      </c>
    </row>
    <row r="16" spans="1:5">
      <c r="A16" s="2212" t="str">
        <f>B156&amp;" - "&amp;C156</f>
        <v>Vote 15 - [NAME OF VOTE 15]</v>
      </c>
      <c r="B16" s="2214">
        <v>2.2999999999999998</v>
      </c>
      <c r="C16" s="2520" t="s">
        <v>2274</v>
      </c>
      <c r="D16" s="2212" t="str">
        <f t="shared" si="1"/>
        <v>2,3 - 012 - INTEGRATED DEVELOPMENT PLAN (IDP)</v>
      </c>
      <c r="E16" s="2304" t="s">
        <v>2340</v>
      </c>
    </row>
    <row r="17" spans="1:5">
      <c r="B17" s="2214">
        <v>2.4</v>
      </c>
      <c r="C17" s="2520" t="s">
        <v>2275</v>
      </c>
      <c r="D17" s="2212" t="str">
        <f t="shared" si="1"/>
        <v>2,4 - 013 - CORPORATE ADVISORY</v>
      </c>
      <c r="E17" s="2304" t="s">
        <v>2341</v>
      </c>
    </row>
    <row r="18" spans="1:5">
      <c r="B18" s="2214">
        <v>2.5</v>
      </c>
      <c r="C18" s="2520" t="s">
        <v>2276</v>
      </c>
      <c r="D18" s="2212" t="str">
        <f t="shared" si="1"/>
        <v>2,5 - 014 - PERFORMANCE MANAGEMENT SYSTEM</v>
      </c>
      <c r="E18" s="2304" t="s">
        <v>2342</v>
      </c>
    </row>
    <row r="19" spans="1:5">
      <c r="B19" s="2214">
        <v>2.6</v>
      </c>
      <c r="C19" s="2520" t="s">
        <v>2277</v>
      </c>
      <c r="D19" s="2212" t="str">
        <f t="shared" si="1"/>
        <v>2,6 - 015 - INFORMATION TECHNOLOGY</v>
      </c>
      <c r="E19" s="2304" t="s">
        <v>2343</v>
      </c>
    </row>
    <row r="20" spans="1:5">
      <c r="B20" s="2214">
        <v>2.7</v>
      </c>
      <c r="C20" s="2520" t="s">
        <v>2278</v>
      </c>
      <c r="D20" s="2212" t="str">
        <f t="shared" si="1"/>
        <v>2,7 - 016 - COORDINATOR 2010</v>
      </c>
      <c r="E20" s="2304" t="s">
        <v>2344</v>
      </c>
    </row>
    <row r="21" spans="1:5">
      <c r="A21" s="2303"/>
      <c r="B21" s="2214">
        <v>2.8</v>
      </c>
      <c r="C21" s="2521" t="s">
        <v>2279</v>
      </c>
      <c r="D21" s="2212" t="str">
        <f t="shared" si="1"/>
        <v>2,8 - 017 - REGIONAL COMMUNITY CENTRES</v>
      </c>
      <c r="E21" s="2304" t="s">
        <v>2345</v>
      </c>
    </row>
    <row r="22" spans="1:5">
      <c r="B22" s="2214">
        <v>2.9</v>
      </c>
      <c r="C22" s="2521" t="s">
        <v>2280</v>
      </c>
      <c r="D22" s="2212" t="str">
        <f t="shared" si="1"/>
        <v>2,9 - 018 - PROJECT MANAGEMENT UNIT</v>
      </c>
      <c r="E22" s="2304" t="s">
        <v>2346</v>
      </c>
    </row>
    <row r="23" spans="1:5">
      <c r="B23" s="2214" t="s">
        <v>2011</v>
      </c>
      <c r="C23" s="2521" t="s">
        <v>2538</v>
      </c>
      <c r="D23" s="2212" t="str">
        <f t="shared" si="1"/>
        <v>2.10 - 019 - OFFICE OF THE CHIEF OPERATIONS OFFICER</v>
      </c>
      <c r="E23" s="2304" t="s">
        <v>2539</v>
      </c>
    </row>
    <row r="24" spans="1:5">
      <c r="B24" s="2213" t="s">
        <v>1981</v>
      </c>
      <c r="C24" s="2519" t="s">
        <v>2281</v>
      </c>
      <c r="E24" s="2304"/>
    </row>
    <row r="25" spans="1:5">
      <c r="B25" s="2214">
        <v>3.1</v>
      </c>
      <c r="C25" s="2520" t="s">
        <v>2282</v>
      </c>
      <c r="D25" s="2212" t="str">
        <f t="shared" ref="D25:D34" si="2">CONCATENATE(B25, " - ", C25)</f>
        <v>3,1 - 020 - OFFICE OF THE DIRECTOR CORPORATE SUPPORT SERVICES</v>
      </c>
      <c r="E25" s="2304" t="s">
        <v>2347</v>
      </c>
    </row>
    <row r="26" spans="1:5">
      <c r="B26" s="2214">
        <v>3.2</v>
      </c>
      <c r="C26" s="2520" t="s">
        <v>2283</v>
      </c>
      <c r="D26" s="2212" t="str">
        <f t="shared" si="2"/>
        <v>3,2 - 025 - ADMINISTRATIVE SUPPORT</v>
      </c>
      <c r="E26" s="2304" t="s">
        <v>2348</v>
      </c>
    </row>
    <row r="27" spans="1:5">
      <c r="B27" s="2214">
        <v>3.3</v>
      </c>
      <c r="C27" s="2520" t="s">
        <v>2284</v>
      </c>
      <c r="D27" s="2212" t="str">
        <f t="shared" si="2"/>
        <v>3,3 - 030 - HUMAN RESOURCE MANAGEMENT</v>
      </c>
      <c r="E27" s="2304" t="s">
        <v>2349</v>
      </c>
    </row>
    <row r="28" spans="1:5">
      <c r="B28" s="2214">
        <v>3.4</v>
      </c>
      <c r="C28" s="2521" t="s">
        <v>2285</v>
      </c>
      <c r="D28" s="2212" t="str">
        <f t="shared" si="2"/>
        <v>3,4 - 050 - LEGAL AND VALUATION SERVICES</v>
      </c>
      <c r="E28" s="2304" t="s">
        <v>2350</v>
      </c>
    </row>
    <row r="29" spans="1:5">
      <c r="B29" s="2214">
        <v>3.5</v>
      </c>
      <c r="C29" s="2208" t="s">
        <v>2277</v>
      </c>
      <c r="D29" s="2212" t="str">
        <f t="shared" si="2"/>
        <v>3,5 - 015 - INFORMATION TECHNOLOGY</v>
      </c>
      <c r="E29" s="2304" t="s">
        <v>3996</v>
      </c>
    </row>
    <row r="30" spans="1:5">
      <c r="B30" s="2214">
        <v>3.6</v>
      </c>
      <c r="C30" s="2208"/>
      <c r="D30" s="2212" t="str">
        <f t="shared" si="2"/>
        <v xml:space="preserve">3,6 - </v>
      </c>
      <c r="E30" s="2304"/>
    </row>
    <row r="31" spans="1:5">
      <c r="B31" s="2214">
        <v>3.7</v>
      </c>
      <c r="C31" s="2208"/>
      <c r="D31" s="2212" t="str">
        <f t="shared" si="2"/>
        <v xml:space="preserve">3,7 - </v>
      </c>
      <c r="E31" s="2304"/>
    </row>
    <row r="32" spans="1:5">
      <c r="B32" s="2214">
        <v>3.8</v>
      </c>
      <c r="C32" s="2208"/>
      <c r="D32" s="2212" t="str">
        <f t="shared" si="2"/>
        <v xml:space="preserve">3,8 - </v>
      </c>
      <c r="E32" s="2304"/>
    </row>
    <row r="33" spans="2:5">
      <c r="B33" s="2214">
        <v>3.9</v>
      </c>
      <c r="C33" s="2208"/>
      <c r="D33" s="2212" t="str">
        <f t="shared" si="2"/>
        <v xml:space="preserve">3,9 - </v>
      </c>
      <c r="E33" s="2304"/>
    </row>
    <row r="34" spans="2:5">
      <c r="B34" s="2214" t="s">
        <v>2012</v>
      </c>
      <c r="C34" s="2208"/>
      <c r="D34" s="2212" t="str">
        <f t="shared" si="2"/>
        <v xml:space="preserve">3.10 - </v>
      </c>
      <c r="E34" s="2304"/>
    </row>
    <row r="35" spans="2:5">
      <c r="B35" s="2213" t="s">
        <v>1982</v>
      </c>
      <c r="C35" s="2519" t="s">
        <v>2286</v>
      </c>
      <c r="E35" s="2304"/>
    </row>
    <row r="36" spans="2:5">
      <c r="B36" s="2214">
        <v>4.0999999999999996</v>
      </c>
      <c r="C36" s="2520" t="s">
        <v>2287</v>
      </c>
      <c r="D36" s="2212" t="str">
        <f t="shared" ref="D36:D45" si="3">CONCATENATE(B36, " - ", C36)</f>
        <v>4,1 - 070 - OFFICE OF THE DIRECTOR BUDGET AND TREASURY</v>
      </c>
      <c r="E36" s="2304" t="s">
        <v>2351</v>
      </c>
    </row>
    <row r="37" spans="2:5">
      <c r="B37" s="2214">
        <v>4.2</v>
      </c>
      <c r="C37" s="2520" t="s">
        <v>2288</v>
      </c>
      <c r="D37" s="2212" t="str">
        <f t="shared" si="3"/>
        <v>4,2 - 075 - ACCOUNTING SERVICES</v>
      </c>
      <c r="E37" s="2304" t="s">
        <v>2352</v>
      </c>
    </row>
    <row r="38" spans="2:5">
      <c r="B38" s="2214">
        <v>4.3</v>
      </c>
      <c r="C38" s="2520" t="s">
        <v>2289</v>
      </c>
      <c r="D38" s="2212" t="str">
        <f t="shared" si="3"/>
        <v>4,3 - 080 - FINANCIAL CONTROL</v>
      </c>
      <c r="E38" s="2304" t="s">
        <v>2353</v>
      </c>
    </row>
    <row r="39" spans="2:5">
      <c r="B39" s="2214">
        <v>4.4000000000000004</v>
      </c>
      <c r="C39" s="2520" t="s">
        <v>2290</v>
      </c>
      <c r="D39" s="2212" t="str">
        <f t="shared" si="3"/>
        <v>4,4 - 090 - FINANCIAL MANAGEMENT SERVICES</v>
      </c>
      <c r="E39" s="2304" t="s">
        <v>2354</v>
      </c>
    </row>
    <row r="40" spans="2:5">
      <c r="B40" s="2214">
        <v>4.5</v>
      </c>
      <c r="C40" s="2520"/>
      <c r="D40" s="2212" t="str">
        <f t="shared" si="3"/>
        <v xml:space="preserve">4,5 - </v>
      </c>
      <c r="E40" s="2304"/>
    </row>
    <row r="41" spans="2:5">
      <c r="B41" s="2214">
        <v>4.5999999999999996</v>
      </c>
      <c r="C41" s="2208"/>
      <c r="D41" s="2212" t="str">
        <f t="shared" si="3"/>
        <v xml:space="preserve">4,6 - </v>
      </c>
      <c r="E41" s="2304"/>
    </row>
    <row r="42" spans="2:5">
      <c r="B42" s="2214">
        <v>4.7</v>
      </c>
      <c r="C42" s="2208"/>
      <c r="D42" s="2212" t="str">
        <f t="shared" si="3"/>
        <v xml:space="preserve">4,7 - </v>
      </c>
      <c r="E42" s="2304"/>
    </row>
    <row r="43" spans="2:5">
      <c r="B43" s="2214">
        <v>4.8</v>
      </c>
      <c r="C43" s="2208"/>
      <c r="D43" s="2212" t="str">
        <f t="shared" si="3"/>
        <v xml:space="preserve">4,8 - </v>
      </c>
      <c r="E43" s="2304"/>
    </row>
    <row r="44" spans="2:5">
      <c r="B44" s="2214">
        <v>4.9000000000000004</v>
      </c>
      <c r="C44" s="2208"/>
      <c r="D44" s="2212" t="str">
        <f t="shared" si="3"/>
        <v xml:space="preserve">4,9 - </v>
      </c>
      <c r="E44" s="2304"/>
    </row>
    <row r="45" spans="2:5">
      <c r="B45" s="2214" t="s">
        <v>2013</v>
      </c>
      <c r="C45" s="2208"/>
      <c r="D45" s="2212" t="str">
        <f t="shared" si="3"/>
        <v xml:space="preserve">4.10 - </v>
      </c>
      <c r="E45" s="2304"/>
    </row>
    <row r="46" spans="2:5">
      <c r="B46" s="2213" t="s">
        <v>1983</v>
      </c>
      <c r="C46" s="2519" t="s">
        <v>2291</v>
      </c>
      <c r="E46" s="2304"/>
    </row>
    <row r="47" spans="2:5">
      <c r="B47" s="2214">
        <v>5.0999999999999996</v>
      </c>
      <c r="C47" s="2520" t="s">
        <v>2292</v>
      </c>
      <c r="D47" s="2212" t="str">
        <f t="shared" ref="D47:D56" si="4">CONCATENATE(B47, " - ", C47)</f>
        <v>5,1 - 100 - OFFICE OF THE DIRECTOR PUBLIC SAFETY</v>
      </c>
      <c r="E47" s="2304" t="s">
        <v>2355</v>
      </c>
    </row>
    <row r="48" spans="2:5">
      <c r="B48" s="2214">
        <v>5.2</v>
      </c>
      <c r="C48" s="2520" t="s">
        <v>2293</v>
      </c>
      <c r="D48" s="2212" t="str">
        <f t="shared" si="4"/>
        <v>5,2 - 105 - MUNICIPAL POLICE AND SECURITY SERVICES</v>
      </c>
      <c r="E48" s="2304" t="s">
        <v>2356</v>
      </c>
    </row>
    <row r="49" spans="2:5">
      <c r="B49" s="2214">
        <v>5.3</v>
      </c>
      <c r="C49" s="2520" t="s">
        <v>2294</v>
      </c>
      <c r="D49" s="2212" t="str">
        <f t="shared" si="4"/>
        <v>5,3 - 115 - EMERGENCY AND DISASTER MANAGEMENT</v>
      </c>
      <c r="E49" s="2304" t="s">
        <v>2357</v>
      </c>
    </row>
    <row r="50" spans="2:5">
      <c r="B50" s="2214">
        <v>5.4</v>
      </c>
      <c r="C50" s="2520" t="s">
        <v>2295</v>
      </c>
      <c r="D50" s="2212" t="str">
        <f t="shared" si="4"/>
        <v>5,4 - 130 - TRAFFIC SERVICES</v>
      </c>
      <c r="E50" s="2304" t="s">
        <v>2358</v>
      </c>
    </row>
    <row r="51" spans="2:5">
      <c r="B51" s="2214">
        <v>5.5</v>
      </c>
      <c r="C51" s="2520" t="s">
        <v>2296</v>
      </c>
      <c r="D51" s="2212" t="str">
        <f t="shared" si="4"/>
        <v>5,5 - 140 - TESTING AND LICENSES</v>
      </c>
      <c r="E51" s="2304" t="s">
        <v>2359</v>
      </c>
    </row>
    <row r="52" spans="2:5">
      <c r="B52" s="2214">
        <v>5.6</v>
      </c>
      <c r="C52" s="2208" t="s">
        <v>3997</v>
      </c>
      <c r="D52" s="2212" t="str">
        <f t="shared" si="4"/>
        <v>5,6 - 141 - LAW ENFORCEMENT</v>
      </c>
      <c r="E52" s="2304" t="s">
        <v>3998</v>
      </c>
    </row>
    <row r="53" spans="2:5">
      <c r="B53" s="2214">
        <v>5.7</v>
      </c>
      <c r="C53" s="2208"/>
      <c r="D53" s="2212" t="str">
        <f t="shared" si="4"/>
        <v xml:space="preserve">5,7 - </v>
      </c>
      <c r="E53" s="2304"/>
    </row>
    <row r="54" spans="2:5">
      <c r="B54" s="2214">
        <v>5.8</v>
      </c>
      <c r="C54" s="2208"/>
      <c r="D54" s="2212" t="str">
        <f t="shared" si="4"/>
        <v xml:space="preserve">5,8 - </v>
      </c>
      <c r="E54" s="2304"/>
    </row>
    <row r="55" spans="2:5">
      <c r="B55" s="2214">
        <v>5.9</v>
      </c>
      <c r="C55" s="2208"/>
      <c r="D55" s="2212" t="str">
        <f t="shared" si="4"/>
        <v xml:space="preserve">5,9 - </v>
      </c>
      <c r="E55" s="2304"/>
    </row>
    <row r="56" spans="2:5">
      <c r="B56" s="2214" t="s">
        <v>2014</v>
      </c>
      <c r="C56" s="2208"/>
      <c r="D56" s="2212" t="str">
        <f t="shared" si="4"/>
        <v xml:space="preserve">5.10 - </v>
      </c>
      <c r="E56" s="2304"/>
    </row>
    <row r="57" spans="2:5">
      <c r="B57" s="2213" t="s">
        <v>1984</v>
      </c>
      <c r="C57" s="2519" t="s">
        <v>2297</v>
      </c>
      <c r="E57" s="2304"/>
    </row>
    <row r="58" spans="2:5">
      <c r="B58" s="2214">
        <v>6.1</v>
      </c>
      <c r="C58" s="2520" t="s">
        <v>2298</v>
      </c>
      <c r="D58" s="2212" t="str">
        <f t="shared" ref="D58:D67" si="5">CONCATENATE(B58, " - ", C58)</f>
        <v>6,1 - 150 - OFFICE OF THE DIRECTOR PLANNING AND HUMAN SETLEMENT</v>
      </c>
      <c r="E58" s="2304" t="s">
        <v>2360</v>
      </c>
    </row>
    <row r="59" spans="2:5">
      <c r="B59" s="2214">
        <v>6.2</v>
      </c>
      <c r="C59" s="2520" t="s">
        <v>2299</v>
      </c>
      <c r="D59" s="2212" t="str">
        <f t="shared" si="5"/>
        <v>6,2 - 155 - DEVELOPMENT PLANNING</v>
      </c>
      <c r="E59" s="2304" t="s">
        <v>2361</v>
      </c>
    </row>
    <row r="60" spans="2:5">
      <c r="B60" s="2214">
        <v>6.3</v>
      </c>
      <c r="C60" s="2520" t="s">
        <v>2300</v>
      </c>
      <c r="D60" s="2212" t="str">
        <f t="shared" si="5"/>
        <v>6,3 - 156 - ESTATES</v>
      </c>
      <c r="E60" s="2304" t="s">
        <v>2362</v>
      </c>
    </row>
    <row r="61" spans="2:5">
      <c r="B61" s="2214">
        <v>6.4</v>
      </c>
      <c r="C61" s="2520" t="s">
        <v>2301</v>
      </c>
      <c r="D61" s="2212" t="str">
        <f t="shared" si="5"/>
        <v>6,4 - 160 - HOUSING PROVISION</v>
      </c>
      <c r="E61" s="2304" t="s">
        <v>2363</v>
      </c>
    </row>
    <row r="62" spans="2:5">
      <c r="B62" s="2214">
        <v>6.5</v>
      </c>
      <c r="C62" s="2520" t="s">
        <v>2302</v>
      </c>
      <c r="D62" s="2212" t="str">
        <f t="shared" si="5"/>
        <v>6,5 - 165 - BUILDING CONTROL AND REGULATIONS</v>
      </c>
      <c r="E62" s="2304" t="s">
        <v>2364</v>
      </c>
    </row>
    <row r="63" spans="2:5">
      <c r="B63" s="2214">
        <v>6.6</v>
      </c>
      <c r="C63" s="2520" t="s">
        <v>2303</v>
      </c>
      <c r="D63" s="2212" t="str">
        <f t="shared" si="5"/>
        <v>6,6 - 175 - INTEGRATED ENVIRONMENTAL MANAGEMENT</v>
      </c>
      <c r="E63" s="2304" t="s">
        <v>2365</v>
      </c>
    </row>
    <row r="64" spans="2:5">
      <c r="B64" s="2214">
        <v>6.7</v>
      </c>
      <c r="C64" s="2208"/>
      <c r="D64" s="2212" t="str">
        <f t="shared" si="5"/>
        <v xml:space="preserve">6,7 - </v>
      </c>
      <c r="E64" s="2304"/>
    </row>
    <row r="65" spans="2:5">
      <c r="B65" s="2214">
        <v>6.8</v>
      </c>
      <c r="C65" s="2208"/>
      <c r="D65" s="2212" t="str">
        <f t="shared" si="5"/>
        <v xml:space="preserve">6,8 - </v>
      </c>
      <c r="E65" s="2304"/>
    </row>
    <row r="66" spans="2:5">
      <c r="B66" s="2214">
        <v>6.9</v>
      </c>
      <c r="C66" s="2208"/>
      <c r="D66" s="2212" t="str">
        <f t="shared" si="5"/>
        <v xml:space="preserve">6,9 - </v>
      </c>
      <c r="E66" s="2304"/>
    </row>
    <row r="67" spans="2:5">
      <c r="B67" s="2214" t="s">
        <v>2015</v>
      </c>
      <c r="C67" s="2208"/>
      <c r="D67" s="2212" t="str">
        <f t="shared" si="5"/>
        <v xml:space="preserve">6.10 - </v>
      </c>
      <c r="E67" s="2304"/>
    </row>
    <row r="68" spans="2:5">
      <c r="B68" s="2215" t="s">
        <v>1985</v>
      </c>
      <c r="C68" s="2522" t="s">
        <v>2304</v>
      </c>
      <c r="E68" s="2304"/>
    </row>
    <row r="69" spans="2:5">
      <c r="B69" s="2214">
        <v>7.1</v>
      </c>
      <c r="C69" s="2521" t="s">
        <v>2305</v>
      </c>
      <c r="D69" s="2212" t="str">
        <f t="shared" ref="D69:D78" si="6">CONCATENATE(B69, " - ", C69)</f>
        <v>7,1 - 180 - LOCAL ECONOMIC DEVELOPMENT</v>
      </c>
      <c r="E69" s="2304" t="s">
        <v>2366</v>
      </c>
    </row>
    <row r="70" spans="2:5">
      <c r="B70" s="2214">
        <v>7.2</v>
      </c>
      <c r="C70" s="2521" t="s">
        <v>2306</v>
      </c>
      <c r="D70" s="2212" t="str">
        <f t="shared" si="6"/>
        <v>7,2 - 181 - BUSINESS ADVICE CENTRE</v>
      </c>
      <c r="E70" s="2304" t="s">
        <v>2367</v>
      </c>
    </row>
    <row r="71" spans="2:5">
      <c r="B71" s="2214">
        <v>7.3</v>
      </c>
      <c r="C71" s="2521" t="s">
        <v>2307</v>
      </c>
      <c r="D71" s="2212" t="str">
        <f t="shared" si="6"/>
        <v>7,3 - 185 - ENTERPRISE / SMME DEVELOPMENT</v>
      </c>
      <c r="E71" s="2304" t="s">
        <v>2368</v>
      </c>
    </row>
    <row r="72" spans="2:5">
      <c r="B72" s="2214">
        <v>7.4</v>
      </c>
      <c r="C72" s="2521" t="s">
        <v>2308</v>
      </c>
      <c r="D72" s="2212" t="str">
        <f t="shared" si="6"/>
        <v>7,4 - 190 - POLICY RESERCH AND MARKETING</v>
      </c>
      <c r="E72" s="2304" t="s">
        <v>2369</v>
      </c>
    </row>
    <row r="73" spans="2:5">
      <c r="B73" s="2214">
        <v>7.5</v>
      </c>
      <c r="C73" s="2521" t="s">
        <v>2309</v>
      </c>
      <c r="D73" s="2212" t="str">
        <f t="shared" si="6"/>
        <v>7,5 - 195 - INTER GOVERNMENTAL RELATIONS</v>
      </c>
      <c r="E73" s="2304" t="s">
        <v>2370</v>
      </c>
    </row>
    <row r="74" spans="2:5">
      <c r="B74" s="2214">
        <v>7.6</v>
      </c>
      <c r="C74" s="2208"/>
      <c r="D74" s="2212" t="str">
        <f t="shared" si="6"/>
        <v xml:space="preserve">7,6 - </v>
      </c>
      <c r="E74" s="2304"/>
    </row>
    <row r="75" spans="2:5">
      <c r="B75" s="2214">
        <v>7.7</v>
      </c>
      <c r="C75" s="2208"/>
      <c r="D75" s="2212" t="str">
        <f t="shared" si="6"/>
        <v xml:space="preserve">7,7 - </v>
      </c>
      <c r="E75" s="2304"/>
    </row>
    <row r="76" spans="2:5">
      <c r="B76" s="2214">
        <v>7.8</v>
      </c>
      <c r="C76" s="2208"/>
      <c r="D76" s="2212" t="str">
        <f t="shared" si="6"/>
        <v xml:space="preserve">7,8 - </v>
      </c>
      <c r="E76" s="2304"/>
    </row>
    <row r="77" spans="2:5">
      <c r="B77" s="2214">
        <v>7.9</v>
      </c>
      <c r="C77" s="2208"/>
      <c r="D77" s="2212" t="str">
        <f t="shared" si="6"/>
        <v xml:space="preserve">7,9 - </v>
      </c>
      <c r="E77" s="2304"/>
    </row>
    <row r="78" spans="2:5">
      <c r="B78" s="2214" t="s">
        <v>2016</v>
      </c>
      <c r="C78" s="2208"/>
      <c r="D78" s="2212" t="str">
        <f t="shared" si="6"/>
        <v xml:space="preserve">7.10 - </v>
      </c>
      <c r="E78" s="2304"/>
    </row>
    <row r="79" spans="2:5">
      <c r="B79" s="2215" t="s">
        <v>1986</v>
      </c>
      <c r="C79" s="2522" t="s">
        <v>2310</v>
      </c>
      <c r="E79" s="2304"/>
    </row>
    <row r="80" spans="2:5">
      <c r="B80" s="2214">
        <v>8.1</v>
      </c>
      <c r="C80" s="2521" t="s">
        <v>2311</v>
      </c>
      <c r="D80" s="2212" t="str">
        <f t="shared" ref="D80:D89" si="7">CONCATENATE(B80, " - ", C80)</f>
        <v>8,1 - 200 - OFFICE OF THE DIRECTOR COMMUNITY DEVELOPMENT</v>
      </c>
      <c r="E80" s="2304" t="s">
        <v>2371</v>
      </c>
    </row>
    <row r="81" spans="2:5">
      <c r="B81" s="2214">
        <v>8.1999999999999993</v>
      </c>
      <c r="C81" s="2521" t="s">
        <v>2312</v>
      </c>
      <c r="D81" s="2212" t="str">
        <f t="shared" si="7"/>
        <v>8,2 - 205 - ENVIRONMENTAL HEALTH SERVICES</v>
      </c>
      <c r="E81" s="2304" t="s">
        <v>2372</v>
      </c>
    </row>
    <row r="82" spans="2:5">
      <c r="B82" s="2214">
        <v>8.3000000000000007</v>
      </c>
      <c r="C82" s="2521" t="s">
        <v>2313</v>
      </c>
      <c r="D82" s="2212" t="str">
        <f t="shared" si="7"/>
        <v>8,3 - 210 - CLINIC SERVICES</v>
      </c>
      <c r="E82" s="2304" t="s">
        <v>2373</v>
      </c>
    </row>
    <row r="83" spans="2:5">
      <c r="B83" s="2214">
        <v>8.4</v>
      </c>
      <c r="C83" s="2521" t="s">
        <v>2314</v>
      </c>
      <c r="D83" s="2212" t="str">
        <f t="shared" si="7"/>
        <v>8,4 - 215 - LIBRARY AND INFORMATION SERVICES</v>
      </c>
      <c r="E83" s="2304" t="s">
        <v>2374</v>
      </c>
    </row>
    <row r="84" spans="2:5">
      <c r="B84" s="2214">
        <v>8.5</v>
      </c>
      <c r="C84" s="2521" t="s">
        <v>2315</v>
      </c>
      <c r="D84" s="2212" t="str">
        <f t="shared" si="7"/>
        <v>8,5 - 220 - CEMETERIES</v>
      </c>
      <c r="E84" s="2304" t="s">
        <v>2375</v>
      </c>
    </row>
    <row r="85" spans="2:5">
      <c r="B85" s="2214">
        <v>8.6</v>
      </c>
      <c r="C85" s="2521" t="s">
        <v>2316</v>
      </c>
      <c r="D85" s="2212" t="str">
        <f t="shared" si="7"/>
        <v>8,6 - 225 - COMMUNITY HALLS</v>
      </c>
      <c r="E85" s="2304" t="s">
        <v>2376</v>
      </c>
    </row>
    <row r="86" spans="2:5">
      <c r="B86" s="2214">
        <v>8.6999999999999993</v>
      </c>
      <c r="C86" s="2521" t="s">
        <v>2317</v>
      </c>
      <c r="D86" s="2212" t="str">
        <f t="shared" si="7"/>
        <v>8,7 - 230 - KLOOF HOLIDAY RESORT</v>
      </c>
      <c r="E86" s="2304" t="s">
        <v>2377</v>
      </c>
    </row>
    <row r="87" spans="2:5">
      <c r="B87" s="2214">
        <v>8.8000000000000007</v>
      </c>
      <c r="C87" s="2521" t="s">
        <v>2318</v>
      </c>
      <c r="D87" s="2212" t="str">
        <f t="shared" si="7"/>
        <v>8,8 - 235 - PARKS AND OPEN AREAS</v>
      </c>
      <c r="E87" s="2304" t="s">
        <v>2378</v>
      </c>
    </row>
    <row r="88" spans="2:5">
      <c r="B88" s="2214">
        <v>8.9</v>
      </c>
      <c r="C88" s="2521" t="s">
        <v>2319</v>
      </c>
      <c r="D88" s="2212" t="str">
        <f t="shared" si="7"/>
        <v>8,9 - 245 - SPORT FACILITIES</v>
      </c>
      <c r="E88" s="2304" t="s">
        <v>2379</v>
      </c>
    </row>
    <row r="89" spans="2:5">
      <c r="B89" s="2214" t="s">
        <v>2017</v>
      </c>
      <c r="C89" s="2521" t="s">
        <v>2320</v>
      </c>
      <c r="D89" s="2212" t="str">
        <f t="shared" si="7"/>
        <v>8.10 - 250 - SWIMMING POOLS</v>
      </c>
      <c r="E89" s="2304" t="s">
        <v>2380</v>
      </c>
    </row>
    <row r="90" spans="2:5">
      <c r="B90" s="2215" t="s">
        <v>1987</v>
      </c>
      <c r="C90" s="2522" t="s">
        <v>2321</v>
      </c>
      <c r="E90" s="2304"/>
    </row>
    <row r="91" spans="2:5">
      <c r="B91" s="2214">
        <v>9.1</v>
      </c>
      <c r="C91" s="2521" t="s">
        <v>2322</v>
      </c>
      <c r="D91" s="2212" t="str">
        <f t="shared" ref="D91:D100" si="8">CONCATENATE(B91, " - ", C91)</f>
        <v>9,1 - 300 - OFFICE OF THE DIRECTOR TECHNICAL SERVICSE AND INFRASTRUCTURE DEVELOPMENT</v>
      </c>
      <c r="E91" s="2304" t="s">
        <v>2381</v>
      </c>
    </row>
    <row r="92" spans="2:5">
      <c r="B92" s="2214">
        <v>9.1999999999999993</v>
      </c>
      <c r="C92" s="2521" t="s">
        <v>2323</v>
      </c>
      <c r="D92" s="2212" t="str">
        <f t="shared" si="8"/>
        <v>9,2 - 305 - CIVIL FACILITIES DEVELOPMENT AND MANAGEMENT</v>
      </c>
      <c r="E92" s="2304" t="s">
        <v>2382</v>
      </c>
    </row>
    <row r="93" spans="2:5">
      <c r="B93" s="2214">
        <v>9.3000000000000007</v>
      </c>
      <c r="C93" s="2521" t="s">
        <v>2324</v>
      </c>
      <c r="D93" s="2212" t="str">
        <f t="shared" si="8"/>
        <v>9,3 - 310 - ELECTRICAL ENGINEERING SERVICES</v>
      </c>
      <c r="E93" s="2304" t="s">
        <v>2383</v>
      </c>
    </row>
    <row r="94" spans="2:5">
      <c r="B94" s="2214">
        <v>9.4</v>
      </c>
      <c r="C94" s="2521" t="s">
        <v>2325</v>
      </c>
      <c r="D94" s="2212" t="str">
        <f t="shared" si="8"/>
        <v>9,4 - 315 - STREET LIGHTING</v>
      </c>
      <c r="E94" s="2304" t="s">
        <v>2384</v>
      </c>
    </row>
    <row r="95" spans="2:5">
      <c r="B95" s="2214">
        <v>9.5</v>
      </c>
      <c r="C95" s="2521" t="s">
        <v>2326</v>
      </c>
      <c r="D95" s="2212" t="str">
        <f t="shared" si="8"/>
        <v>9,5 - 335 - ROADS AND STORMWATER</v>
      </c>
      <c r="E95" s="2304" t="s">
        <v>2385</v>
      </c>
    </row>
    <row r="96" spans="2:5">
      <c r="B96" s="2214">
        <v>9.6</v>
      </c>
      <c r="C96" s="2521" t="s">
        <v>2327</v>
      </c>
      <c r="D96" s="2212" t="str">
        <f t="shared" si="8"/>
        <v>9,6 - 325 - MECHANICAL ENGINEERING SERVICES</v>
      </c>
      <c r="E96" s="2304" t="s">
        <v>2386</v>
      </c>
    </row>
    <row r="97" spans="2:5">
      <c r="B97" s="2214">
        <v>9.6999999999999993</v>
      </c>
      <c r="C97" s="2521" t="s">
        <v>2328</v>
      </c>
      <c r="D97" s="2212" t="str">
        <f t="shared" si="8"/>
        <v>9,7 - 340 - WATER SERVICE &amp; 341 - BOSPOORT WATERWORKS</v>
      </c>
      <c r="E97" s="2304" t="s">
        <v>2387</v>
      </c>
    </row>
    <row r="98" spans="2:5">
      <c r="B98" s="2214">
        <v>9.8000000000000007</v>
      </c>
      <c r="C98" s="2521" t="s">
        <v>2329</v>
      </c>
      <c r="D98" s="2212" t="str">
        <f t="shared" si="8"/>
        <v>9,8 - 345 - SANITATION SERVICE</v>
      </c>
      <c r="E98" s="2304" t="s">
        <v>2388</v>
      </c>
    </row>
    <row r="99" spans="2:5">
      <c r="B99" s="2214">
        <v>9.9</v>
      </c>
      <c r="C99" s="2521" t="s">
        <v>2330</v>
      </c>
      <c r="D99" s="2212" t="str">
        <f t="shared" si="8"/>
        <v>9,9 - 350 - SEWERAGE PURIFICATION</v>
      </c>
      <c r="E99" s="2304" t="s">
        <v>2389</v>
      </c>
    </row>
    <row r="100" spans="2:5">
      <c r="B100" s="2214" t="s">
        <v>2018</v>
      </c>
      <c r="C100" s="2521" t="s">
        <v>2331</v>
      </c>
      <c r="D100" s="2212" t="str">
        <f t="shared" si="8"/>
        <v>9.10 - 360 - WASTE MANAGEMENT</v>
      </c>
      <c r="E100" s="2304" t="s">
        <v>2390</v>
      </c>
    </row>
    <row r="101" spans="2:5">
      <c r="B101" s="2215" t="s">
        <v>1988</v>
      </c>
      <c r="C101" s="2207" t="s">
        <v>4413</v>
      </c>
      <c r="E101" s="2304"/>
    </row>
    <row r="102" spans="2:5">
      <c r="B102" s="2214">
        <v>10.1</v>
      </c>
      <c r="C102" s="2208" t="s">
        <v>4413</v>
      </c>
      <c r="D102" s="2212" t="str">
        <f t="shared" ref="D102:D111" si="9">CONCATENATE(B102, " - ", C102)</f>
        <v>10,1 - RUSTENBURG WATER SERVICE TRUST</v>
      </c>
      <c r="E102" s="2304" t="s">
        <v>4414</v>
      </c>
    </row>
    <row r="103" spans="2:5">
      <c r="B103" s="2214">
        <v>10.199999999999999</v>
      </c>
      <c r="C103" s="2208" t="s">
        <v>2009</v>
      </c>
      <c r="D103" s="2212" t="str">
        <f t="shared" si="9"/>
        <v>10,2 - [Name of sub-vote]</v>
      </c>
      <c r="E103" s="2304"/>
    </row>
    <row r="104" spans="2:5">
      <c r="B104" s="2214">
        <v>10.3</v>
      </c>
      <c r="C104" s="2208" t="s">
        <v>2009</v>
      </c>
      <c r="D104" s="2212" t="str">
        <f t="shared" si="9"/>
        <v>10,3 - [Name of sub-vote]</v>
      </c>
      <c r="E104" s="2304"/>
    </row>
    <row r="105" spans="2:5">
      <c r="B105" s="2214">
        <v>10.4</v>
      </c>
      <c r="C105" s="2208" t="s">
        <v>2009</v>
      </c>
      <c r="D105" s="2212" t="str">
        <f t="shared" si="9"/>
        <v>10,4 - [Name of sub-vote]</v>
      </c>
      <c r="E105" s="2304"/>
    </row>
    <row r="106" spans="2:5">
      <c r="B106" s="2214">
        <v>10.5</v>
      </c>
      <c r="C106" s="2208" t="s">
        <v>2009</v>
      </c>
      <c r="D106" s="2212" t="str">
        <f t="shared" si="9"/>
        <v>10,5 - [Name of sub-vote]</v>
      </c>
      <c r="E106" s="2304"/>
    </row>
    <row r="107" spans="2:5">
      <c r="B107" s="2214">
        <v>10.6</v>
      </c>
      <c r="C107" s="2208" t="s">
        <v>2009</v>
      </c>
      <c r="D107" s="2212" t="str">
        <f t="shared" si="9"/>
        <v>10,6 - [Name of sub-vote]</v>
      </c>
      <c r="E107" s="2304"/>
    </row>
    <row r="108" spans="2:5">
      <c r="B108" s="2214">
        <v>10.7</v>
      </c>
      <c r="C108" s="2208" t="s">
        <v>2009</v>
      </c>
      <c r="D108" s="2212" t="str">
        <f t="shared" si="9"/>
        <v>10,7 - [Name of sub-vote]</v>
      </c>
      <c r="E108" s="2304"/>
    </row>
    <row r="109" spans="2:5">
      <c r="B109" s="2214">
        <v>10.8</v>
      </c>
      <c r="C109" s="2208" t="s">
        <v>2009</v>
      </c>
      <c r="D109" s="2212" t="str">
        <f t="shared" si="9"/>
        <v>10,8 - [Name of sub-vote]</v>
      </c>
      <c r="E109" s="2304"/>
    </row>
    <row r="110" spans="2:5">
      <c r="B110" s="2214">
        <v>10.9</v>
      </c>
      <c r="C110" s="2208" t="s">
        <v>2009</v>
      </c>
      <c r="D110" s="2212" t="str">
        <f t="shared" si="9"/>
        <v>10,9 - [Name of sub-vote]</v>
      </c>
      <c r="E110" s="2304"/>
    </row>
    <row r="111" spans="2:5">
      <c r="B111" s="2214" t="s">
        <v>2019</v>
      </c>
      <c r="C111" s="2208" t="s">
        <v>2009</v>
      </c>
      <c r="D111" s="2212" t="str">
        <f t="shared" si="9"/>
        <v>10.10 - [Name of sub-vote]</v>
      </c>
      <c r="E111" s="2304"/>
    </row>
    <row r="112" spans="2:5">
      <c r="B112" s="2215" t="s">
        <v>1989</v>
      </c>
      <c r="C112" s="2207" t="s">
        <v>2027</v>
      </c>
      <c r="E112" s="2304"/>
    </row>
    <row r="113" spans="2:5">
      <c r="B113" s="2214">
        <v>11.1</v>
      </c>
      <c r="C113" s="2208" t="s">
        <v>2009</v>
      </c>
      <c r="D113" s="2212" t="str">
        <f t="shared" ref="D113:D122" si="10">CONCATENATE(B113, " - ", C113)</f>
        <v>11,1 - [Name of sub-vote]</v>
      </c>
      <c r="E113" s="2304" t="s">
        <v>2032</v>
      </c>
    </row>
    <row r="114" spans="2:5">
      <c r="B114" s="2214">
        <v>11.2</v>
      </c>
      <c r="C114" s="2208" t="s">
        <v>2009</v>
      </c>
      <c r="D114" s="2212" t="str">
        <f t="shared" si="10"/>
        <v>11,2 - [Name of sub-vote]</v>
      </c>
      <c r="E114" s="2304"/>
    </row>
    <row r="115" spans="2:5">
      <c r="B115" s="2214">
        <v>11.3</v>
      </c>
      <c r="C115" s="2208" t="s">
        <v>2009</v>
      </c>
      <c r="D115" s="2212" t="str">
        <f t="shared" si="10"/>
        <v>11,3 - [Name of sub-vote]</v>
      </c>
      <c r="E115" s="2304"/>
    </row>
    <row r="116" spans="2:5">
      <c r="B116" s="2214">
        <v>11.4</v>
      </c>
      <c r="C116" s="2208" t="s">
        <v>2009</v>
      </c>
      <c r="D116" s="2212" t="str">
        <f t="shared" si="10"/>
        <v>11,4 - [Name of sub-vote]</v>
      </c>
      <c r="E116" s="2304"/>
    </row>
    <row r="117" spans="2:5">
      <c r="B117" s="2214">
        <v>11.5</v>
      </c>
      <c r="C117" s="2208" t="s">
        <v>2009</v>
      </c>
      <c r="D117" s="2212" t="str">
        <f t="shared" si="10"/>
        <v>11,5 - [Name of sub-vote]</v>
      </c>
      <c r="E117" s="2304"/>
    </row>
    <row r="118" spans="2:5">
      <c r="B118" s="2214">
        <v>11.6</v>
      </c>
      <c r="C118" s="2208" t="s">
        <v>2009</v>
      </c>
      <c r="D118" s="2212" t="str">
        <f t="shared" si="10"/>
        <v>11,6 - [Name of sub-vote]</v>
      </c>
      <c r="E118" s="2304"/>
    </row>
    <row r="119" spans="2:5">
      <c r="B119" s="2214">
        <v>11.7</v>
      </c>
      <c r="C119" s="2208" t="s">
        <v>2009</v>
      </c>
      <c r="D119" s="2212" t="str">
        <f t="shared" si="10"/>
        <v>11,7 - [Name of sub-vote]</v>
      </c>
      <c r="E119" s="2304"/>
    </row>
    <row r="120" spans="2:5">
      <c r="B120" s="2214">
        <v>11.8</v>
      </c>
      <c r="C120" s="2208" t="s">
        <v>2009</v>
      </c>
      <c r="D120" s="2212" t="str">
        <f t="shared" si="10"/>
        <v>11,8 - [Name of sub-vote]</v>
      </c>
      <c r="E120" s="2304"/>
    </row>
    <row r="121" spans="2:5">
      <c r="B121" s="2214">
        <v>11.9</v>
      </c>
      <c r="C121" s="2208" t="s">
        <v>2009</v>
      </c>
      <c r="D121" s="2212" t="str">
        <f t="shared" si="10"/>
        <v>11,9 - [Name of sub-vote]</v>
      </c>
      <c r="E121" s="2304"/>
    </row>
    <row r="122" spans="2:5">
      <c r="B122" s="2214" t="s">
        <v>2020</v>
      </c>
      <c r="C122" s="2208" t="s">
        <v>2009</v>
      </c>
      <c r="D122" s="2212" t="str">
        <f t="shared" si="10"/>
        <v>11.10 - [Name of sub-vote]</v>
      </c>
      <c r="E122" s="2304"/>
    </row>
    <row r="123" spans="2:5">
      <c r="B123" s="2215" t="s">
        <v>1990</v>
      </c>
      <c r="C123" s="2207" t="s">
        <v>2028</v>
      </c>
      <c r="E123" s="2304"/>
    </row>
    <row r="124" spans="2:5">
      <c r="B124" s="2214">
        <v>12.1</v>
      </c>
      <c r="C124" s="2208" t="s">
        <v>2009</v>
      </c>
      <c r="D124" s="2212" t="str">
        <f t="shared" ref="D124:D133" si="11">CONCATENATE(B124, " - ", C124)</f>
        <v>12,1 - [Name of sub-vote]</v>
      </c>
      <c r="E124" s="2304" t="s">
        <v>2033</v>
      </c>
    </row>
    <row r="125" spans="2:5">
      <c r="B125" s="2214">
        <v>12.2</v>
      </c>
      <c r="C125" s="2208" t="s">
        <v>2009</v>
      </c>
      <c r="D125" s="2212" t="str">
        <f t="shared" si="11"/>
        <v>12,2 - [Name of sub-vote]</v>
      </c>
      <c r="E125" s="2304"/>
    </row>
    <row r="126" spans="2:5">
      <c r="B126" s="2214">
        <v>12.3</v>
      </c>
      <c r="C126" s="2208" t="s">
        <v>2009</v>
      </c>
      <c r="D126" s="2212" t="str">
        <f t="shared" si="11"/>
        <v>12,3 - [Name of sub-vote]</v>
      </c>
      <c r="E126" s="2304"/>
    </row>
    <row r="127" spans="2:5">
      <c r="B127" s="2214">
        <v>12.4</v>
      </c>
      <c r="C127" s="2208" t="s">
        <v>2009</v>
      </c>
      <c r="D127" s="2212" t="str">
        <f t="shared" si="11"/>
        <v>12,4 - [Name of sub-vote]</v>
      </c>
      <c r="E127" s="2304"/>
    </row>
    <row r="128" spans="2:5">
      <c r="B128" s="2214">
        <v>12.5</v>
      </c>
      <c r="C128" s="2208" t="s">
        <v>2009</v>
      </c>
      <c r="D128" s="2212" t="str">
        <f t="shared" si="11"/>
        <v>12,5 - [Name of sub-vote]</v>
      </c>
      <c r="E128" s="2304"/>
    </row>
    <row r="129" spans="2:5">
      <c r="B129" s="2214">
        <v>12.6</v>
      </c>
      <c r="C129" s="2208" t="s">
        <v>2009</v>
      </c>
      <c r="D129" s="2212" t="str">
        <f t="shared" si="11"/>
        <v>12,6 - [Name of sub-vote]</v>
      </c>
      <c r="E129" s="2304"/>
    </row>
    <row r="130" spans="2:5">
      <c r="B130" s="2214">
        <v>12.7</v>
      </c>
      <c r="C130" s="2208" t="s">
        <v>2009</v>
      </c>
      <c r="D130" s="2212" t="str">
        <f t="shared" si="11"/>
        <v>12,7 - [Name of sub-vote]</v>
      </c>
      <c r="E130" s="2304"/>
    </row>
    <row r="131" spans="2:5">
      <c r="B131" s="2214">
        <v>12.8</v>
      </c>
      <c r="C131" s="2208" t="s">
        <v>2009</v>
      </c>
      <c r="D131" s="2212" t="str">
        <f t="shared" si="11"/>
        <v>12,8 - [Name of sub-vote]</v>
      </c>
      <c r="E131" s="2304"/>
    </row>
    <row r="132" spans="2:5">
      <c r="B132" s="2214">
        <v>12.9</v>
      </c>
      <c r="C132" s="2208" t="s">
        <v>2009</v>
      </c>
      <c r="D132" s="2212" t="str">
        <f t="shared" si="11"/>
        <v>12,9 - [Name of sub-vote]</v>
      </c>
      <c r="E132" s="2304"/>
    </row>
    <row r="133" spans="2:5">
      <c r="B133" s="2214" t="s">
        <v>2021</v>
      </c>
      <c r="C133" s="2208" t="s">
        <v>2009</v>
      </c>
      <c r="D133" s="2212" t="str">
        <f t="shared" si="11"/>
        <v>12.10 - [Name of sub-vote]</v>
      </c>
      <c r="E133" s="2304"/>
    </row>
    <row r="134" spans="2:5">
      <c r="B134" s="2215" t="s">
        <v>1991</v>
      </c>
      <c r="C134" s="2207" t="s">
        <v>2029</v>
      </c>
      <c r="E134" s="2304"/>
    </row>
    <row r="135" spans="2:5">
      <c r="B135" s="2214">
        <v>13.1</v>
      </c>
      <c r="C135" s="2208" t="s">
        <v>2009</v>
      </c>
      <c r="D135" s="2212" t="str">
        <f t="shared" ref="D135:D144" si="12">CONCATENATE(B135, " - ", C135)</f>
        <v>13,1 - [Name of sub-vote]</v>
      </c>
      <c r="E135" s="2304" t="s">
        <v>2034</v>
      </c>
    </row>
    <row r="136" spans="2:5">
      <c r="B136" s="2214">
        <v>13.2</v>
      </c>
      <c r="C136" s="2208" t="s">
        <v>2009</v>
      </c>
      <c r="D136" s="2212" t="str">
        <f t="shared" si="12"/>
        <v>13,2 - [Name of sub-vote]</v>
      </c>
      <c r="E136" s="2304"/>
    </row>
    <row r="137" spans="2:5">
      <c r="B137" s="2214">
        <v>13.3</v>
      </c>
      <c r="C137" s="2208" t="s">
        <v>2009</v>
      </c>
      <c r="D137" s="2212" t="str">
        <f t="shared" si="12"/>
        <v>13,3 - [Name of sub-vote]</v>
      </c>
      <c r="E137" s="2304"/>
    </row>
    <row r="138" spans="2:5">
      <c r="B138" s="2214">
        <v>13.4</v>
      </c>
      <c r="C138" s="2208" t="s">
        <v>2009</v>
      </c>
      <c r="D138" s="2212" t="str">
        <f t="shared" si="12"/>
        <v>13,4 - [Name of sub-vote]</v>
      </c>
      <c r="E138" s="2304"/>
    </row>
    <row r="139" spans="2:5">
      <c r="B139" s="2214">
        <v>13.5</v>
      </c>
      <c r="C139" s="2208" t="s">
        <v>2009</v>
      </c>
      <c r="D139" s="2212" t="str">
        <f t="shared" si="12"/>
        <v>13,5 - [Name of sub-vote]</v>
      </c>
      <c r="E139" s="2304"/>
    </row>
    <row r="140" spans="2:5">
      <c r="B140" s="2214">
        <v>13.6</v>
      </c>
      <c r="C140" s="2208" t="s">
        <v>2009</v>
      </c>
      <c r="D140" s="2212" t="str">
        <f t="shared" si="12"/>
        <v>13,6 - [Name of sub-vote]</v>
      </c>
      <c r="E140" s="2304"/>
    </row>
    <row r="141" spans="2:5">
      <c r="B141" s="2214">
        <v>13.7</v>
      </c>
      <c r="C141" s="2208" t="s">
        <v>2009</v>
      </c>
      <c r="D141" s="2212" t="str">
        <f t="shared" si="12"/>
        <v>13,7 - [Name of sub-vote]</v>
      </c>
      <c r="E141" s="2304"/>
    </row>
    <row r="142" spans="2:5">
      <c r="B142" s="2214">
        <v>13.8</v>
      </c>
      <c r="C142" s="2208" t="s">
        <v>2009</v>
      </c>
      <c r="D142" s="2212" t="str">
        <f t="shared" si="12"/>
        <v>13,8 - [Name of sub-vote]</v>
      </c>
      <c r="E142" s="2304"/>
    </row>
    <row r="143" spans="2:5">
      <c r="B143" s="2214">
        <v>13.9</v>
      </c>
      <c r="C143" s="2208" t="s">
        <v>2009</v>
      </c>
      <c r="D143" s="2212" t="str">
        <f t="shared" si="12"/>
        <v>13,9 - [Name of sub-vote]</v>
      </c>
      <c r="E143" s="2304"/>
    </row>
    <row r="144" spans="2:5">
      <c r="B144" s="2214" t="s">
        <v>2022</v>
      </c>
      <c r="C144" s="2208" t="s">
        <v>2009</v>
      </c>
      <c r="D144" s="2212" t="str">
        <f t="shared" si="12"/>
        <v>13.10 - [Name of sub-vote]</v>
      </c>
      <c r="E144" s="2304"/>
    </row>
    <row r="145" spans="2:5">
      <c r="B145" s="2215" t="s">
        <v>1992</v>
      </c>
      <c r="C145" s="2207" t="s">
        <v>2030</v>
      </c>
      <c r="E145" s="2304"/>
    </row>
    <row r="146" spans="2:5">
      <c r="B146" s="2214">
        <v>14.1</v>
      </c>
      <c r="C146" s="2208" t="s">
        <v>2009</v>
      </c>
      <c r="D146" s="2212" t="str">
        <f t="shared" ref="D146:D155" si="13">CONCATENATE(B146, " - ", C146)</f>
        <v>14,1 - [Name of sub-vote]</v>
      </c>
      <c r="E146" s="2304" t="s">
        <v>2035</v>
      </c>
    </row>
    <row r="147" spans="2:5">
      <c r="B147" s="2214">
        <v>14.2</v>
      </c>
      <c r="C147" s="2208" t="s">
        <v>2009</v>
      </c>
      <c r="D147" s="2212" t="str">
        <f t="shared" si="13"/>
        <v>14,2 - [Name of sub-vote]</v>
      </c>
      <c r="E147" s="2304"/>
    </row>
    <row r="148" spans="2:5">
      <c r="B148" s="2214">
        <v>14.3</v>
      </c>
      <c r="C148" s="2208" t="s">
        <v>2009</v>
      </c>
      <c r="D148" s="2212" t="str">
        <f t="shared" si="13"/>
        <v>14,3 - [Name of sub-vote]</v>
      </c>
      <c r="E148" s="2304"/>
    </row>
    <row r="149" spans="2:5">
      <c r="B149" s="2214">
        <v>14.4</v>
      </c>
      <c r="C149" s="2208" t="s">
        <v>2009</v>
      </c>
      <c r="D149" s="2212" t="str">
        <f t="shared" si="13"/>
        <v>14,4 - [Name of sub-vote]</v>
      </c>
      <c r="E149" s="2304"/>
    </row>
    <row r="150" spans="2:5">
      <c r="B150" s="2214">
        <v>14.5</v>
      </c>
      <c r="C150" s="2208" t="s">
        <v>2009</v>
      </c>
      <c r="D150" s="2212" t="str">
        <f t="shared" si="13"/>
        <v>14,5 - [Name of sub-vote]</v>
      </c>
      <c r="E150" s="2304"/>
    </row>
    <row r="151" spans="2:5">
      <c r="B151" s="2214">
        <v>14.6</v>
      </c>
      <c r="C151" s="2208" t="s">
        <v>2009</v>
      </c>
      <c r="D151" s="2212" t="str">
        <f t="shared" si="13"/>
        <v>14,6 - [Name of sub-vote]</v>
      </c>
      <c r="E151" s="2304"/>
    </row>
    <row r="152" spans="2:5">
      <c r="B152" s="2214">
        <v>14.7</v>
      </c>
      <c r="C152" s="2208" t="s">
        <v>2009</v>
      </c>
      <c r="D152" s="2212" t="str">
        <f t="shared" si="13"/>
        <v>14,7 - [Name of sub-vote]</v>
      </c>
      <c r="E152" s="2304"/>
    </row>
    <row r="153" spans="2:5">
      <c r="B153" s="2214">
        <v>14.8</v>
      </c>
      <c r="C153" s="2208" t="s">
        <v>2009</v>
      </c>
      <c r="D153" s="2212" t="str">
        <f t="shared" si="13"/>
        <v>14,8 - [Name of sub-vote]</v>
      </c>
      <c r="E153" s="2304"/>
    </row>
    <row r="154" spans="2:5">
      <c r="B154" s="2214">
        <v>14.9</v>
      </c>
      <c r="C154" s="2208" t="s">
        <v>2009</v>
      </c>
      <c r="D154" s="2212" t="str">
        <f t="shared" si="13"/>
        <v>14,9 - [Name of sub-vote]</v>
      </c>
      <c r="E154" s="2304"/>
    </row>
    <row r="155" spans="2:5">
      <c r="B155" s="2214" t="s">
        <v>2023</v>
      </c>
      <c r="C155" s="2208" t="s">
        <v>2009</v>
      </c>
      <c r="D155" s="2212" t="str">
        <f t="shared" si="13"/>
        <v>14.10 - [Name of sub-vote]</v>
      </c>
      <c r="E155" s="2304"/>
    </row>
    <row r="156" spans="2:5">
      <c r="B156" s="2215" t="s">
        <v>1993</v>
      </c>
      <c r="C156" s="2207" t="s">
        <v>2031</v>
      </c>
      <c r="E156" s="2304"/>
    </row>
    <row r="157" spans="2:5">
      <c r="B157" s="2214">
        <v>15.1</v>
      </c>
      <c r="C157" s="2208" t="s">
        <v>2009</v>
      </c>
      <c r="D157" s="2212" t="str">
        <f t="shared" ref="D157:D166" si="14">CONCATENATE(B157, " - ", C157)</f>
        <v>15,1 - [Name of sub-vote]</v>
      </c>
      <c r="E157" s="2304" t="s">
        <v>2036</v>
      </c>
    </row>
    <row r="158" spans="2:5">
      <c r="B158" s="2214">
        <v>15.2</v>
      </c>
      <c r="C158" s="2208" t="s">
        <v>2009</v>
      </c>
      <c r="D158" s="2212" t="str">
        <f t="shared" si="14"/>
        <v>15,2 - [Name of sub-vote]</v>
      </c>
      <c r="E158" s="2304"/>
    </row>
    <row r="159" spans="2:5">
      <c r="B159" s="2214">
        <v>15.3</v>
      </c>
      <c r="C159" s="2208" t="s">
        <v>2009</v>
      </c>
      <c r="D159" s="2212" t="str">
        <f t="shared" si="14"/>
        <v>15,3 - [Name of sub-vote]</v>
      </c>
      <c r="E159" s="2304"/>
    </row>
    <row r="160" spans="2:5">
      <c r="B160" s="2214">
        <v>15.4</v>
      </c>
      <c r="C160" s="2208" t="s">
        <v>2009</v>
      </c>
      <c r="D160" s="2212" t="str">
        <f t="shared" si="14"/>
        <v>15,4 - [Name of sub-vote]</v>
      </c>
      <c r="E160" s="2304"/>
    </row>
    <row r="161" spans="2:5">
      <c r="B161" s="2214">
        <v>15.5</v>
      </c>
      <c r="C161" s="2208" t="s">
        <v>2009</v>
      </c>
      <c r="D161" s="2212" t="str">
        <f t="shared" si="14"/>
        <v>15,5 - [Name of sub-vote]</v>
      </c>
      <c r="E161" s="2304"/>
    </row>
    <row r="162" spans="2:5">
      <c r="B162" s="2214">
        <v>15.6</v>
      </c>
      <c r="C162" s="2208" t="s">
        <v>2009</v>
      </c>
      <c r="D162" s="2212" t="str">
        <f t="shared" si="14"/>
        <v>15,6 - [Name of sub-vote]</v>
      </c>
      <c r="E162" s="2304"/>
    </row>
    <row r="163" spans="2:5">
      <c r="B163" s="2214">
        <v>15.7</v>
      </c>
      <c r="C163" s="2208" t="s">
        <v>2009</v>
      </c>
      <c r="D163" s="2212" t="str">
        <f t="shared" si="14"/>
        <v>15,7 - [Name of sub-vote]</v>
      </c>
      <c r="E163" s="2304"/>
    </row>
    <row r="164" spans="2:5">
      <c r="B164" s="2214">
        <v>15.8</v>
      </c>
      <c r="C164" s="2208" t="s">
        <v>2009</v>
      </c>
      <c r="D164" s="2212" t="str">
        <f t="shared" si="14"/>
        <v>15,8 - [Name of sub-vote]</v>
      </c>
      <c r="E164" s="2304"/>
    </row>
    <row r="165" spans="2:5">
      <c r="B165" s="2214">
        <v>15.9</v>
      </c>
      <c r="C165" s="2208" t="s">
        <v>2009</v>
      </c>
      <c r="D165" s="2212" t="str">
        <f t="shared" si="14"/>
        <v>15,9 - [Name of sub-vote]</v>
      </c>
      <c r="E165" s="2304"/>
    </row>
    <row r="166" spans="2:5">
      <c r="B166" s="2214" t="s">
        <v>2024</v>
      </c>
      <c r="C166" s="2208" t="s">
        <v>2009</v>
      </c>
      <c r="D166" s="2212" t="str">
        <f t="shared" si="14"/>
        <v>15.10 - [Name of sub-vote]</v>
      </c>
      <c r="E166" s="2304"/>
    </row>
  </sheetData>
  <sheetProtection password="C646" sheet="1" objects="1" scenarios="1"/>
  <phoneticPr fontId="5"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24" right="0.25" top="1" bottom="1" header="0.5" footer="0.5"/>
  <headerFooter alignWithMargins="0"/>
  <rowBreaks count="1" manualBreakCount="1">
    <brk id="100" max="16383" man="1"/>
  </rowBreaks>
  <ignoredErrors>
    <ignoredError sqref="B12 B23 B34 B45 B56 B67 B78 B89 B100 B111 B122 B133 B144 B155 B166" numberStoredAsText="1"/>
  </ignoredErrors>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tabColor indexed="42"/>
  </sheetPr>
  <dimension ref="A1:AR191"/>
  <sheetViews>
    <sheetView showGridLines="0" workbookViewId="0">
      <pane xSplit="1" ySplit="3" topLeftCell="B52" activePane="bottomRight" state="frozen"/>
      <selection pane="topRight"/>
      <selection pane="bottomLeft"/>
      <selection pane="bottomRight" activeCell="N63" sqref="N63"/>
    </sheetView>
  </sheetViews>
  <sheetFormatPr baseColWidth="10" defaultColWidth="8.83203125" defaultRowHeight="10" x14ac:dyDescent="0"/>
  <cols>
    <col min="1" max="1" width="30.6640625" style="149" customWidth="1"/>
    <col min="2" max="13" width="8.33203125" style="149" customWidth="1"/>
    <col min="14" max="16" width="9.33203125" style="149" customWidth="1"/>
    <col min="17" max="17" width="9.83203125" style="149" hidden="1" customWidth="1"/>
    <col min="18" max="18" width="9.5" style="149" hidden="1" customWidth="1"/>
    <col min="19" max="19" width="9.83203125" style="149" hidden="1" customWidth="1"/>
    <col min="20" max="20" width="11.33203125" style="149" customWidth="1"/>
    <col min="21" max="21" width="9.5" style="149" bestFit="1" customWidth="1"/>
    <col min="22" max="25" width="9.83203125" style="149" bestFit="1" customWidth="1"/>
    <col min="26" max="27" width="9.5" style="149" bestFit="1" customWidth="1"/>
    <col min="28" max="28" width="9.83203125" style="149" bestFit="1" customWidth="1"/>
    <col min="29" max="16384" width="8.83203125" style="149"/>
  </cols>
  <sheetData>
    <row r="1" spans="1:22" ht="13.5" customHeight="1">
      <c r="A1" s="147" t="str">
        <f>muni&amp;" - "&amp; TableA30</f>
        <v>NW373 Rustenburg - Supporting Table SA30 Consolidated budgeted monthly cash flow</v>
      </c>
      <c r="B1" s="147"/>
      <c r="C1" s="147"/>
      <c r="D1" s="147"/>
      <c r="E1" s="147"/>
      <c r="F1" s="147"/>
      <c r="G1" s="147"/>
      <c r="H1" s="147"/>
      <c r="I1" s="147"/>
      <c r="J1" s="147"/>
      <c r="K1" s="147"/>
      <c r="L1" s="147"/>
      <c r="M1" s="147"/>
      <c r="N1" s="147"/>
      <c r="O1" s="147"/>
      <c r="P1" s="147"/>
      <c r="Q1" s="147"/>
    </row>
    <row r="2" spans="1:22" ht="28.5" customHeight="1">
      <c r="A2" s="1001" t="s">
        <v>420</v>
      </c>
      <c r="B2" s="2765" t="str">
        <f>Head9</f>
        <v>Budget Year 2013/14</v>
      </c>
      <c r="C2" s="2766"/>
      <c r="D2" s="2766"/>
      <c r="E2" s="2766"/>
      <c r="F2" s="2766"/>
      <c r="G2" s="2766"/>
      <c r="H2" s="2766"/>
      <c r="I2" s="2766"/>
      <c r="J2" s="2766"/>
      <c r="K2" s="2766"/>
      <c r="L2" s="2766"/>
      <c r="M2" s="2766"/>
      <c r="N2" s="2762" t="s">
        <v>1802</v>
      </c>
      <c r="O2" s="2763"/>
      <c r="P2" s="2764"/>
    </row>
    <row r="3" spans="1:22" ht="20">
      <c r="A3" s="180" t="s">
        <v>667</v>
      </c>
      <c r="B3" s="299" t="s">
        <v>725</v>
      </c>
      <c r="C3" s="928" t="s">
        <v>1412</v>
      </c>
      <c r="D3" s="928" t="s">
        <v>1413</v>
      </c>
      <c r="E3" s="928" t="s">
        <v>1414</v>
      </c>
      <c r="F3" s="928" t="s">
        <v>706</v>
      </c>
      <c r="G3" s="928" t="s">
        <v>707</v>
      </c>
      <c r="H3" s="928" t="s">
        <v>708</v>
      </c>
      <c r="I3" s="928" t="s">
        <v>709</v>
      </c>
      <c r="J3" s="928" t="s">
        <v>710</v>
      </c>
      <c r="K3" s="928" t="s">
        <v>711</v>
      </c>
      <c r="L3" s="928" t="s">
        <v>712</v>
      </c>
      <c r="M3" s="391" t="s">
        <v>713</v>
      </c>
      <c r="N3" s="299" t="str">
        <f>Head9</f>
        <v>Budget Year 2013/14</v>
      </c>
      <c r="O3" s="390" t="str">
        <f>Head10</f>
        <v>Budget Year +1 2014/15</v>
      </c>
      <c r="P3" s="391" t="str">
        <f>Head11</f>
        <v>Budget Year +2 2015/16</v>
      </c>
    </row>
    <row r="4" spans="1:22">
      <c r="A4" s="249" t="s">
        <v>915</v>
      </c>
      <c r="B4" s="313"/>
      <c r="C4" s="311"/>
      <c r="D4" s="311"/>
      <c r="E4" s="311"/>
      <c r="F4" s="311"/>
      <c r="G4" s="311"/>
      <c r="H4" s="311"/>
      <c r="I4" s="311"/>
      <c r="J4" s="311"/>
      <c r="K4" s="311"/>
      <c r="L4" s="311"/>
      <c r="M4" s="314"/>
      <c r="N4" s="1437">
        <v>1</v>
      </c>
      <c r="O4" s="311"/>
      <c r="P4" s="314"/>
      <c r="T4" s="370"/>
    </row>
    <row r="5" spans="1:22">
      <c r="A5" s="250" t="str">
        <f>'A4-FinPerf RE'!A5</f>
        <v>Property rates</v>
      </c>
      <c r="B5" s="1636">
        <v>13075634</v>
      </c>
      <c r="C5" s="1615">
        <v>13938102</v>
      </c>
      <c r="D5" s="1615">
        <v>11627919</v>
      </c>
      <c r="E5" s="1615">
        <v>13229646</v>
      </c>
      <c r="F5" s="1615">
        <v>12243968</v>
      </c>
      <c r="G5" s="1615">
        <v>14554151</v>
      </c>
      <c r="H5" s="1615">
        <v>13737886</v>
      </c>
      <c r="I5" s="1615">
        <v>11612518</v>
      </c>
      <c r="J5" s="1615">
        <v>10626840</v>
      </c>
      <c r="K5" s="1615">
        <v>13553071</v>
      </c>
      <c r="L5" s="1615">
        <v>14785169</v>
      </c>
      <c r="M5" s="204">
        <f t="shared" ref="M5:M20" si="0">N5-SUM(B5:L5)</f>
        <v>11027272</v>
      </c>
      <c r="N5" s="1636">
        <v>154012176</v>
      </c>
      <c r="O5" s="1615">
        <v>164582018</v>
      </c>
      <c r="P5" s="1635">
        <v>175729469</v>
      </c>
      <c r="T5" s="370"/>
      <c r="U5" s="370"/>
      <c r="V5" s="370"/>
    </row>
    <row r="6" spans="1:22">
      <c r="A6" s="250" t="str">
        <f>'A4-FinPerf RE'!A6</f>
        <v>Property rates - penalties &amp; collection charges</v>
      </c>
      <c r="B6" s="1636">
        <v>0</v>
      </c>
      <c r="C6" s="1615">
        <v>0</v>
      </c>
      <c r="D6" s="1615">
        <v>0</v>
      </c>
      <c r="E6" s="1615">
        <v>0</v>
      </c>
      <c r="F6" s="1615">
        <v>0</v>
      </c>
      <c r="G6" s="1615">
        <v>0</v>
      </c>
      <c r="H6" s="1615">
        <v>0</v>
      </c>
      <c r="I6" s="1615">
        <v>0</v>
      </c>
      <c r="J6" s="1615">
        <v>0</v>
      </c>
      <c r="K6" s="1615">
        <v>0</v>
      </c>
      <c r="L6" s="1615">
        <v>0</v>
      </c>
      <c r="M6" s="204">
        <f t="shared" si="0"/>
        <v>0</v>
      </c>
      <c r="N6" s="1636">
        <v>0</v>
      </c>
      <c r="O6" s="1615">
        <v>0</v>
      </c>
      <c r="P6" s="1635">
        <v>0</v>
      </c>
      <c r="T6" s="370"/>
      <c r="U6" s="370"/>
      <c r="V6" s="370"/>
    </row>
    <row r="7" spans="1:22">
      <c r="A7" s="250" t="str">
        <f>'A4-FinPerf RE'!A7</f>
        <v>Service charges - electricity revenue</v>
      </c>
      <c r="B7" s="1636">
        <v>93410421</v>
      </c>
      <c r="C7" s="1615">
        <v>99571768</v>
      </c>
      <c r="D7" s="1615">
        <v>83068160</v>
      </c>
      <c r="E7" s="1615">
        <v>94510661</v>
      </c>
      <c r="F7" s="1615">
        <v>87469122</v>
      </c>
      <c r="G7" s="1615">
        <v>103972730</v>
      </c>
      <c r="H7" s="1615">
        <v>98141455</v>
      </c>
      <c r="I7" s="1615">
        <v>82958136</v>
      </c>
      <c r="J7" s="1615">
        <v>75916597</v>
      </c>
      <c r="K7" s="1615">
        <v>96821167</v>
      </c>
      <c r="L7" s="1615">
        <v>105623091</v>
      </c>
      <c r="M7" s="204">
        <f t="shared" si="0"/>
        <v>78777221</v>
      </c>
      <c r="N7" s="1636">
        <v>1100240529</v>
      </c>
      <c r="O7" s="1615">
        <v>1188112683</v>
      </c>
      <c r="P7" s="1635">
        <v>1300094722</v>
      </c>
      <c r="T7" s="370"/>
      <c r="U7" s="370"/>
      <c r="V7" s="370"/>
    </row>
    <row r="8" spans="1:22">
      <c r="A8" s="250" t="str">
        <f>'A4-FinPerf RE'!A8</f>
        <v>Service charges - water revenue</v>
      </c>
      <c r="B8" s="1636">
        <v>24303528</v>
      </c>
      <c r="C8" s="1615">
        <v>25906588</v>
      </c>
      <c r="D8" s="1615">
        <v>21612678</v>
      </c>
      <c r="E8" s="1615">
        <v>24589789</v>
      </c>
      <c r="F8" s="1615">
        <v>22757721</v>
      </c>
      <c r="G8" s="1615">
        <v>27051631</v>
      </c>
      <c r="H8" s="1615">
        <v>25534449</v>
      </c>
      <c r="I8" s="1615">
        <v>21584052</v>
      </c>
      <c r="J8" s="1615">
        <v>19751984</v>
      </c>
      <c r="K8" s="1615">
        <v>25190936</v>
      </c>
      <c r="L8" s="1615">
        <v>27481022</v>
      </c>
      <c r="M8" s="204">
        <f t="shared" si="0"/>
        <v>20496263</v>
      </c>
      <c r="N8" s="1636">
        <v>286260641</v>
      </c>
      <c r="O8" s="1615">
        <v>300573673</v>
      </c>
      <c r="P8" s="1635">
        <v>315602359</v>
      </c>
      <c r="T8" s="370"/>
      <c r="U8" s="370"/>
      <c r="V8" s="370"/>
    </row>
    <row r="9" spans="1:22">
      <c r="A9" s="250" t="str">
        <f>'A4-FinPerf RE'!A9</f>
        <v>Service charges - sanitation revenue</v>
      </c>
      <c r="B9" s="1636">
        <v>5092380</v>
      </c>
      <c r="C9" s="1615">
        <v>5428273</v>
      </c>
      <c r="D9" s="1615">
        <v>4528559</v>
      </c>
      <c r="E9" s="1615">
        <v>5152361</v>
      </c>
      <c r="F9" s="1615">
        <v>4768483</v>
      </c>
      <c r="G9" s="1615">
        <v>5668197</v>
      </c>
      <c r="H9" s="1615">
        <v>5350298</v>
      </c>
      <c r="I9" s="1615">
        <v>4522561</v>
      </c>
      <c r="J9" s="1615">
        <v>4138683</v>
      </c>
      <c r="K9" s="1615">
        <v>5278321</v>
      </c>
      <c r="L9" s="1615">
        <v>5758168</v>
      </c>
      <c r="M9" s="204">
        <f t="shared" si="0"/>
        <v>4294633</v>
      </c>
      <c r="N9" s="1636">
        <v>59980917</v>
      </c>
      <c r="O9" s="1615">
        <v>65705696</v>
      </c>
      <c r="P9" s="1635">
        <v>72056621</v>
      </c>
      <c r="T9" s="370"/>
      <c r="U9" s="370"/>
      <c r="V9" s="370"/>
    </row>
    <row r="10" spans="1:22">
      <c r="A10" s="250" t="str">
        <f>'A4-FinPerf RE'!A10</f>
        <v>Service charges - refuse revenue</v>
      </c>
      <c r="B10" s="1636">
        <v>5615076</v>
      </c>
      <c r="C10" s="1615">
        <v>5985446</v>
      </c>
      <c r="D10" s="1615">
        <v>4993383</v>
      </c>
      <c r="E10" s="1615">
        <v>5681213</v>
      </c>
      <c r="F10" s="1615">
        <v>5257933</v>
      </c>
      <c r="G10" s="1615">
        <v>6249996</v>
      </c>
      <c r="H10" s="1615">
        <v>5899467</v>
      </c>
      <c r="I10" s="1615">
        <v>4986769</v>
      </c>
      <c r="J10" s="1615">
        <v>4563489</v>
      </c>
      <c r="K10" s="1615">
        <v>5820102</v>
      </c>
      <c r="L10" s="1615">
        <v>6349202</v>
      </c>
      <c r="M10" s="204">
        <f t="shared" si="0"/>
        <v>4735448</v>
      </c>
      <c r="N10" s="1636">
        <v>66137524</v>
      </c>
      <c r="O10" s="1615">
        <v>73165203</v>
      </c>
      <c r="P10" s="1635">
        <v>81014113</v>
      </c>
      <c r="T10" s="370"/>
      <c r="U10" s="370"/>
      <c r="V10" s="370"/>
    </row>
    <row r="11" spans="1:22">
      <c r="A11" s="250" t="str">
        <f>'A4-FinPerf RE'!A11</f>
        <v>Service charges - other</v>
      </c>
      <c r="B11" s="1636">
        <v>185067</v>
      </c>
      <c r="C11" s="1615">
        <v>197274</v>
      </c>
      <c r="D11" s="1615">
        <v>164576</v>
      </c>
      <c r="E11" s="1615">
        <v>187246</v>
      </c>
      <c r="F11" s="1615">
        <v>173296</v>
      </c>
      <c r="G11" s="1615">
        <v>205993</v>
      </c>
      <c r="H11" s="1615">
        <v>194440</v>
      </c>
      <c r="I11" s="1615">
        <v>164358</v>
      </c>
      <c r="J11" s="1615">
        <v>150407</v>
      </c>
      <c r="K11" s="1615">
        <v>191824</v>
      </c>
      <c r="L11" s="1615">
        <v>209263</v>
      </c>
      <c r="M11" s="204">
        <f t="shared" si="0"/>
        <v>156074</v>
      </c>
      <c r="N11" s="1636">
        <v>2179818</v>
      </c>
      <c r="O11" s="1615">
        <v>2295349</v>
      </c>
      <c r="P11" s="1635">
        <v>2417001</v>
      </c>
      <c r="T11" s="370"/>
      <c r="U11" s="370"/>
      <c r="V11" s="370"/>
    </row>
    <row r="12" spans="1:22">
      <c r="A12" s="250" t="str">
        <f>'A4-FinPerf RE'!A12</f>
        <v>Rental of facilities and equipment</v>
      </c>
      <c r="B12" s="1636">
        <v>1198862</v>
      </c>
      <c r="C12" s="1615">
        <v>1277939</v>
      </c>
      <c r="D12" s="1615">
        <v>1066126</v>
      </c>
      <c r="E12" s="1615">
        <v>1212983</v>
      </c>
      <c r="F12" s="1615">
        <v>1122609</v>
      </c>
      <c r="G12" s="1615">
        <v>1334422</v>
      </c>
      <c r="H12" s="1615">
        <v>1259582</v>
      </c>
      <c r="I12" s="1615">
        <v>1064714</v>
      </c>
      <c r="J12" s="1615">
        <v>974340</v>
      </c>
      <c r="K12" s="1615">
        <v>1242637</v>
      </c>
      <c r="L12" s="1615">
        <v>1355604</v>
      </c>
      <c r="M12" s="204">
        <f t="shared" si="0"/>
        <v>1011053</v>
      </c>
      <c r="N12" s="1636">
        <v>14120871</v>
      </c>
      <c r="O12" s="1615">
        <v>15878697</v>
      </c>
      <c r="P12" s="1635">
        <v>16564746</v>
      </c>
      <c r="T12" s="370"/>
      <c r="U12" s="370"/>
      <c r="V12" s="370"/>
    </row>
    <row r="13" spans="1:22">
      <c r="A13" s="250" t="str">
        <f>'A4-FinPerf RE'!A13</f>
        <v>Interest earned - external investments</v>
      </c>
      <c r="B13" s="1636">
        <v>4966864</v>
      </c>
      <c r="C13" s="1636">
        <v>5294478</v>
      </c>
      <c r="D13" s="1636">
        <v>4416940</v>
      </c>
      <c r="E13" s="1636">
        <v>5025366</v>
      </c>
      <c r="F13" s="1636">
        <v>4650950</v>
      </c>
      <c r="G13" s="1636">
        <v>5528488</v>
      </c>
      <c r="H13" s="1636">
        <v>5218424</v>
      </c>
      <c r="I13" s="1636">
        <v>4411090</v>
      </c>
      <c r="J13" s="1636">
        <v>4036674</v>
      </c>
      <c r="K13" s="1636">
        <v>5148221</v>
      </c>
      <c r="L13" s="1636">
        <v>5616242</v>
      </c>
      <c r="M13" s="204">
        <f t="shared" si="0"/>
        <v>4188779</v>
      </c>
      <c r="N13" s="1636">
        <v>58502516</v>
      </c>
      <c r="O13" s="1615">
        <v>61115921</v>
      </c>
      <c r="P13" s="1635">
        <v>63867835</v>
      </c>
      <c r="T13" s="370"/>
      <c r="U13" s="370"/>
      <c r="V13" s="370"/>
    </row>
    <row r="14" spans="1:22">
      <c r="A14" s="250" t="str">
        <f>'A4-FinPerf RE'!A14</f>
        <v>Interest earned - outstanding debtors</v>
      </c>
      <c r="B14" s="1636">
        <v>10933860</v>
      </c>
      <c r="C14" s="1615">
        <v>11655057</v>
      </c>
      <c r="D14" s="1615">
        <v>9723279</v>
      </c>
      <c r="E14" s="1615">
        <v>11062645</v>
      </c>
      <c r="F14" s="1615">
        <v>10238420</v>
      </c>
      <c r="G14" s="1615">
        <v>12170197</v>
      </c>
      <c r="H14" s="1615">
        <v>11487636</v>
      </c>
      <c r="I14" s="1615">
        <v>9710401</v>
      </c>
      <c r="J14" s="1615">
        <v>8886176</v>
      </c>
      <c r="K14" s="1615">
        <v>11333094</v>
      </c>
      <c r="L14" s="1615">
        <v>12363375</v>
      </c>
      <c r="M14" s="204">
        <f t="shared" si="0"/>
        <v>9221016</v>
      </c>
      <c r="N14" s="1636">
        <v>128785156</v>
      </c>
      <c r="O14" s="1615">
        <v>106982218</v>
      </c>
      <c r="P14" s="1635">
        <v>93138631</v>
      </c>
      <c r="T14" s="370"/>
      <c r="U14" s="370"/>
      <c r="V14" s="370"/>
    </row>
    <row r="15" spans="1:22">
      <c r="A15" s="250" t="str">
        <f>'A4-FinPerf RE'!A15</f>
        <v>Dividends received</v>
      </c>
      <c r="B15" s="1636">
        <v>0</v>
      </c>
      <c r="C15" s="1615">
        <v>0</v>
      </c>
      <c r="D15" s="1615">
        <v>0</v>
      </c>
      <c r="E15" s="1615">
        <v>0</v>
      </c>
      <c r="F15" s="1615">
        <v>0</v>
      </c>
      <c r="G15" s="1615">
        <v>0</v>
      </c>
      <c r="H15" s="1615">
        <v>0</v>
      </c>
      <c r="I15" s="1615">
        <v>0</v>
      </c>
      <c r="J15" s="1615">
        <v>0</v>
      </c>
      <c r="K15" s="1615">
        <v>0</v>
      </c>
      <c r="L15" s="1615">
        <v>0</v>
      </c>
      <c r="M15" s="204">
        <f t="shared" si="0"/>
        <v>0</v>
      </c>
      <c r="N15" s="1636">
        <v>0</v>
      </c>
      <c r="O15" s="1615">
        <v>0</v>
      </c>
      <c r="P15" s="1635">
        <v>0</v>
      </c>
      <c r="T15" s="370"/>
      <c r="U15" s="370"/>
      <c r="V15" s="370"/>
    </row>
    <row r="16" spans="1:22">
      <c r="A16" s="250" t="str">
        <f>'A4-FinPerf RE'!A16</f>
        <v>Fines</v>
      </c>
      <c r="B16" s="1636">
        <v>710644</v>
      </c>
      <c r="C16" s="1615">
        <v>757518</v>
      </c>
      <c r="D16" s="1615">
        <v>631963</v>
      </c>
      <c r="E16" s="1615">
        <v>719014</v>
      </c>
      <c r="F16" s="1615">
        <v>665444</v>
      </c>
      <c r="G16" s="1615">
        <v>791000</v>
      </c>
      <c r="H16" s="1615">
        <v>746637</v>
      </c>
      <c r="I16" s="1615">
        <v>631126</v>
      </c>
      <c r="J16" s="1615">
        <v>577555</v>
      </c>
      <c r="K16" s="1615">
        <v>736592</v>
      </c>
      <c r="L16" s="1615">
        <v>803555</v>
      </c>
      <c r="M16" s="204">
        <f t="shared" si="0"/>
        <v>599318</v>
      </c>
      <c r="N16" s="1636">
        <v>8370366</v>
      </c>
      <c r="O16" s="1615">
        <v>8795618</v>
      </c>
      <c r="P16" s="1635">
        <v>9239878</v>
      </c>
      <c r="T16" s="370"/>
      <c r="U16" s="370"/>
      <c r="V16" s="370"/>
    </row>
    <row r="17" spans="1:23">
      <c r="A17" s="250" t="str">
        <f>'A4-FinPerf RE'!A17</f>
        <v>Licences and permits</v>
      </c>
      <c r="B17" s="1636">
        <v>919413</v>
      </c>
      <c r="C17" s="1615">
        <v>980058</v>
      </c>
      <c r="D17" s="1615">
        <v>817617</v>
      </c>
      <c r="E17" s="1615">
        <v>930243</v>
      </c>
      <c r="F17" s="1615">
        <v>860935</v>
      </c>
      <c r="G17" s="1615">
        <v>1023375</v>
      </c>
      <c r="H17" s="1615">
        <v>965980</v>
      </c>
      <c r="I17" s="1615">
        <v>816534</v>
      </c>
      <c r="J17" s="1615">
        <v>747226</v>
      </c>
      <c r="K17" s="1615">
        <v>952984</v>
      </c>
      <c r="L17" s="1615">
        <v>1039619</v>
      </c>
      <c r="M17" s="204">
        <f t="shared" si="0"/>
        <v>775384</v>
      </c>
      <c r="N17" s="1636">
        <v>10829368</v>
      </c>
      <c r="O17" s="1615">
        <v>11100642</v>
      </c>
      <c r="P17" s="1635">
        <v>11379520</v>
      </c>
      <c r="T17" s="370"/>
      <c r="U17" s="370"/>
      <c r="V17" s="370"/>
    </row>
    <row r="18" spans="1:23">
      <c r="A18" s="250" t="str">
        <f>'A4-FinPerf RE'!A18</f>
        <v>Agency services</v>
      </c>
      <c r="B18" s="1636">
        <v>1559182</v>
      </c>
      <c r="C18" s="1615">
        <v>1662026</v>
      </c>
      <c r="D18" s="1615">
        <v>1386552</v>
      </c>
      <c r="E18" s="1615">
        <v>1577547</v>
      </c>
      <c r="F18" s="1615">
        <v>1460012</v>
      </c>
      <c r="G18" s="1615">
        <v>1735486</v>
      </c>
      <c r="H18" s="1615">
        <v>1638152</v>
      </c>
      <c r="I18" s="1615">
        <v>1384716</v>
      </c>
      <c r="J18" s="1615">
        <v>1267180</v>
      </c>
      <c r="K18" s="1615">
        <v>1616114</v>
      </c>
      <c r="L18" s="1615">
        <v>1763033</v>
      </c>
      <c r="M18" s="204">
        <f t="shared" si="0"/>
        <v>1314928</v>
      </c>
      <c r="N18" s="1636">
        <v>18364928</v>
      </c>
      <c r="O18" s="1615">
        <v>18370247</v>
      </c>
      <c r="P18" s="1635">
        <v>19343869</v>
      </c>
      <c r="T18" s="370"/>
      <c r="U18" s="370"/>
      <c r="V18" s="370"/>
    </row>
    <row r="19" spans="1:23">
      <c r="A19" s="190" t="s">
        <v>569</v>
      </c>
      <c r="B19" s="1636">
        <v>105852906</v>
      </c>
      <c r="C19" s="1615">
        <v>0</v>
      </c>
      <c r="D19" s="1615">
        <v>0</v>
      </c>
      <c r="E19" s="1615">
        <v>0</v>
      </c>
      <c r="F19" s="1615">
        <v>106418628</v>
      </c>
      <c r="G19" s="1615">
        <v>0</v>
      </c>
      <c r="H19" s="1615">
        <v>0</v>
      </c>
      <c r="I19" s="1615">
        <v>0</v>
      </c>
      <c r="J19" s="1615">
        <v>79515395</v>
      </c>
      <c r="K19" s="1615">
        <v>0</v>
      </c>
      <c r="L19" s="1615">
        <v>0</v>
      </c>
      <c r="M19" s="204">
        <f t="shared" si="0"/>
        <v>22503171</v>
      </c>
      <c r="N19" s="1636">
        <v>314290100</v>
      </c>
      <c r="O19" s="1615">
        <v>338691466</v>
      </c>
      <c r="P19" s="1635">
        <v>401895206</v>
      </c>
      <c r="T19" s="370"/>
      <c r="U19" s="370"/>
      <c r="V19" s="370"/>
    </row>
    <row r="20" spans="1:23">
      <c r="A20" s="250" t="str">
        <f>'A4-FinPerf RE'!A20</f>
        <v>Other revenue</v>
      </c>
      <c r="B20" s="1636">
        <v>3205866</v>
      </c>
      <c r="C20" s="1615">
        <v>3417325</v>
      </c>
      <c r="D20" s="1615">
        <v>2850917</v>
      </c>
      <c r="E20" s="1615">
        <v>3243626</v>
      </c>
      <c r="F20" s="1615">
        <v>3001959</v>
      </c>
      <c r="G20" s="1615">
        <v>3568367</v>
      </c>
      <c r="H20" s="1615">
        <v>3368236</v>
      </c>
      <c r="I20" s="1615">
        <v>2847141</v>
      </c>
      <c r="J20" s="1615">
        <v>2605474</v>
      </c>
      <c r="K20" s="1615">
        <v>3322923</v>
      </c>
      <c r="L20" s="1615">
        <v>3625007</v>
      </c>
      <c r="M20" s="204">
        <f t="shared" si="0"/>
        <v>2703653</v>
      </c>
      <c r="N20" s="1636">
        <v>37760494</v>
      </c>
      <c r="O20" s="1615">
        <v>39677439</v>
      </c>
      <c r="P20" s="1635">
        <v>41602573</v>
      </c>
      <c r="T20" s="370"/>
      <c r="U20" s="370"/>
      <c r="V20" s="370"/>
    </row>
    <row r="21" spans="1:23">
      <c r="A21" s="650" t="s">
        <v>1616</v>
      </c>
      <c r="B21" s="269">
        <f t="shared" ref="B21:P21" si="1">SUM(B5:B20)</f>
        <v>271029703</v>
      </c>
      <c r="C21" s="267">
        <f t="shared" si="1"/>
        <v>176071852</v>
      </c>
      <c r="D21" s="267">
        <f t="shared" si="1"/>
        <v>146888669</v>
      </c>
      <c r="E21" s="267">
        <f t="shared" si="1"/>
        <v>167122340</v>
      </c>
      <c r="F21" s="267">
        <f t="shared" si="1"/>
        <v>261089480</v>
      </c>
      <c r="G21" s="267">
        <f t="shared" si="1"/>
        <v>183854033</v>
      </c>
      <c r="H21" s="267">
        <f t="shared" si="1"/>
        <v>173542642</v>
      </c>
      <c r="I21" s="267">
        <f t="shared" si="1"/>
        <v>146694116</v>
      </c>
      <c r="J21" s="267">
        <f t="shared" si="1"/>
        <v>213758020</v>
      </c>
      <c r="K21" s="267">
        <f t="shared" si="1"/>
        <v>171207986</v>
      </c>
      <c r="L21" s="267">
        <f t="shared" si="1"/>
        <v>186772350</v>
      </c>
      <c r="M21" s="268">
        <f t="shared" si="1"/>
        <v>161804213</v>
      </c>
      <c r="N21" s="269">
        <f t="shared" si="1"/>
        <v>2259835404</v>
      </c>
      <c r="O21" s="267">
        <f t="shared" si="1"/>
        <v>2395046870</v>
      </c>
      <c r="P21" s="268">
        <f t="shared" si="1"/>
        <v>2603946543</v>
      </c>
      <c r="Q21" s="370"/>
      <c r="R21" s="370"/>
      <c r="S21" s="370"/>
      <c r="T21" s="370"/>
      <c r="U21" s="370"/>
      <c r="V21" s="370"/>
      <c r="W21" s="370"/>
    </row>
    <row r="22" spans="1:23" ht="5" customHeight="1">
      <c r="A22" s="817"/>
      <c r="B22" s="251"/>
      <c r="C22" s="207"/>
      <c r="D22" s="207"/>
      <c r="E22" s="207"/>
      <c r="F22" s="207"/>
      <c r="G22" s="207"/>
      <c r="H22" s="207"/>
      <c r="I22" s="207"/>
      <c r="J22" s="207"/>
      <c r="K22" s="207"/>
      <c r="L22" s="207"/>
      <c r="M22" s="264"/>
      <c r="N22" s="251"/>
      <c r="O22" s="207"/>
      <c r="P22" s="264"/>
      <c r="Q22" s="370"/>
      <c r="R22" s="370"/>
      <c r="S22" s="370"/>
      <c r="T22" s="370"/>
      <c r="U22" s="370"/>
      <c r="V22" s="370"/>
      <c r="W22" s="370"/>
    </row>
    <row r="23" spans="1:23" ht="11.25" customHeight="1">
      <c r="A23" s="372" t="s">
        <v>932</v>
      </c>
      <c r="B23" s="251"/>
      <c r="C23" s="207"/>
      <c r="D23" s="207"/>
      <c r="E23" s="207"/>
      <c r="F23" s="207"/>
      <c r="G23" s="207"/>
      <c r="H23" s="207"/>
      <c r="I23" s="207"/>
      <c r="J23" s="207"/>
      <c r="K23" s="207"/>
      <c r="L23" s="207"/>
      <c r="M23" s="264"/>
      <c r="N23" s="251"/>
      <c r="O23" s="207"/>
      <c r="P23" s="264"/>
      <c r="Q23" s="370"/>
      <c r="R23" s="370"/>
      <c r="S23" s="370"/>
      <c r="T23" s="370"/>
      <c r="U23" s="370"/>
      <c r="V23" s="370"/>
      <c r="W23" s="370"/>
    </row>
    <row r="24" spans="1:23" ht="11.25" customHeight="1">
      <c r="A24" s="325" t="s">
        <v>568</v>
      </c>
      <c r="B24" s="1636">
        <v>74733133</v>
      </c>
      <c r="C24" s="1615">
        <v>0</v>
      </c>
      <c r="D24" s="1615">
        <v>0</v>
      </c>
      <c r="E24" s="1615">
        <v>261838555</v>
      </c>
      <c r="F24" s="1615">
        <v>0</v>
      </c>
      <c r="G24" s="1615">
        <v>0</v>
      </c>
      <c r="H24" s="1615">
        <v>120009411</v>
      </c>
      <c r="I24" s="1615">
        <v>0</v>
      </c>
      <c r="J24" s="1615">
        <v>151527033</v>
      </c>
      <c r="K24" s="1615">
        <v>0</v>
      </c>
      <c r="L24" s="1615">
        <v>0</v>
      </c>
      <c r="M24" s="264">
        <f t="shared" ref="M24:M32" si="2">N24-SUM(B24:L24)</f>
        <v>0</v>
      </c>
      <c r="N24" s="1636">
        <v>608108132</v>
      </c>
      <c r="O24" s="1615">
        <v>711301478</v>
      </c>
      <c r="P24" s="1635">
        <v>768374571</v>
      </c>
      <c r="Q24" s="370"/>
      <c r="R24" s="370"/>
      <c r="S24" s="370"/>
      <c r="T24" s="370"/>
      <c r="U24" s="370"/>
      <c r="V24" s="370"/>
      <c r="W24" s="370"/>
    </row>
    <row r="25" spans="1:23" ht="11.25" customHeight="1">
      <c r="A25" s="254" t="str">
        <f>'A4-FinPerf RE'!A40&amp;" &amp; "&amp;'A4-FinPerf RE'!A41</f>
        <v>Contributions recognised - capital &amp; Contributed assets</v>
      </c>
      <c r="B25" s="1636">
        <v>0</v>
      </c>
      <c r="C25" s="1615">
        <v>0</v>
      </c>
      <c r="D25" s="1615">
        <v>0</v>
      </c>
      <c r="E25" s="1615">
        <v>0</v>
      </c>
      <c r="F25" s="1615">
        <v>0</v>
      </c>
      <c r="G25" s="1615">
        <v>0</v>
      </c>
      <c r="H25" s="1615">
        <v>0</v>
      </c>
      <c r="I25" s="1615">
        <v>0</v>
      </c>
      <c r="J25" s="1615">
        <v>0</v>
      </c>
      <c r="K25" s="1615">
        <v>0</v>
      </c>
      <c r="L25" s="1615">
        <v>0</v>
      </c>
      <c r="M25" s="264">
        <f t="shared" si="2"/>
        <v>0</v>
      </c>
      <c r="N25" s="1636">
        <v>0</v>
      </c>
      <c r="O25" s="1615">
        <v>0</v>
      </c>
      <c r="P25" s="1635">
        <v>0</v>
      </c>
      <c r="Q25" s="370"/>
      <c r="R25" s="370"/>
      <c r="S25" s="370"/>
      <c r="T25" s="370"/>
      <c r="U25" s="370"/>
      <c r="V25" s="370"/>
      <c r="W25" s="370"/>
    </row>
    <row r="26" spans="1:23" ht="11.25" customHeight="1">
      <c r="A26" s="254" t="str">
        <f>'A7-CFlow'!A19</f>
        <v>Proceeds on disposal of PPE</v>
      </c>
      <c r="B26" s="1636">
        <v>7810446</v>
      </c>
      <c r="C26" s="1615">
        <v>8325622</v>
      </c>
      <c r="D26" s="1615">
        <v>6945685</v>
      </c>
      <c r="E26" s="1615">
        <v>7902442</v>
      </c>
      <c r="F26" s="1615">
        <v>7313668</v>
      </c>
      <c r="G26" s="1615">
        <v>8693606</v>
      </c>
      <c r="H26" s="1615">
        <v>8206028</v>
      </c>
      <c r="I26" s="1615">
        <v>6936485</v>
      </c>
      <c r="J26" s="1615">
        <v>6347712</v>
      </c>
      <c r="K26" s="1615">
        <v>8095633</v>
      </c>
      <c r="L26" s="1615">
        <v>8831600</v>
      </c>
      <c r="M26" s="264">
        <f t="shared" si="2"/>
        <v>6586901</v>
      </c>
      <c r="N26" s="1636">
        <v>91995828</v>
      </c>
      <c r="O26" s="1615">
        <v>45965000</v>
      </c>
      <c r="P26" s="1635">
        <v>0</v>
      </c>
      <c r="Q26" s="370"/>
      <c r="R26" s="370"/>
      <c r="S26" s="370"/>
      <c r="T26" s="370"/>
      <c r="U26" s="370"/>
      <c r="V26" s="370"/>
      <c r="W26" s="370"/>
    </row>
    <row r="27" spans="1:23" ht="11.25" customHeight="1">
      <c r="A27" s="254" t="str">
        <f>'A7-CFlow'!A29</f>
        <v>Short term loans</v>
      </c>
      <c r="B27" s="1636">
        <v>0</v>
      </c>
      <c r="C27" s="1615">
        <v>0</v>
      </c>
      <c r="D27" s="1615">
        <v>0</v>
      </c>
      <c r="E27" s="1615">
        <v>0</v>
      </c>
      <c r="F27" s="1615">
        <v>0</v>
      </c>
      <c r="G27" s="1615">
        <v>0</v>
      </c>
      <c r="H27" s="1615">
        <v>0</v>
      </c>
      <c r="I27" s="1615">
        <v>0</v>
      </c>
      <c r="J27" s="1615">
        <v>0</v>
      </c>
      <c r="K27" s="1615">
        <v>0</v>
      </c>
      <c r="L27" s="1615">
        <v>0</v>
      </c>
      <c r="M27" s="264">
        <f t="shared" si="2"/>
        <v>0</v>
      </c>
      <c r="N27" s="1636">
        <v>0</v>
      </c>
      <c r="O27" s="1615">
        <v>0</v>
      </c>
      <c r="P27" s="1635">
        <v>0</v>
      </c>
      <c r="Q27" s="370"/>
      <c r="R27" s="370"/>
      <c r="S27" s="370"/>
      <c r="T27" s="370"/>
      <c r="U27" s="370"/>
      <c r="V27" s="370"/>
      <c r="W27" s="370"/>
    </row>
    <row r="28" spans="1:23" ht="11.25" customHeight="1">
      <c r="A28" s="254" t="str">
        <f>'A7-CFlow'!A30</f>
        <v>Borrowing long term/refinancing</v>
      </c>
      <c r="B28" s="1636">
        <v>0</v>
      </c>
      <c r="C28" s="1615">
        <v>0</v>
      </c>
      <c r="D28" s="1615">
        <v>0</v>
      </c>
      <c r="E28" s="1615">
        <v>0</v>
      </c>
      <c r="F28" s="1615">
        <v>0</v>
      </c>
      <c r="G28" s="1615">
        <v>0</v>
      </c>
      <c r="H28" s="1615">
        <v>0</v>
      </c>
      <c r="I28" s="1615">
        <v>0</v>
      </c>
      <c r="J28" s="1615">
        <v>0</v>
      </c>
      <c r="K28" s="1615">
        <v>0</v>
      </c>
      <c r="L28" s="1615">
        <v>0</v>
      </c>
      <c r="M28" s="264">
        <f t="shared" si="2"/>
        <v>0</v>
      </c>
      <c r="N28" s="1636">
        <v>0</v>
      </c>
      <c r="O28" s="1615">
        <v>0</v>
      </c>
      <c r="P28" s="1635">
        <v>0</v>
      </c>
      <c r="Q28" s="370"/>
      <c r="R28" s="370"/>
      <c r="S28" s="370"/>
      <c r="T28" s="370"/>
      <c r="U28" s="370"/>
      <c r="V28" s="370"/>
      <c r="W28" s="370"/>
    </row>
    <row r="29" spans="1:23" ht="11.25" customHeight="1">
      <c r="A29" s="254" t="str">
        <f>'A7-CFlow'!A31</f>
        <v>Increase (decrease) in consumer deposits</v>
      </c>
      <c r="B29" s="1636">
        <v>0</v>
      </c>
      <c r="C29" s="1615">
        <v>0</v>
      </c>
      <c r="D29" s="1615">
        <v>0</v>
      </c>
      <c r="E29" s="1615">
        <v>0</v>
      </c>
      <c r="F29" s="1615">
        <v>0</v>
      </c>
      <c r="G29" s="1615">
        <v>0</v>
      </c>
      <c r="H29" s="1615">
        <v>0</v>
      </c>
      <c r="I29" s="1615">
        <v>0</v>
      </c>
      <c r="J29" s="1615">
        <v>0</v>
      </c>
      <c r="K29" s="1615">
        <v>0</v>
      </c>
      <c r="L29" s="1615">
        <v>0</v>
      </c>
      <c r="M29" s="264">
        <f t="shared" si="2"/>
        <v>0</v>
      </c>
      <c r="N29" s="1636">
        <v>0</v>
      </c>
      <c r="O29" s="1615">
        <v>0</v>
      </c>
      <c r="P29" s="1635">
        <v>0</v>
      </c>
      <c r="Q29" s="370"/>
      <c r="R29" s="370"/>
      <c r="S29" s="370"/>
      <c r="T29" s="370"/>
      <c r="U29" s="370"/>
      <c r="V29" s="370"/>
      <c r="W29" s="370"/>
    </row>
    <row r="30" spans="1:23" ht="11.25" customHeight="1">
      <c r="A30" s="254" t="str">
        <f>'A7-CFlow'!A20</f>
        <v>Decrease (Increase) in non-current debtors</v>
      </c>
      <c r="B30" s="1636">
        <v>0</v>
      </c>
      <c r="C30" s="1615">
        <v>0</v>
      </c>
      <c r="D30" s="1615">
        <v>0</v>
      </c>
      <c r="E30" s="1615">
        <v>0</v>
      </c>
      <c r="F30" s="1615">
        <v>0</v>
      </c>
      <c r="G30" s="1615">
        <v>0</v>
      </c>
      <c r="H30" s="1615">
        <v>0</v>
      </c>
      <c r="I30" s="1615">
        <v>0</v>
      </c>
      <c r="J30" s="1615">
        <v>0</v>
      </c>
      <c r="K30" s="1615">
        <v>0</v>
      </c>
      <c r="L30" s="1615">
        <v>0</v>
      </c>
      <c r="M30" s="264">
        <f t="shared" si="2"/>
        <v>0</v>
      </c>
      <c r="N30" s="1636">
        <v>0</v>
      </c>
      <c r="O30" s="1615">
        <v>0</v>
      </c>
      <c r="P30" s="1635">
        <v>0</v>
      </c>
      <c r="Q30" s="370"/>
      <c r="R30" s="370"/>
      <c r="S30" s="370"/>
      <c r="T30" s="370"/>
      <c r="U30" s="370"/>
      <c r="V30" s="370"/>
      <c r="W30" s="370"/>
    </row>
    <row r="31" spans="1:23" ht="11.25" customHeight="1">
      <c r="A31" s="254" t="str">
        <f>'A7-CFlow'!A21</f>
        <v>Decrease (increase) other non-current receivables</v>
      </c>
      <c r="B31" s="1636">
        <v>0</v>
      </c>
      <c r="C31" s="1615">
        <v>0</v>
      </c>
      <c r="D31" s="1615">
        <v>0</v>
      </c>
      <c r="E31" s="1615">
        <v>0</v>
      </c>
      <c r="F31" s="1615">
        <v>0</v>
      </c>
      <c r="G31" s="1615">
        <v>0</v>
      </c>
      <c r="H31" s="1615">
        <v>0</v>
      </c>
      <c r="I31" s="1615">
        <v>0</v>
      </c>
      <c r="J31" s="1615">
        <v>0</v>
      </c>
      <c r="K31" s="1615">
        <v>0</v>
      </c>
      <c r="L31" s="1615">
        <v>0</v>
      </c>
      <c r="M31" s="264">
        <f t="shared" si="2"/>
        <v>0</v>
      </c>
      <c r="N31" s="1636">
        <v>0</v>
      </c>
      <c r="O31" s="1615">
        <v>0</v>
      </c>
      <c r="P31" s="1635">
        <v>0</v>
      </c>
      <c r="Q31" s="370"/>
      <c r="R31" s="370"/>
      <c r="S31" s="370"/>
      <c r="T31" s="370"/>
      <c r="U31" s="370"/>
      <c r="V31" s="370"/>
      <c r="W31" s="370"/>
    </row>
    <row r="32" spans="1:23" ht="11.25" customHeight="1">
      <c r="A32" s="254" t="str">
        <f>'A7-CFlow'!A22</f>
        <v>Decrease (increase) in non-current investments</v>
      </c>
      <c r="B32" s="1636"/>
      <c r="C32" s="1615"/>
      <c r="D32" s="1615"/>
      <c r="E32" s="1615"/>
      <c r="F32" s="1615"/>
      <c r="G32" s="1615"/>
      <c r="H32" s="1615"/>
      <c r="I32" s="1615"/>
      <c r="J32" s="1615"/>
      <c r="K32" s="1615"/>
      <c r="L32" s="1615"/>
      <c r="M32" s="264">
        <f t="shared" si="2"/>
        <v>0</v>
      </c>
      <c r="N32" s="1636"/>
      <c r="O32" s="1615"/>
      <c r="P32" s="1635"/>
      <c r="Q32" s="370"/>
      <c r="R32" s="370"/>
      <c r="S32" s="370"/>
      <c r="T32" s="370"/>
      <c r="U32" s="370"/>
      <c r="V32" s="370"/>
      <c r="W32" s="370"/>
    </row>
    <row r="33" spans="1:23" ht="11.25" customHeight="1">
      <c r="A33" s="811" t="s">
        <v>715</v>
      </c>
      <c r="B33" s="815">
        <f t="shared" ref="B33:P33" si="3">SUM(B21:B32)</f>
        <v>353573282</v>
      </c>
      <c r="C33" s="813">
        <f t="shared" si="3"/>
        <v>184397474</v>
      </c>
      <c r="D33" s="813">
        <f t="shared" si="3"/>
        <v>153834354</v>
      </c>
      <c r="E33" s="813">
        <f t="shared" si="3"/>
        <v>436863337</v>
      </c>
      <c r="F33" s="813">
        <f t="shared" si="3"/>
        <v>268403148</v>
      </c>
      <c r="G33" s="813">
        <f t="shared" si="3"/>
        <v>192547639</v>
      </c>
      <c r="H33" s="813">
        <f t="shared" si="3"/>
        <v>301758081</v>
      </c>
      <c r="I33" s="813">
        <f t="shared" si="3"/>
        <v>153630601</v>
      </c>
      <c r="J33" s="813">
        <f t="shared" si="3"/>
        <v>371632765</v>
      </c>
      <c r="K33" s="813">
        <f t="shared" si="3"/>
        <v>179303619</v>
      </c>
      <c r="L33" s="813">
        <f t="shared" si="3"/>
        <v>195603950</v>
      </c>
      <c r="M33" s="814">
        <f t="shared" si="3"/>
        <v>168391114</v>
      </c>
      <c r="N33" s="815">
        <f t="shared" si="3"/>
        <v>2959939364</v>
      </c>
      <c r="O33" s="813">
        <f t="shared" si="3"/>
        <v>3152313348</v>
      </c>
      <c r="P33" s="814">
        <f t="shared" si="3"/>
        <v>3372321114</v>
      </c>
      <c r="Q33" s="370"/>
      <c r="R33" s="370"/>
      <c r="S33" s="370"/>
      <c r="T33" s="370"/>
      <c r="U33" s="370"/>
      <c r="V33" s="370"/>
      <c r="W33" s="370"/>
    </row>
    <row r="34" spans="1:23" ht="5" customHeight="1">
      <c r="A34" s="882"/>
      <c r="B34" s="251"/>
      <c r="C34" s="207"/>
      <c r="D34" s="207"/>
      <c r="E34" s="207"/>
      <c r="F34" s="207"/>
      <c r="G34" s="207"/>
      <c r="H34" s="207"/>
      <c r="I34" s="207"/>
      <c r="J34" s="207"/>
      <c r="K34" s="207"/>
      <c r="L34" s="207"/>
      <c r="M34" s="264"/>
      <c r="N34" s="251"/>
      <c r="O34" s="207"/>
      <c r="P34" s="264"/>
      <c r="Q34" s="370"/>
      <c r="R34" s="370"/>
      <c r="S34" s="370"/>
      <c r="T34" s="370"/>
      <c r="U34" s="370"/>
      <c r="V34" s="370"/>
      <c r="W34" s="370"/>
    </row>
    <row r="35" spans="1:23">
      <c r="A35" s="810" t="s">
        <v>1617</v>
      </c>
      <c r="B35" s="251"/>
      <c r="C35" s="207"/>
      <c r="D35" s="207"/>
      <c r="E35" s="207"/>
      <c r="F35" s="207"/>
      <c r="G35" s="207"/>
      <c r="H35" s="207"/>
      <c r="I35" s="207"/>
      <c r="J35" s="207"/>
      <c r="K35" s="207"/>
      <c r="L35" s="207"/>
      <c r="M35" s="264"/>
      <c r="N35" s="258"/>
      <c r="O35" s="207"/>
      <c r="P35" s="264"/>
      <c r="Q35" s="370"/>
      <c r="R35" s="370"/>
      <c r="S35" s="370"/>
      <c r="T35" s="370"/>
      <c r="U35" s="370"/>
      <c r="V35" s="370"/>
      <c r="W35" s="370"/>
    </row>
    <row r="36" spans="1:23">
      <c r="A36" s="254" t="s">
        <v>477</v>
      </c>
      <c r="B36" s="1636">
        <v>23397137</v>
      </c>
      <c r="C36" s="1615">
        <v>30841681</v>
      </c>
      <c r="D36" s="1615">
        <v>27651162</v>
      </c>
      <c r="E36" s="1615">
        <v>38116063</v>
      </c>
      <c r="F36" s="1615">
        <v>33309015</v>
      </c>
      <c r="G36" s="1615">
        <v>32245509</v>
      </c>
      <c r="H36" s="1615">
        <v>28884829</v>
      </c>
      <c r="I36" s="1615">
        <v>29267691</v>
      </c>
      <c r="J36" s="1615">
        <v>29778174</v>
      </c>
      <c r="K36" s="1615">
        <v>38286224</v>
      </c>
      <c r="L36" s="1615">
        <v>24928586</v>
      </c>
      <c r="M36" s="264">
        <f t="shared" ref="M36:M45" si="4">N36-SUM(B36:L36)</f>
        <v>88696421</v>
      </c>
      <c r="N36" s="1636">
        <v>425402492</v>
      </c>
      <c r="O36" s="1615">
        <v>458282428</v>
      </c>
      <c r="P36" s="1635">
        <v>489265878</v>
      </c>
      <c r="Q36" s="370"/>
      <c r="R36" s="370"/>
      <c r="S36" s="370"/>
      <c r="T36" s="370"/>
      <c r="U36" s="370"/>
      <c r="V36" s="370"/>
      <c r="W36" s="370"/>
    </row>
    <row r="37" spans="1:23">
      <c r="A37" s="254" t="s">
        <v>531</v>
      </c>
      <c r="B37" s="1636">
        <v>1361080</v>
      </c>
      <c r="C37" s="1615">
        <v>1794150</v>
      </c>
      <c r="D37" s="1615">
        <v>1608549</v>
      </c>
      <c r="E37" s="1615">
        <v>2217322</v>
      </c>
      <c r="F37" s="1615">
        <v>1937682</v>
      </c>
      <c r="G37" s="1615">
        <v>1875815</v>
      </c>
      <c r="H37" s="1615">
        <v>1680315</v>
      </c>
      <c r="I37" s="1615">
        <v>1702587</v>
      </c>
      <c r="J37" s="1615">
        <v>1732283</v>
      </c>
      <c r="K37" s="1615">
        <v>2227221</v>
      </c>
      <c r="L37" s="1615">
        <v>1450168</v>
      </c>
      <c r="M37" s="264">
        <f t="shared" si="4"/>
        <v>5159729</v>
      </c>
      <c r="N37" s="1636">
        <v>24746901</v>
      </c>
      <c r="O37" s="1615">
        <v>26355453</v>
      </c>
      <c r="P37" s="1635">
        <v>28068559</v>
      </c>
      <c r="Q37" s="370"/>
      <c r="R37" s="370"/>
      <c r="S37" s="370"/>
      <c r="T37" s="370"/>
      <c r="U37" s="370"/>
      <c r="V37" s="370"/>
      <c r="W37" s="370"/>
    </row>
    <row r="38" spans="1:23">
      <c r="A38" s="254" t="s">
        <v>1561</v>
      </c>
      <c r="B38" s="1636">
        <v>2070039</v>
      </c>
      <c r="C38" s="1636">
        <v>2070039</v>
      </c>
      <c r="D38" s="1636">
        <v>2070039</v>
      </c>
      <c r="E38" s="1636">
        <v>2070039</v>
      </c>
      <c r="F38" s="1636">
        <v>2070039</v>
      </c>
      <c r="G38" s="1636">
        <v>2070039</v>
      </c>
      <c r="H38" s="1636">
        <v>2070039</v>
      </c>
      <c r="I38" s="1636">
        <v>2070039</v>
      </c>
      <c r="J38" s="1636">
        <v>2070039</v>
      </c>
      <c r="K38" s="1636">
        <v>2070039</v>
      </c>
      <c r="L38" s="1636">
        <v>2070039</v>
      </c>
      <c r="M38" s="264">
        <f t="shared" si="4"/>
        <v>2079975</v>
      </c>
      <c r="N38" s="1636">
        <v>24850404</v>
      </c>
      <c r="O38" s="1615">
        <v>23815957</v>
      </c>
      <c r="P38" s="1635">
        <v>22243815</v>
      </c>
      <c r="Q38" s="370"/>
      <c r="R38" s="370"/>
      <c r="S38" s="370"/>
      <c r="T38" s="370"/>
      <c r="U38" s="370"/>
      <c r="V38" s="370"/>
      <c r="W38" s="370"/>
    </row>
    <row r="39" spans="1:23">
      <c r="A39" s="254" t="s">
        <v>714</v>
      </c>
      <c r="B39" s="1636">
        <v>49313481</v>
      </c>
      <c r="C39" s="1615">
        <v>65004134</v>
      </c>
      <c r="D39" s="1615">
        <v>58279568</v>
      </c>
      <c r="E39" s="1615">
        <v>80336143</v>
      </c>
      <c r="F39" s="1615">
        <v>70204465</v>
      </c>
      <c r="G39" s="1615">
        <v>67962943</v>
      </c>
      <c r="H39" s="1615">
        <v>60879734</v>
      </c>
      <c r="I39" s="1615">
        <v>61686682</v>
      </c>
      <c r="J39" s="1615">
        <v>62762612</v>
      </c>
      <c r="K39" s="1615">
        <v>80694787</v>
      </c>
      <c r="L39" s="1615">
        <v>52541272</v>
      </c>
      <c r="M39" s="264">
        <f t="shared" si="4"/>
        <v>114586597</v>
      </c>
      <c r="N39" s="1636">
        <v>824252418</v>
      </c>
      <c r="O39" s="1615">
        <v>890192612</v>
      </c>
      <c r="P39" s="1635">
        <v>961408022</v>
      </c>
      <c r="Q39" s="370"/>
      <c r="R39" s="370"/>
      <c r="S39" s="370"/>
      <c r="T39" s="370"/>
      <c r="U39" s="370"/>
      <c r="V39" s="370"/>
      <c r="W39" s="370"/>
    </row>
    <row r="40" spans="1:23">
      <c r="A40" s="254" t="s">
        <v>717</v>
      </c>
      <c r="B40" s="1636">
        <v>12250604</v>
      </c>
      <c r="C40" s="1615">
        <v>16148523</v>
      </c>
      <c r="D40" s="1615">
        <v>14477987</v>
      </c>
      <c r="E40" s="1615">
        <v>19957348</v>
      </c>
      <c r="F40" s="1615">
        <v>17440405</v>
      </c>
      <c r="G40" s="1615">
        <v>16883560</v>
      </c>
      <c r="H40" s="1615">
        <v>15123928</v>
      </c>
      <c r="I40" s="1615">
        <v>15324392</v>
      </c>
      <c r="J40" s="1615">
        <v>15591678</v>
      </c>
      <c r="K40" s="1615">
        <v>20046443</v>
      </c>
      <c r="L40" s="1615">
        <v>13052462</v>
      </c>
      <c r="M40" s="264">
        <f t="shared" si="4"/>
        <v>46440925</v>
      </c>
      <c r="N40" s="1636">
        <v>222738255</v>
      </c>
      <c r="O40" s="1615">
        <v>244654626</v>
      </c>
      <c r="P40" s="1635">
        <v>268727533</v>
      </c>
      <c r="Q40" s="834"/>
      <c r="R40" s="370"/>
      <c r="S40" s="370"/>
      <c r="T40" s="370"/>
      <c r="U40" s="370"/>
      <c r="V40" s="370"/>
      <c r="W40" s="370"/>
    </row>
    <row r="41" spans="1:23">
      <c r="A41" s="254" t="s">
        <v>1529</v>
      </c>
      <c r="B41" s="1636">
        <v>7851656</v>
      </c>
      <c r="C41" s="1615">
        <v>10349910</v>
      </c>
      <c r="D41" s="1615">
        <v>9279230</v>
      </c>
      <c r="E41" s="1615">
        <v>12791062</v>
      </c>
      <c r="F41" s="1615">
        <v>11177903</v>
      </c>
      <c r="G41" s="1615">
        <v>10821010</v>
      </c>
      <c r="H41" s="1615">
        <v>9693226</v>
      </c>
      <c r="I41" s="1615">
        <v>9821708</v>
      </c>
      <c r="J41" s="1615">
        <v>9993017</v>
      </c>
      <c r="K41" s="1615">
        <v>12848165</v>
      </c>
      <c r="L41" s="1615">
        <v>8365583</v>
      </c>
      <c r="M41" s="264">
        <f t="shared" si="4"/>
        <v>29764915</v>
      </c>
      <c r="N41" s="1636">
        <v>142757385</v>
      </c>
      <c r="O41" s="1615">
        <v>150028878</v>
      </c>
      <c r="P41" s="1635">
        <v>159292528</v>
      </c>
      <c r="Q41" s="834"/>
      <c r="R41" s="370"/>
      <c r="S41" s="370"/>
      <c r="T41" s="370"/>
      <c r="U41" s="370"/>
      <c r="V41" s="370"/>
      <c r="W41" s="370"/>
    </row>
    <row r="42" spans="1:23">
      <c r="A42" s="254" t="s">
        <v>480</v>
      </c>
      <c r="B42" s="1636">
        <v>7554373</v>
      </c>
      <c r="C42" s="1615">
        <v>9958037</v>
      </c>
      <c r="D42" s="1615">
        <v>8927895</v>
      </c>
      <c r="E42" s="1615">
        <v>12306760</v>
      </c>
      <c r="F42" s="1615">
        <v>10754680</v>
      </c>
      <c r="G42" s="1615">
        <v>10411299</v>
      </c>
      <c r="H42" s="1615">
        <v>9326216</v>
      </c>
      <c r="I42" s="1615">
        <v>9449833</v>
      </c>
      <c r="J42" s="1615">
        <v>9614656</v>
      </c>
      <c r="K42" s="1615">
        <v>12361701</v>
      </c>
      <c r="L42" s="1615">
        <v>8048841</v>
      </c>
      <c r="M42" s="264">
        <f t="shared" si="4"/>
        <v>40058526</v>
      </c>
      <c r="N42" s="1636">
        <v>148772817</v>
      </c>
      <c r="O42" s="1615">
        <v>137483476</v>
      </c>
      <c r="P42" s="1635">
        <v>144163796</v>
      </c>
      <c r="Q42" s="370"/>
      <c r="R42" s="370"/>
      <c r="S42" s="370"/>
      <c r="T42" s="370"/>
      <c r="U42" s="370"/>
      <c r="V42" s="370"/>
      <c r="W42" s="370"/>
    </row>
    <row r="43" spans="1:23">
      <c r="A43" s="254" t="s">
        <v>2063</v>
      </c>
      <c r="B43" s="1636">
        <v>0</v>
      </c>
      <c r="C43" s="1615">
        <v>0</v>
      </c>
      <c r="D43" s="1615">
        <v>0</v>
      </c>
      <c r="E43" s="1615">
        <v>0</v>
      </c>
      <c r="F43" s="1615">
        <v>0</v>
      </c>
      <c r="G43" s="1615">
        <v>0</v>
      </c>
      <c r="H43" s="1615">
        <v>0</v>
      </c>
      <c r="I43" s="1615">
        <v>0</v>
      </c>
      <c r="J43" s="1615">
        <v>0</v>
      </c>
      <c r="K43" s="1615">
        <v>0</v>
      </c>
      <c r="L43" s="1615">
        <v>0</v>
      </c>
      <c r="M43" s="264">
        <f t="shared" si="4"/>
        <v>0</v>
      </c>
      <c r="N43" s="1636">
        <v>0</v>
      </c>
      <c r="O43" s="1615">
        <v>0</v>
      </c>
      <c r="P43" s="1635">
        <v>0</v>
      </c>
      <c r="Q43" s="370"/>
      <c r="R43" s="370"/>
      <c r="S43" s="370"/>
      <c r="T43" s="370"/>
      <c r="U43" s="370"/>
      <c r="V43" s="370"/>
      <c r="W43" s="370"/>
    </row>
    <row r="44" spans="1:23">
      <c r="A44" s="254" t="s">
        <v>2064</v>
      </c>
      <c r="B44" s="1636">
        <v>24087</v>
      </c>
      <c r="C44" s="1636">
        <v>31752</v>
      </c>
      <c r="D44" s="1636">
        <v>28467</v>
      </c>
      <c r="E44" s="1636">
        <v>39241</v>
      </c>
      <c r="F44" s="1636">
        <v>34292</v>
      </c>
      <c r="G44" s="1636">
        <v>33197</v>
      </c>
      <c r="H44" s="1636">
        <v>29737</v>
      </c>
      <c r="I44" s="1636">
        <v>30131</v>
      </c>
      <c r="J44" s="1636">
        <v>30657</v>
      </c>
      <c r="K44" s="1636">
        <v>39416</v>
      </c>
      <c r="L44" s="1636">
        <v>25664</v>
      </c>
      <c r="M44" s="264">
        <f t="shared" si="4"/>
        <v>91314</v>
      </c>
      <c r="N44" s="1636">
        <v>437955</v>
      </c>
      <c r="O44" s="1615">
        <v>445861</v>
      </c>
      <c r="P44" s="1635">
        <v>448435</v>
      </c>
      <c r="Q44" s="370"/>
      <c r="R44" s="370"/>
      <c r="S44" s="370"/>
      <c r="T44" s="370"/>
      <c r="U44" s="370"/>
      <c r="V44" s="370"/>
      <c r="W44" s="370"/>
    </row>
    <row r="45" spans="1:23">
      <c r="A45" s="254" t="s">
        <v>958</v>
      </c>
      <c r="B45" s="1636">
        <v>13518214</v>
      </c>
      <c r="C45" s="1615">
        <v>17819563</v>
      </c>
      <c r="D45" s="1615">
        <v>15976071</v>
      </c>
      <c r="E45" s="1615">
        <v>22022399</v>
      </c>
      <c r="F45" s="1615">
        <v>19245021</v>
      </c>
      <c r="G45" s="1615">
        <v>18630556</v>
      </c>
      <c r="H45" s="1615">
        <v>16688849</v>
      </c>
      <c r="I45" s="1615">
        <v>16910056</v>
      </c>
      <c r="J45" s="1615">
        <v>17204999</v>
      </c>
      <c r="K45" s="1615">
        <v>22120713</v>
      </c>
      <c r="L45" s="1615">
        <v>14403042</v>
      </c>
      <c r="M45" s="264">
        <f t="shared" si="4"/>
        <v>51246220</v>
      </c>
      <c r="N45" s="1636">
        <v>245785703</v>
      </c>
      <c r="O45" s="1615">
        <v>213188807</v>
      </c>
      <c r="P45" s="1635">
        <v>226568241</v>
      </c>
      <c r="Q45" s="370"/>
      <c r="R45" s="370"/>
      <c r="S45" s="370"/>
      <c r="T45" s="370"/>
      <c r="U45" s="370"/>
      <c r="V45" s="370"/>
      <c r="W45" s="370"/>
    </row>
    <row r="46" spans="1:23">
      <c r="A46" s="650" t="s">
        <v>1617</v>
      </c>
      <c r="B46" s="269">
        <f t="shared" ref="B46:P46" si="5">SUM(B36:B45)</f>
        <v>117340671</v>
      </c>
      <c r="C46" s="267">
        <f t="shared" si="5"/>
        <v>154017789</v>
      </c>
      <c r="D46" s="267">
        <f t="shared" si="5"/>
        <v>138298968</v>
      </c>
      <c r="E46" s="267">
        <f t="shared" si="5"/>
        <v>189856377</v>
      </c>
      <c r="F46" s="267">
        <f t="shared" si="5"/>
        <v>166173502</v>
      </c>
      <c r="G46" s="267">
        <f t="shared" si="5"/>
        <v>160933928</v>
      </c>
      <c r="H46" s="267">
        <f t="shared" si="5"/>
        <v>144376873</v>
      </c>
      <c r="I46" s="267">
        <f t="shared" si="5"/>
        <v>146263119</v>
      </c>
      <c r="J46" s="267">
        <f t="shared" si="5"/>
        <v>148778115</v>
      </c>
      <c r="K46" s="267">
        <f t="shared" si="5"/>
        <v>190694709</v>
      </c>
      <c r="L46" s="267">
        <f t="shared" si="5"/>
        <v>124885657</v>
      </c>
      <c r="M46" s="268">
        <f t="shared" si="5"/>
        <v>378124622</v>
      </c>
      <c r="N46" s="269">
        <f t="shared" si="5"/>
        <v>2059744330</v>
      </c>
      <c r="O46" s="267">
        <f t="shared" si="5"/>
        <v>2144448098</v>
      </c>
      <c r="P46" s="268">
        <f t="shared" si="5"/>
        <v>2300186807</v>
      </c>
      <c r="Q46" s="370"/>
      <c r="R46" s="370"/>
      <c r="S46" s="370"/>
      <c r="T46" s="370"/>
      <c r="U46" s="370"/>
      <c r="V46" s="370"/>
      <c r="W46" s="370"/>
    </row>
    <row r="47" spans="1:23" ht="5" customHeight="1">
      <c r="A47" s="817"/>
      <c r="B47" s="251"/>
      <c r="C47" s="207"/>
      <c r="D47" s="207"/>
      <c r="E47" s="207"/>
      <c r="F47" s="207"/>
      <c r="G47" s="207"/>
      <c r="H47" s="207"/>
      <c r="I47" s="207"/>
      <c r="J47" s="207"/>
      <c r="K47" s="207"/>
      <c r="L47" s="207"/>
      <c r="M47" s="264"/>
      <c r="N47" s="251"/>
      <c r="O47" s="207"/>
      <c r="P47" s="264"/>
      <c r="Q47" s="370"/>
      <c r="R47" s="370"/>
      <c r="S47" s="370"/>
      <c r="T47" s="370"/>
      <c r="U47" s="370"/>
      <c r="V47" s="370"/>
      <c r="W47" s="370"/>
    </row>
    <row r="48" spans="1:23">
      <c r="A48" s="650" t="s">
        <v>303</v>
      </c>
      <c r="B48" s="251"/>
      <c r="C48" s="207"/>
      <c r="D48" s="207"/>
      <c r="E48" s="207"/>
      <c r="F48" s="207"/>
      <c r="G48" s="207"/>
      <c r="H48" s="207"/>
      <c r="I48" s="207"/>
      <c r="J48" s="207"/>
      <c r="K48" s="207"/>
      <c r="L48" s="207"/>
      <c r="M48" s="264"/>
      <c r="N48" s="251"/>
      <c r="O48" s="207"/>
      <c r="P48" s="264"/>
      <c r="Q48" s="370"/>
      <c r="R48" s="370"/>
      <c r="S48" s="370"/>
      <c r="T48" s="370"/>
      <c r="U48" s="370"/>
      <c r="V48" s="370"/>
      <c r="W48" s="370"/>
    </row>
    <row r="49" spans="1:23">
      <c r="A49" s="254" t="str">
        <f>'A7-CFlow'!A24</f>
        <v>Capital assets</v>
      </c>
      <c r="B49" s="1636">
        <v>11157171</v>
      </c>
      <c r="C49" s="1615">
        <v>33471512</v>
      </c>
      <c r="D49" s="1615">
        <v>55785853</v>
      </c>
      <c r="E49" s="1615">
        <v>66943023</v>
      </c>
      <c r="F49" s="1615">
        <v>89257364</v>
      </c>
      <c r="G49" s="1615">
        <v>100414535</v>
      </c>
      <c r="H49" s="1615">
        <v>122505732</v>
      </c>
      <c r="I49" s="1615">
        <v>85575498</v>
      </c>
      <c r="J49" s="1615">
        <v>117485005</v>
      </c>
      <c r="K49" s="1615">
        <v>195250484</v>
      </c>
      <c r="L49" s="1615">
        <v>167357558</v>
      </c>
      <c r="M49" s="264">
        <f>N49-SUM(B49:L49)</f>
        <v>15394677</v>
      </c>
      <c r="N49" s="1636">
        <v>1060598412</v>
      </c>
      <c r="O49" s="1615">
        <v>1006269916</v>
      </c>
      <c r="P49" s="1635">
        <v>930377600</v>
      </c>
      <c r="Q49" s="370"/>
      <c r="R49" s="370"/>
      <c r="S49" s="370"/>
      <c r="T49" s="370"/>
      <c r="U49" s="370"/>
      <c r="V49" s="370"/>
      <c r="W49" s="370"/>
    </row>
    <row r="50" spans="1:23">
      <c r="A50" s="254" t="str">
        <f>'A7-CFlow'!A33</f>
        <v>Repayment of borrowing</v>
      </c>
      <c r="B50" s="1636">
        <v>0</v>
      </c>
      <c r="C50" s="1615">
        <v>0</v>
      </c>
      <c r="D50" s="1615">
        <v>0</v>
      </c>
      <c r="E50" s="1615">
        <v>0</v>
      </c>
      <c r="F50" s="1615">
        <v>0</v>
      </c>
      <c r="G50" s="1615">
        <v>0</v>
      </c>
      <c r="H50" s="1615">
        <v>0</v>
      </c>
      <c r="I50" s="1615">
        <v>0</v>
      </c>
      <c r="J50" s="1615">
        <v>0</v>
      </c>
      <c r="K50" s="1615">
        <v>0</v>
      </c>
      <c r="L50" s="1615">
        <v>0</v>
      </c>
      <c r="M50" s="264">
        <f>N50-SUM(B50:L50)</f>
        <v>0</v>
      </c>
      <c r="N50" s="2534">
        <v>0</v>
      </c>
      <c r="O50" s="1615">
        <v>0</v>
      </c>
      <c r="P50" s="1635">
        <v>0</v>
      </c>
      <c r="Q50" s="370"/>
      <c r="R50" s="370"/>
      <c r="S50" s="370"/>
      <c r="T50" s="370"/>
      <c r="U50" s="370"/>
      <c r="V50" s="370"/>
      <c r="W50" s="370"/>
    </row>
    <row r="51" spans="1:23">
      <c r="A51" s="254" t="str">
        <f>LEFT(A48,25)</f>
        <v>Other Cash Flows/Payments</v>
      </c>
      <c r="B51" s="1636">
        <v>0</v>
      </c>
      <c r="C51" s="1615">
        <v>0</v>
      </c>
      <c r="D51" s="1615">
        <v>0</v>
      </c>
      <c r="E51" s="1615">
        <v>0</v>
      </c>
      <c r="F51" s="1615">
        <v>0</v>
      </c>
      <c r="G51" s="1615">
        <v>0</v>
      </c>
      <c r="H51" s="1615">
        <v>0</v>
      </c>
      <c r="I51" s="1615">
        <v>0</v>
      </c>
      <c r="J51" s="1615">
        <v>0</v>
      </c>
      <c r="K51" s="1615">
        <v>0</v>
      </c>
      <c r="L51" s="1615">
        <v>0</v>
      </c>
      <c r="M51" s="264">
        <f>N51-SUM(B51:L51)</f>
        <v>0</v>
      </c>
      <c r="N51" s="1636">
        <v>0</v>
      </c>
      <c r="O51" s="1615">
        <v>0</v>
      </c>
      <c r="P51" s="1635">
        <v>0</v>
      </c>
      <c r="Q51" s="370"/>
      <c r="R51" s="370"/>
      <c r="S51" s="370"/>
      <c r="T51" s="370"/>
      <c r="U51" s="370"/>
      <c r="V51" s="370"/>
      <c r="W51" s="370"/>
    </row>
    <row r="52" spans="1:23">
      <c r="A52" s="811" t="s">
        <v>716</v>
      </c>
      <c r="B52" s="815">
        <f>SUM(B46:B51)</f>
        <v>128497842</v>
      </c>
      <c r="C52" s="813">
        <f t="shared" ref="C52:P52" si="6">SUM(C46:C51)</f>
        <v>187489301</v>
      </c>
      <c r="D52" s="813">
        <f t="shared" si="6"/>
        <v>194084821</v>
      </c>
      <c r="E52" s="813">
        <f t="shared" si="6"/>
        <v>256799400</v>
      </c>
      <c r="F52" s="813">
        <f t="shared" si="6"/>
        <v>255430866</v>
      </c>
      <c r="G52" s="813">
        <f t="shared" si="6"/>
        <v>261348463</v>
      </c>
      <c r="H52" s="813">
        <f t="shared" si="6"/>
        <v>266882605</v>
      </c>
      <c r="I52" s="813">
        <f t="shared" si="6"/>
        <v>231838617</v>
      </c>
      <c r="J52" s="813">
        <f t="shared" si="6"/>
        <v>266263120</v>
      </c>
      <c r="K52" s="813">
        <f t="shared" si="6"/>
        <v>385945193</v>
      </c>
      <c r="L52" s="813">
        <f t="shared" si="6"/>
        <v>292243215</v>
      </c>
      <c r="M52" s="814">
        <f t="shared" si="6"/>
        <v>393519299</v>
      </c>
      <c r="N52" s="815">
        <f t="shared" si="6"/>
        <v>3120342742</v>
      </c>
      <c r="O52" s="813">
        <f t="shared" si="6"/>
        <v>3150718014</v>
      </c>
      <c r="P52" s="814">
        <f t="shared" si="6"/>
        <v>3230564407</v>
      </c>
      <c r="Q52" s="370"/>
      <c r="R52" s="883" t="s">
        <v>549</v>
      </c>
      <c r="S52" s="370"/>
      <c r="T52" s="370"/>
      <c r="U52" s="370"/>
      <c r="V52" s="370"/>
      <c r="W52" s="370"/>
    </row>
    <row r="53" spans="1:23" ht="5" customHeight="1">
      <c r="A53" s="817"/>
      <c r="B53" s="251"/>
      <c r="C53" s="207"/>
      <c r="D53" s="207"/>
      <c r="E53" s="207"/>
      <c r="F53" s="207"/>
      <c r="G53" s="207"/>
      <c r="H53" s="207"/>
      <c r="I53" s="207"/>
      <c r="J53" s="207"/>
      <c r="K53" s="207"/>
      <c r="L53" s="207"/>
      <c r="M53" s="264"/>
      <c r="N53" s="251"/>
      <c r="O53" s="207"/>
      <c r="P53" s="264"/>
      <c r="Q53" s="370"/>
      <c r="R53" s="370"/>
      <c r="S53" s="370"/>
      <c r="T53" s="370"/>
      <c r="U53" s="370"/>
      <c r="V53" s="370"/>
      <c r="W53" s="370"/>
    </row>
    <row r="54" spans="1:23" s="769" customFormat="1" ht="11" thickBot="1">
      <c r="A54" s="884" t="s">
        <v>399</v>
      </c>
      <c r="B54" s="885">
        <f t="shared" ref="B54:P54" si="7">B33-B52</f>
        <v>225075440</v>
      </c>
      <c r="C54" s="886">
        <f t="shared" si="7"/>
        <v>-3091827</v>
      </c>
      <c r="D54" s="886">
        <f t="shared" si="7"/>
        <v>-40250467</v>
      </c>
      <c r="E54" s="886">
        <f t="shared" si="7"/>
        <v>180063937</v>
      </c>
      <c r="F54" s="886">
        <f t="shared" si="7"/>
        <v>12972282</v>
      </c>
      <c r="G54" s="886">
        <f t="shared" si="7"/>
        <v>-68800824</v>
      </c>
      <c r="H54" s="886">
        <f t="shared" si="7"/>
        <v>34875476</v>
      </c>
      <c r="I54" s="886">
        <f t="shared" si="7"/>
        <v>-78208016</v>
      </c>
      <c r="J54" s="886">
        <f t="shared" si="7"/>
        <v>105369645</v>
      </c>
      <c r="K54" s="886">
        <f t="shared" si="7"/>
        <v>-206641574</v>
      </c>
      <c r="L54" s="886">
        <f t="shared" si="7"/>
        <v>-96639265</v>
      </c>
      <c r="M54" s="887">
        <f t="shared" si="7"/>
        <v>-225128185</v>
      </c>
      <c r="N54" s="885">
        <f t="shared" si="7"/>
        <v>-160403378</v>
      </c>
      <c r="O54" s="886">
        <f t="shared" si="7"/>
        <v>1595334</v>
      </c>
      <c r="P54" s="887">
        <f t="shared" si="7"/>
        <v>141756707</v>
      </c>
      <c r="Q54" s="888"/>
      <c r="R54" s="889"/>
      <c r="S54" s="890"/>
      <c r="T54" s="891"/>
      <c r="U54" s="891"/>
      <c r="V54" s="891"/>
      <c r="W54" s="891"/>
    </row>
    <row r="55" spans="1:23" ht="10.5" customHeight="1">
      <c r="A55" s="817" t="s">
        <v>964</v>
      </c>
      <c r="B55" s="1935">
        <v>909671924.5790422</v>
      </c>
      <c r="C55" s="365">
        <f>B56</f>
        <v>1134747364.5790422</v>
      </c>
      <c r="D55" s="365">
        <f t="shared" ref="D55:M55" si="8">C56</f>
        <v>1131655537.5790422</v>
      </c>
      <c r="E55" s="365">
        <f t="shared" si="8"/>
        <v>1091405070.5790422</v>
      </c>
      <c r="F55" s="365">
        <f t="shared" si="8"/>
        <v>1271469007.5790422</v>
      </c>
      <c r="G55" s="365">
        <f t="shared" si="8"/>
        <v>1284441289.5790422</v>
      </c>
      <c r="H55" s="365">
        <f t="shared" si="8"/>
        <v>1215640465.5790422</v>
      </c>
      <c r="I55" s="365">
        <f t="shared" si="8"/>
        <v>1250515941.5790422</v>
      </c>
      <c r="J55" s="365">
        <f t="shared" si="8"/>
        <v>1172307925.5790422</v>
      </c>
      <c r="K55" s="365">
        <f t="shared" si="8"/>
        <v>1277677570.5790422</v>
      </c>
      <c r="L55" s="365">
        <f t="shared" si="8"/>
        <v>1071035996.5790422</v>
      </c>
      <c r="M55" s="366">
        <f t="shared" si="8"/>
        <v>974396731.5790422</v>
      </c>
      <c r="N55" s="367">
        <f>B55</f>
        <v>909671924.5790422</v>
      </c>
      <c r="O55" s="365">
        <f>N56</f>
        <v>749268546.5790422</v>
      </c>
      <c r="P55" s="366">
        <f>O56</f>
        <v>750863880.5790422</v>
      </c>
      <c r="Q55" s="370"/>
      <c r="R55" s="370"/>
      <c r="S55" s="370"/>
      <c r="T55" s="370"/>
      <c r="U55" s="370"/>
      <c r="V55" s="370"/>
      <c r="W55" s="370"/>
    </row>
    <row r="56" spans="1:23" ht="10.5" customHeight="1">
      <c r="A56" s="892" t="s">
        <v>963</v>
      </c>
      <c r="B56" s="893">
        <f>B55+B54</f>
        <v>1134747364.5790422</v>
      </c>
      <c r="C56" s="894">
        <f>C55+C54</f>
        <v>1131655537.5790422</v>
      </c>
      <c r="D56" s="894">
        <f t="shared" ref="D56:P56" si="9">D55+D54</f>
        <v>1091405070.5790422</v>
      </c>
      <c r="E56" s="894">
        <f t="shared" si="9"/>
        <v>1271469007.5790422</v>
      </c>
      <c r="F56" s="894">
        <f t="shared" si="9"/>
        <v>1284441289.5790422</v>
      </c>
      <c r="G56" s="894">
        <f t="shared" si="9"/>
        <v>1215640465.5790422</v>
      </c>
      <c r="H56" s="894">
        <f t="shared" si="9"/>
        <v>1250515941.5790422</v>
      </c>
      <c r="I56" s="894">
        <f t="shared" si="9"/>
        <v>1172307925.5790422</v>
      </c>
      <c r="J56" s="894">
        <f t="shared" si="9"/>
        <v>1277677570.5790422</v>
      </c>
      <c r="K56" s="894">
        <f t="shared" si="9"/>
        <v>1071035996.5790422</v>
      </c>
      <c r="L56" s="894">
        <f t="shared" si="9"/>
        <v>974396731.5790422</v>
      </c>
      <c r="M56" s="895">
        <f t="shared" si="9"/>
        <v>749268546.5790422</v>
      </c>
      <c r="N56" s="893">
        <f t="shared" si="9"/>
        <v>749268546.5790422</v>
      </c>
      <c r="O56" s="894">
        <f t="shared" si="9"/>
        <v>750863880.5790422</v>
      </c>
      <c r="P56" s="895">
        <f t="shared" si="9"/>
        <v>892620587.5790422</v>
      </c>
      <c r="Q56" s="370"/>
      <c r="R56" s="370"/>
      <c r="S56" s="370"/>
      <c r="T56" s="370"/>
      <c r="U56" s="370"/>
      <c r="V56" s="370"/>
      <c r="W56" s="370"/>
    </row>
    <row r="57" spans="1:23" ht="10.5" customHeight="1">
      <c r="A57" s="1193" t="str">
        <f>head27a</f>
        <v>References</v>
      </c>
      <c r="B57" s="370"/>
      <c r="C57" s="370"/>
      <c r="D57" s="370"/>
      <c r="E57" s="370"/>
      <c r="F57" s="370"/>
      <c r="G57" s="370"/>
      <c r="H57" s="370"/>
      <c r="I57" s="370"/>
      <c r="J57" s="370"/>
      <c r="K57" s="370"/>
      <c r="L57" s="370"/>
      <c r="M57" s="370"/>
      <c r="N57" s="370"/>
      <c r="O57" s="370"/>
      <c r="P57" s="370"/>
      <c r="Q57" s="370"/>
      <c r="R57" s="370"/>
      <c r="S57" s="370"/>
      <c r="T57" s="370"/>
      <c r="U57" s="370"/>
      <c r="V57" s="370"/>
      <c r="W57" s="370"/>
    </row>
    <row r="58" spans="1:23" ht="10.5" customHeight="1">
      <c r="A58" s="1195" t="s">
        <v>823</v>
      </c>
      <c r="B58" s="370"/>
      <c r="C58" s="370"/>
      <c r="D58" s="370"/>
      <c r="E58" s="370"/>
      <c r="F58" s="370"/>
      <c r="G58" s="370"/>
      <c r="H58" s="370"/>
      <c r="I58" s="370"/>
      <c r="J58" s="370"/>
      <c r="K58" s="370"/>
      <c r="L58" s="370"/>
      <c r="M58" s="370"/>
      <c r="N58" s="370"/>
      <c r="O58" s="370"/>
      <c r="P58" s="370"/>
      <c r="Q58" s="370"/>
      <c r="R58" s="370"/>
      <c r="S58" s="370"/>
      <c r="T58" s="370"/>
      <c r="U58" s="370"/>
      <c r="V58" s="370"/>
      <c r="W58" s="370"/>
    </row>
    <row r="59" spans="1:23" ht="10.5" customHeight="1">
      <c r="A59" s="370"/>
      <c r="B59" s="370"/>
      <c r="C59" s="370"/>
      <c r="D59" s="370"/>
      <c r="E59" s="370"/>
      <c r="F59" s="370"/>
      <c r="G59" s="370"/>
      <c r="H59" s="370"/>
      <c r="I59" s="370"/>
      <c r="J59" s="370"/>
      <c r="K59" s="370"/>
      <c r="L59" s="370"/>
      <c r="M59" s="370"/>
      <c r="N59" s="370"/>
      <c r="O59" s="370"/>
      <c r="P59" s="370"/>
      <c r="Q59" s="370"/>
      <c r="R59" s="370"/>
      <c r="S59" s="370"/>
      <c r="T59" s="370"/>
      <c r="U59" s="370"/>
      <c r="V59" s="370"/>
      <c r="W59" s="370"/>
    </row>
    <row r="60" spans="1:23" ht="10.5" customHeight="1">
      <c r="A60" s="370"/>
      <c r="B60" s="370"/>
      <c r="C60" s="370"/>
      <c r="D60" s="370"/>
      <c r="E60" s="370"/>
      <c r="F60" s="370"/>
      <c r="G60" s="370"/>
      <c r="H60" s="370"/>
      <c r="I60" s="370"/>
      <c r="J60" s="370"/>
      <c r="K60" s="370"/>
      <c r="L60" s="370"/>
      <c r="M60" s="370"/>
      <c r="N60" s="370"/>
      <c r="O60" s="370"/>
      <c r="P60" s="370"/>
      <c r="Q60" s="370"/>
      <c r="R60" s="370"/>
      <c r="S60" s="370"/>
      <c r="T60" s="370"/>
      <c r="U60" s="370"/>
      <c r="V60" s="370"/>
      <c r="W60" s="370"/>
    </row>
    <row r="61" spans="1:23">
      <c r="A61" s="370"/>
      <c r="B61" s="370"/>
      <c r="C61" s="370"/>
      <c r="D61" s="370"/>
      <c r="E61" s="370"/>
      <c r="F61" s="370"/>
      <c r="G61" s="370"/>
      <c r="H61" s="370"/>
      <c r="I61" s="370"/>
      <c r="J61" s="370"/>
      <c r="K61" s="370"/>
      <c r="L61" s="370"/>
      <c r="M61" s="370"/>
      <c r="N61" s="370"/>
      <c r="O61" s="370"/>
      <c r="P61" s="370"/>
      <c r="Q61" s="370"/>
      <c r="R61" s="370"/>
      <c r="S61" s="370"/>
      <c r="T61" s="370"/>
      <c r="U61" s="370"/>
      <c r="V61" s="370"/>
      <c r="W61" s="370"/>
    </row>
    <row r="62" spans="1:23">
      <c r="A62" s="370"/>
      <c r="B62" s="370"/>
      <c r="C62" s="370"/>
      <c r="D62" s="370"/>
      <c r="E62" s="363"/>
      <c r="F62" s="363"/>
      <c r="G62" s="363"/>
      <c r="H62" s="363"/>
      <c r="I62" s="363"/>
      <c r="J62" s="363"/>
      <c r="K62" s="363"/>
      <c r="L62" s="363"/>
      <c r="M62" s="363"/>
      <c r="N62" s="370"/>
      <c r="O62" s="370"/>
      <c r="P62" s="370"/>
      <c r="Q62" s="370"/>
      <c r="R62" s="370"/>
      <c r="S62" s="370"/>
      <c r="T62" s="370"/>
      <c r="U62" s="370"/>
      <c r="V62" s="370"/>
      <c r="W62" s="370"/>
    </row>
    <row r="63" spans="1:23">
      <c r="A63" s="370"/>
      <c r="B63" s="370"/>
      <c r="C63" s="370"/>
      <c r="D63" s="370"/>
      <c r="E63" s="834">
        <f t="shared" ref="E63:P63" si="10">E46+E62</f>
        <v>189856377</v>
      </c>
      <c r="F63" s="834">
        <f t="shared" si="10"/>
        <v>166173502</v>
      </c>
      <c r="G63" s="834">
        <f t="shared" si="10"/>
        <v>160933928</v>
      </c>
      <c r="H63" s="834">
        <f t="shared" si="10"/>
        <v>144376873</v>
      </c>
      <c r="I63" s="834">
        <f t="shared" si="10"/>
        <v>146263119</v>
      </c>
      <c r="J63" s="834">
        <f t="shared" si="10"/>
        <v>148778115</v>
      </c>
      <c r="K63" s="834">
        <f t="shared" si="10"/>
        <v>190694709</v>
      </c>
      <c r="L63" s="834">
        <f t="shared" si="10"/>
        <v>124885657</v>
      </c>
      <c r="M63" s="834">
        <f t="shared" si="10"/>
        <v>378124622</v>
      </c>
      <c r="N63" s="834">
        <f t="shared" si="10"/>
        <v>2059744330</v>
      </c>
      <c r="O63" s="834">
        <f t="shared" si="10"/>
        <v>2144448098</v>
      </c>
      <c r="P63" s="834">
        <f t="shared" si="10"/>
        <v>2300186807</v>
      </c>
      <c r="Q63" s="370"/>
      <c r="R63" s="370"/>
      <c r="S63" s="370"/>
      <c r="T63" s="370"/>
      <c r="U63" s="370"/>
      <c r="V63" s="370"/>
      <c r="W63" s="370"/>
    </row>
    <row r="64" spans="1:23">
      <c r="A64" s="370"/>
      <c r="B64" s="370"/>
      <c r="C64" s="370"/>
      <c r="D64" s="370"/>
      <c r="E64" s="834">
        <f t="shared" ref="E64:P64" si="11">E54-E62</f>
        <v>180063937</v>
      </c>
      <c r="F64" s="834">
        <f t="shared" si="11"/>
        <v>12972282</v>
      </c>
      <c r="G64" s="834">
        <f t="shared" si="11"/>
        <v>-68800824</v>
      </c>
      <c r="H64" s="834">
        <f t="shared" si="11"/>
        <v>34875476</v>
      </c>
      <c r="I64" s="834">
        <f t="shared" si="11"/>
        <v>-78208016</v>
      </c>
      <c r="J64" s="834">
        <f t="shared" si="11"/>
        <v>105369645</v>
      </c>
      <c r="K64" s="834">
        <f t="shared" si="11"/>
        <v>-206641574</v>
      </c>
      <c r="L64" s="834">
        <f t="shared" si="11"/>
        <v>-96639265</v>
      </c>
      <c r="M64" s="834">
        <f t="shared" si="11"/>
        <v>-225128185</v>
      </c>
      <c r="N64" s="834">
        <f t="shared" si="11"/>
        <v>-160403378</v>
      </c>
      <c r="O64" s="834">
        <f t="shared" si="11"/>
        <v>1595334</v>
      </c>
      <c r="P64" s="834">
        <f t="shared" si="11"/>
        <v>141756707</v>
      </c>
      <c r="Q64" s="370"/>
      <c r="R64" s="370"/>
      <c r="S64" s="370"/>
      <c r="T64" s="370"/>
      <c r="U64" s="370"/>
      <c r="V64" s="370"/>
      <c r="W64" s="370"/>
    </row>
    <row r="65" spans="1:23">
      <c r="A65" s="370"/>
      <c r="B65" s="370"/>
      <c r="C65" s="370"/>
      <c r="D65" s="370"/>
      <c r="E65" s="370"/>
      <c r="F65" s="370"/>
      <c r="G65" s="370"/>
      <c r="H65" s="370"/>
      <c r="I65" s="370"/>
      <c r="J65" s="370"/>
      <c r="K65" s="370"/>
      <c r="L65" s="370"/>
      <c r="M65" s="370"/>
      <c r="N65" s="370"/>
      <c r="O65" s="370"/>
      <c r="P65" s="370"/>
      <c r="Q65" s="370"/>
      <c r="R65" s="370"/>
      <c r="S65" s="370"/>
      <c r="T65" s="370"/>
      <c r="U65" s="370"/>
      <c r="V65" s="370"/>
      <c r="W65" s="370"/>
    </row>
    <row r="66" spans="1:23">
      <c r="A66" s="370"/>
      <c r="B66" s="370"/>
      <c r="C66" s="370"/>
      <c r="D66" s="370"/>
      <c r="E66" s="370"/>
      <c r="F66" s="370"/>
      <c r="G66" s="370"/>
      <c r="H66" s="370"/>
      <c r="I66" s="370"/>
      <c r="J66" s="370"/>
      <c r="K66" s="370"/>
      <c r="L66" s="370"/>
      <c r="M66" s="370"/>
      <c r="N66" s="370"/>
      <c r="O66" s="370"/>
      <c r="P66" s="370"/>
      <c r="Q66" s="370"/>
      <c r="R66" s="370"/>
      <c r="S66" s="370"/>
      <c r="T66" s="370"/>
      <c r="U66" s="370"/>
      <c r="V66" s="370"/>
      <c r="W66" s="370"/>
    </row>
    <row r="67" spans="1:23">
      <c r="A67" s="370"/>
      <c r="B67" s="370"/>
      <c r="C67" s="370"/>
      <c r="D67" s="370"/>
      <c r="E67" s="370"/>
      <c r="F67" s="370"/>
      <c r="G67" s="370"/>
      <c r="H67" s="370"/>
      <c r="I67" s="370"/>
      <c r="J67" s="370"/>
      <c r="K67" s="370"/>
      <c r="L67" s="370"/>
      <c r="M67" s="370"/>
      <c r="N67" s="370"/>
      <c r="O67" s="370"/>
      <c r="P67" s="370"/>
      <c r="Q67" s="370"/>
      <c r="R67" s="370"/>
      <c r="S67" s="370"/>
      <c r="T67" s="370"/>
      <c r="U67" s="370"/>
      <c r="V67" s="370"/>
      <c r="W67" s="370"/>
    </row>
    <row r="68" spans="1:23">
      <c r="A68" s="370"/>
      <c r="B68" s="370"/>
      <c r="C68" s="370"/>
      <c r="D68" s="370"/>
      <c r="E68" s="370"/>
      <c r="F68" s="370"/>
      <c r="G68" s="370"/>
      <c r="H68" s="370"/>
      <c r="I68" s="370"/>
      <c r="J68" s="370"/>
      <c r="K68" s="370"/>
      <c r="L68" s="370"/>
      <c r="M68" s="370"/>
      <c r="N68" s="370"/>
      <c r="O68" s="370"/>
      <c r="P68" s="370"/>
      <c r="Q68" s="370"/>
      <c r="R68" s="370"/>
      <c r="S68" s="370"/>
      <c r="T68" s="370"/>
      <c r="U68" s="370"/>
      <c r="V68" s="370"/>
      <c r="W68" s="370"/>
    </row>
    <row r="69" spans="1:23">
      <c r="A69" s="370"/>
      <c r="B69" s="370"/>
      <c r="C69" s="370"/>
      <c r="D69" s="370"/>
      <c r="E69" s="370"/>
      <c r="F69" s="370"/>
      <c r="G69" s="370"/>
      <c r="H69" s="370"/>
      <c r="I69" s="370"/>
      <c r="J69" s="370"/>
      <c r="K69" s="370"/>
      <c r="L69" s="370"/>
      <c r="M69" s="370"/>
      <c r="N69" s="370"/>
      <c r="O69" s="370"/>
      <c r="P69" s="370"/>
      <c r="Q69" s="370"/>
      <c r="R69" s="370"/>
      <c r="S69" s="370"/>
      <c r="T69" s="370"/>
      <c r="U69" s="370"/>
      <c r="V69" s="370"/>
      <c r="W69" s="370"/>
    </row>
    <row r="189" spans="2:44">
      <c r="B189" s="245"/>
      <c r="C189" s="245"/>
      <c r="D189" s="245"/>
      <c r="E189" s="245"/>
      <c r="F189" s="245"/>
      <c r="G189" s="245"/>
      <c r="H189" s="245"/>
      <c r="I189" s="245"/>
      <c r="J189" s="245"/>
      <c r="K189" s="245"/>
      <c r="L189" s="245"/>
      <c r="N189" s="310"/>
      <c r="O189" s="310"/>
      <c r="P189" s="310"/>
      <c r="Q189" s="310"/>
      <c r="R189" s="310"/>
      <c r="S189" s="310"/>
      <c r="AH189" s="310"/>
      <c r="AI189" s="310"/>
      <c r="AJ189" s="310"/>
      <c r="AK189" s="310"/>
      <c r="AL189" s="310"/>
      <c r="AM189" s="310"/>
      <c r="AN189" s="310"/>
      <c r="AO189" s="310"/>
      <c r="AP189" s="310"/>
      <c r="AQ189" s="310"/>
      <c r="AR189" s="310"/>
    </row>
    <row r="190" spans="2:44">
      <c r="N190" s="310"/>
      <c r="O190" s="310"/>
      <c r="P190" s="310"/>
      <c r="Q190" s="310"/>
      <c r="R190" s="310"/>
      <c r="S190" s="310"/>
      <c r="AH190" s="310"/>
      <c r="AI190" s="310"/>
      <c r="AJ190" s="310"/>
      <c r="AK190" s="310"/>
      <c r="AL190" s="310"/>
      <c r="AM190" s="310"/>
      <c r="AN190" s="310"/>
      <c r="AO190" s="310"/>
      <c r="AP190" s="310"/>
      <c r="AQ190" s="310"/>
      <c r="AR190" s="310"/>
    </row>
    <row r="191" spans="2:44">
      <c r="N191" s="310"/>
      <c r="O191" s="310"/>
      <c r="P191" s="310"/>
      <c r="Q191" s="310"/>
      <c r="R191" s="310"/>
      <c r="S191" s="310"/>
      <c r="AH191" s="310"/>
      <c r="AI191" s="310"/>
      <c r="AJ191" s="310"/>
      <c r="AK191" s="310"/>
      <c r="AL191" s="310"/>
      <c r="AM191" s="310"/>
      <c r="AN191" s="310"/>
      <c r="AO191" s="310"/>
      <c r="AP191" s="310"/>
      <c r="AQ191" s="310"/>
      <c r="AR191" s="310"/>
    </row>
  </sheetData>
  <sheetProtection sheet="1" objects="1" scenarios="1"/>
  <mergeCells count="2">
    <mergeCell ref="N2:P2"/>
    <mergeCell ref="B2:M2"/>
  </mergeCells>
  <phoneticPr fontId="5" type="noConversion"/>
  <printOptions horizontalCentered="1"/>
  <pageMargins left="0" right="0" top="0.196850393700787" bottom="0.196850393700787" header="0.511811023622047" footer="0.511811023622047"/>
  <headerFooter alignWithMargins="0"/>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enableFormatConditionsCalculation="0">
    <tabColor indexed="42"/>
    <pageSetUpPr fitToPage="1"/>
  </sheetPr>
  <dimension ref="A1:O42"/>
  <sheetViews>
    <sheetView showGridLines="0" workbookViewId="0">
      <pane xSplit="1" ySplit="3" topLeftCell="B10" activePane="bottomRight" state="frozen"/>
      <selection pane="topRight"/>
      <selection pane="bottomLeft"/>
      <selection pane="bottomRight" activeCell="I25" sqref="I25"/>
    </sheetView>
  </sheetViews>
  <sheetFormatPr baseColWidth="10" defaultColWidth="8.83203125" defaultRowHeight="10" x14ac:dyDescent="0"/>
  <cols>
    <col min="1" max="1" width="30.6640625" style="149" customWidth="1"/>
    <col min="2" max="2" width="4.5" style="149" customWidth="1"/>
    <col min="3" max="11" width="9.33203125" style="149" customWidth="1"/>
    <col min="12" max="12" width="8.6640625" style="149" customWidth="1"/>
    <col min="13" max="15" width="7.6640625" style="149" customWidth="1"/>
    <col min="16" max="16384" width="8.83203125" style="149"/>
  </cols>
  <sheetData>
    <row r="1" spans="1:11" ht="13.5" customHeight="1">
      <c r="A1" s="147" t="str">
        <f>muni&amp;" - "&amp; TableA31</f>
        <v>NW373 Rustenburg - Supporting Table SA31 Aggregated entity budget</v>
      </c>
      <c r="B1" s="147"/>
      <c r="C1" s="147"/>
      <c r="D1" s="147"/>
      <c r="E1" s="147"/>
      <c r="F1" s="147"/>
      <c r="G1" s="147"/>
      <c r="H1" s="147"/>
      <c r="I1" s="147"/>
      <c r="J1" s="147"/>
      <c r="K1" s="147"/>
    </row>
    <row r="2" spans="1:11" ht="28.5" customHeight="1">
      <c r="A2" s="1002" t="str">
        <f>desc</f>
        <v>Description</v>
      </c>
      <c r="B2" s="2821" t="str">
        <f>head27</f>
        <v>Ref</v>
      </c>
      <c r="C2" s="896" t="str">
        <f>head1b</f>
        <v>2009/10</v>
      </c>
      <c r="D2" s="756" t="str">
        <f>head1A</f>
        <v>2010/11</v>
      </c>
      <c r="E2" s="146" t="str">
        <f>Head1</f>
        <v>2011/12</v>
      </c>
      <c r="F2" s="2765" t="str">
        <f>Head2</f>
        <v>Current Year 2012/13</v>
      </c>
      <c r="G2" s="2766"/>
      <c r="H2" s="2770"/>
      <c r="I2" s="2762" t="str">
        <f>Head3</f>
        <v>2013/14 Medium Term Revenue &amp; Expenditure Framework</v>
      </c>
      <c r="J2" s="2763"/>
      <c r="K2" s="2764"/>
    </row>
    <row r="3" spans="1:11" ht="20">
      <c r="A3" s="180" t="s">
        <v>666</v>
      </c>
      <c r="B3" s="2822"/>
      <c r="C3" s="988" t="str">
        <f>Head5</f>
        <v>Audited Outcome</v>
      </c>
      <c r="D3" s="999"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1" ht="12.75" customHeight="1">
      <c r="A4" s="919" t="s">
        <v>1370</v>
      </c>
      <c r="B4" s="249"/>
      <c r="C4" s="898"/>
      <c r="D4" s="163"/>
      <c r="E4" s="164"/>
      <c r="F4" s="162"/>
      <c r="G4" s="163"/>
      <c r="H4" s="611"/>
      <c r="I4" s="898"/>
      <c r="J4" s="163"/>
      <c r="K4" s="164"/>
    </row>
    <row r="5" spans="1:11">
      <c r="A5" s="900" t="str">
        <f>'A1-Sum'!A5</f>
        <v>Property rates</v>
      </c>
      <c r="B5" s="250"/>
      <c r="C5" s="1936"/>
      <c r="D5" s="1859"/>
      <c r="E5" s="1860"/>
      <c r="F5" s="1861"/>
      <c r="G5" s="1859"/>
      <c r="H5" s="1863"/>
      <c r="I5" s="1936"/>
      <c r="J5" s="1859"/>
      <c r="K5" s="1860"/>
    </row>
    <row r="6" spans="1:11">
      <c r="A6" s="900" t="str">
        <f>'A1-Sum'!A6</f>
        <v>Service charges</v>
      </c>
      <c r="B6" s="250"/>
      <c r="C6" s="1936"/>
      <c r="D6" s="1859"/>
      <c r="E6" s="1860"/>
      <c r="F6" s="1861">
        <v>119277932</v>
      </c>
      <c r="G6" s="1859">
        <v>119277932</v>
      </c>
      <c r="H6" s="1863">
        <v>119277932</v>
      </c>
      <c r="I6" s="1936">
        <v>157321052</v>
      </c>
      <c r="J6" s="1859">
        <v>167546920</v>
      </c>
      <c r="K6" s="1860">
        <v>230803875</v>
      </c>
    </row>
    <row r="7" spans="1:11">
      <c r="A7" s="900" t="str">
        <f>'A1-Sum'!A7</f>
        <v>Investment revenue</v>
      </c>
      <c r="B7" s="250"/>
      <c r="C7" s="1936"/>
      <c r="D7" s="1859"/>
      <c r="E7" s="1860"/>
      <c r="F7" s="1861">
        <v>4016026</v>
      </c>
      <c r="G7" s="1859">
        <v>4016026</v>
      </c>
      <c r="H7" s="1863">
        <v>4016026</v>
      </c>
      <c r="I7" s="1936">
        <v>5358299</v>
      </c>
      <c r="J7" s="1859">
        <v>5706588</v>
      </c>
      <c r="K7" s="1860">
        <v>6077516</v>
      </c>
    </row>
    <row r="8" spans="1:11">
      <c r="A8" s="900" t="str">
        <f>'A1-Sum'!A8</f>
        <v>Transfers recognised - operational</v>
      </c>
      <c r="B8" s="250"/>
      <c r="C8" s="1936"/>
      <c r="D8" s="1859"/>
      <c r="E8" s="1860"/>
      <c r="F8" s="1861"/>
      <c r="G8" s="1859"/>
      <c r="H8" s="1863"/>
      <c r="I8" s="1936"/>
      <c r="J8" s="1859"/>
      <c r="K8" s="1860"/>
    </row>
    <row r="9" spans="1:11">
      <c r="A9" s="900" t="str">
        <f>'A1-Sum'!A9</f>
        <v>Other own revenue</v>
      </c>
      <c r="B9" s="250"/>
      <c r="C9" s="1936"/>
      <c r="D9" s="1859"/>
      <c r="E9" s="1860"/>
      <c r="F9" s="1861"/>
      <c r="G9" s="1859"/>
      <c r="H9" s="1863"/>
      <c r="I9" s="1936"/>
      <c r="J9" s="1859"/>
      <c r="K9" s="1860"/>
    </row>
    <row r="10" spans="1:11">
      <c r="A10" s="900" t="str">
        <f>'A1-Sum'!A21</f>
        <v>Contributions recognised - capital &amp; contributed assets</v>
      </c>
      <c r="B10" s="250"/>
      <c r="C10" s="1936"/>
      <c r="D10" s="1859"/>
      <c r="E10" s="1860"/>
      <c r="F10" s="1861"/>
      <c r="G10" s="1859"/>
      <c r="H10" s="1863"/>
      <c r="I10" s="1936"/>
      <c r="J10" s="1859"/>
      <c r="K10" s="1860"/>
    </row>
    <row r="11" spans="1:11">
      <c r="A11" s="901" t="str">
        <f>'A4-FinPerf RE'!A22</f>
        <v>Total Revenue (excluding capital transfers and contributions)</v>
      </c>
      <c r="B11" s="265"/>
      <c r="C11" s="902">
        <f>SUM(C5:C10)</f>
        <v>0</v>
      </c>
      <c r="D11" s="609">
        <f>SUM(D5:D10)</f>
        <v>0</v>
      </c>
      <c r="E11" s="610">
        <f t="shared" ref="E11:K11" si="0">SUM(E5:E10)</f>
        <v>0</v>
      </c>
      <c r="F11" s="903">
        <f t="shared" si="0"/>
        <v>123293958</v>
      </c>
      <c r="G11" s="609">
        <f t="shared" si="0"/>
        <v>123293958</v>
      </c>
      <c r="H11" s="904">
        <f t="shared" si="0"/>
        <v>123293958</v>
      </c>
      <c r="I11" s="902">
        <f t="shared" si="0"/>
        <v>162679351</v>
      </c>
      <c r="J11" s="609">
        <f t="shared" si="0"/>
        <v>173253508</v>
      </c>
      <c r="K11" s="610">
        <f t="shared" si="0"/>
        <v>236881391</v>
      </c>
    </row>
    <row r="12" spans="1:11">
      <c r="A12" s="900" t="str">
        <f>'A1-Sum'!A11</f>
        <v>Employee costs</v>
      </c>
      <c r="B12" s="250"/>
      <c r="C12" s="1936"/>
      <c r="D12" s="1859"/>
      <c r="E12" s="1860"/>
      <c r="F12" s="1861"/>
      <c r="G12" s="1859"/>
      <c r="H12" s="1863"/>
      <c r="I12" s="1936"/>
      <c r="J12" s="1859"/>
      <c r="K12" s="1860"/>
    </row>
    <row r="13" spans="1:11">
      <c r="A13" s="900" t="s">
        <v>955</v>
      </c>
      <c r="B13" s="250"/>
      <c r="C13" s="1936"/>
      <c r="D13" s="1859"/>
      <c r="E13" s="1860"/>
      <c r="F13" s="1861"/>
      <c r="G13" s="1859"/>
      <c r="H13" s="1863"/>
      <c r="I13" s="1936"/>
      <c r="J13" s="1859"/>
      <c r="K13" s="1860"/>
    </row>
    <row r="14" spans="1:11">
      <c r="A14" s="900" t="str">
        <f>'A1-Sum'!A13</f>
        <v>Depreciation &amp; asset impairment</v>
      </c>
      <c r="B14" s="250"/>
      <c r="C14" s="1936"/>
      <c r="D14" s="1859"/>
      <c r="E14" s="1860"/>
      <c r="F14" s="1861">
        <v>15579912</v>
      </c>
      <c r="G14" s="1859">
        <v>15579912</v>
      </c>
      <c r="H14" s="1863">
        <v>15579912</v>
      </c>
      <c r="I14" s="1936">
        <v>15579912</v>
      </c>
      <c r="J14" s="1859">
        <v>15579912</v>
      </c>
      <c r="K14" s="1860">
        <v>15579912</v>
      </c>
    </row>
    <row r="15" spans="1:11">
      <c r="A15" s="900" t="str">
        <f>'A1-Sum'!A14</f>
        <v>Finance charges</v>
      </c>
      <c r="B15" s="250"/>
      <c r="C15" s="1936"/>
      <c r="D15" s="1859"/>
      <c r="E15" s="1860"/>
      <c r="F15" s="1861">
        <v>27008812</v>
      </c>
      <c r="G15" s="1859">
        <v>27008812</v>
      </c>
      <c r="H15" s="1863">
        <v>27008812</v>
      </c>
      <c r="I15" s="1936">
        <v>26200135</v>
      </c>
      <c r="J15" s="1859">
        <v>24247862</v>
      </c>
      <c r="K15" s="1860">
        <v>62047980</v>
      </c>
    </row>
    <row r="16" spans="1:11">
      <c r="A16" s="900" t="str">
        <f>'A1-Sum'!A15</f>
        <v>Materials and bulk purchases</v>
      </c>
      <c r="B16" s="250"/>
      <c r="C16" s="1936"/>
      <c r="D16" s="1859"/>
      <c r="E16" s="1860"/>
      <c r="F16" s="1861"/>
      <c r="G16" s="1859"/>
      <c r="H16" s="1863"/>
      <c r="I16" s="1936"/>
      <c r="J16" s="1859"/>
      <c r="K16" s="1860"/>
    </row>
    <row r="17" spans="1:12">
      <c r="A17" s="900" t="str">
        <f>'A1-Sum'!A16</f>
        <v>Transfers and grants</v>
      </c>
      <c r="B17" s="250"/>
      <c r="C17" s="1936"/>
      <c r="D17" s="1859"/>
      <c r="E17" s="1860"/>
      <c r="F17" s="1861"/>
      <c r="G17" s="1859"/>
      <c r="H17" s="1863"/>
      <c r="I17" s="1936"/>
      <c r="J17" s="1859"/>
      <c r="K17" s="1860"/>
    </row>
    <row r="18" spans="1:12">
      <c r="A18" s="900" t="str">
        <f>'A1-Sum'!A17</f>
        <v>Other expenditure</v>
      </c>
      <c r="B18" s="250"/>
      <c r="C18" s="1936"/>
      <c r="D18" s="1859"/>
      <c r="E18" s="1860"/>
      <c r="F18" s="1861">
        <v>78056437</v>
      </c>
      <c r="G18" s="1861">
        <v>78056437</v>
      </c>
      <c r="H18" s="1861">
        <v>78056437</v>
      </c>
      <c r="I18" s="1936">
        <v>102335807</v>
      </c>
      <c r="J18" s="1859">
        <v>108987634</v>
      </c>
      <c r="K18" s="1860">
        <v>116071831</v>
      </c>
    </row>
    <row r="19" spans="1:12">
      <c r="A19" s="901" t="str">
        <f>'A4-FinPerf RE'!A36</f>
        <v>Total Expenditure</v>
      </c>
      <c r="B19" s="265"/>
      <c r="C19" s="905">
        <f>SUM(C12:C18)</f>
        <v>0</v>
      </c>
      <c r="D19" s="906">
        <f t="shared" ref="D19:K19" si="1">SUM(D12:D18)</f>
        <v>0</v>
      </c>
      <c r="E19" s="907">
        <f t="shared" si="1"/>
        <v>0</v>
      </c>
      <c r="F19" s="908">
        <f t="shared" si="1"/>
        <v>120645161</v>
      </c>
      <c r="G19" s="906">
        <f t="shared" si="1"/>
        <v>120645161</v>
      </c>
      <c r="H19" s="909">
        <f t="shared" si="1"/>
        <v>120645161</v>
      </c>
      <c r="I19" s="905">
        <f t="shared" si="1"/>
        <v>144115854</v>
      </c>
      <c r="J19" s="906">
        <f t="shared" si="1"/>
        <v>148815408</v>
      </c>
      <c r="K19" s="907">
        <f t="shared" si="1"/>
        <v>193699723</v>
      </c>
    </row>
    <row r="20" spans="1:12">
      <c r="A20" s="901" t="str">
        <f>'A4-FinPerf RE'!A38</f>
        <v>Surplus/(Deficit)</v>
      </c>
      <c r="B20" s="265"/>
      <c r="C20" s="910">
        <f>C11-C19</f>
        <v>0</v>
      </c>
      <c r="D20" s="612">
        <f t="shared" ref="D20:K20" si="2">D11-D19</f>
        <v>0</v>
      </c>
      <c r="E20" s="613">
        <f t="shared" si="2"/>
        <v>0</v>
      </c>
      <c r="F20" s="911">
        <f t="shared" si="2"/>
        <v>2648797</v>
      </c>
      <c r="G20" s="612">
        <f t="shared" si="2"/>
        <v>2648797</v>
      </c>
      <c r="H20" s="912">
        <f t="shared" si="2"/>
        <v>2648797</v>
      </c>
      <c r="I20" s="910">
        <f t="shared" si="2"/>
        <v>18563497</v>
      </c>
      <c r="J20" s="612">
        <f t="shared" si="2"/>
        <v>24438100</v>
      </c>
      <c r="K20" s="613">
        <f t="shared" si="2"/>
        <v>43181668</v>
      </c>
    </row>
    <row r="21" spans="1:12" ht="6" customHeight="1">
      <c r="A21" s="913"/>
      <c r="B21" s="381"/>
      <c r="C21" s="914"/>
      <c r="D21" s="915"/>
      <c r="E21" s="916"/>
      <c r="F21" s="917"/>
      <c r="G21" s="915"/>
      <c r="H21" s="918"/>
      <c r="I21" s="914"/>
      <c r="J21" s="915"/>
      <c r="K21" s="916"/>
    </row>
    <row r="22" spans="1:12" ht="12.75" customHeight="1">
      <c r="A22" s="919" t="s">
        <v>1070</v>
      </c>
      <c r="B22" s="249"/>
      <c r="C22" s="898"/>
      <c r="D22" s="163"/>
      <c r="E22" s="164"/>
      <c r="F22" s="162"/>
      <c r="G22" s="163"/>
      <c r="H22" s="611"/>
      <c r="I22" s="898"/>
      <c r="J22" s="163"/>
      <c r="K22" s="164"/>
    </row>
    <row r="23" spans="1:12">
      <c r="A23" s="920" t="s">
        <v>1512</v>
      </c>
      <c r="B23" s="374"/>
      <c r="C23" s="1937"/>
      <c r="D23" s="1938"/>
      <c r="E23" s="1939"/>
      <c r="F23" s="1940">
        <v>25900000</v>
      </c>
      <c r="G23" s="1940">
        <v>25900000</v>
      </c>
      <c r="H23" s="1940">
        <v>25900000</v>
      </c>
      <c r="I23" s="1937">
        <v>100000000</v>
      </c>
      <c r="J23" s="1938">
        <v>690000000</v>
      </c>
      <c r="K23" s="1939"/>
      <c r="L23" s="246"/>
    </row>
    <row r="24" spans="1:12">
      <c r="A24" s="900" t="str">
        <f>A8</f>
        <v>Transfers recognised - operational</v>
      </c>
      <c r="B24" s="250"/>
      <c r="C24" s="1936"/>
      <c r="D24" s="1859"/>
      <c r="E24" s="1860"/>
      <c r="F24" s="1861"/>
      <c r="G24" s="1859"/>
      <c r="H24" s="1863"/>
      <c r="I24" s="1936"/>
      <c r="J24" s="1859"/>
      <c r="K24" s="1860"/>
      <c r="L24" s="921"/>
    </row>
    <row r="25" spans="1:12">
      <c r="A25" s="900" t="str">
        <f>'A5-Capex'!A71</f>
        <v>Public contributions &amp; donations</v>
      </c>
      <c r="B25" s="250"/>
      <c r="C25" s="1936"/>
      <c r="D25" s="1859"/>
      <c r="E25" s="1860"/>
      <c r="F25" s="1861"/>
      <c r="G25" s="1859"/>
      <c r="H25" s="1863"/>
      <c r="I25" s="1936">
        <v>30000000</v>
      </c>
      <c r="J25" s="1859">
        <v>307500000</v>
      </c>
      <c r="K25" s="1860"/>
      <c r="L25" s="921"/>
    </row>
    <row r="26" spans="1:12">
      <c r="A26" s="900" t="str">
        <f>'A5-Capex'!A72</f>
        <v>Borrowing</v>
      </c>
      <c r="B26" s="250"/>
      <c r="C26" s="1936"/>
      <c r="D26" s="1859"/>
      <c r="E26" s="1860"/>
      <c r="F26" s="1861"/>
      <c r="G26" s="1859"/>
      <c r="H26" s="1863"/>
      <c r="I26" s="1936">
        <v>50000000</v>
      </c>
      <c r="J26" s="1859">
        <v>352500000</v>
      </c>
      <c r="K26" s="1860"/>
      <c r="L26" s="921"/>
    </row>
    <row r="27" spans="1:12">
      <c r="A27" s="900" t="str">
        <f>'A5-Capex'!A73</f>
        <v>Internally generated funds</v>
      </c>
      <c r="B27" s="250"/>
      <c r="C27" s="1936"/>
      <c r="D27" s="1859"/>
      <c r="E27" s="1860"/>
      <c r="F27" s="1861">
        <v>25900000</v>
      </c>
      <c r="G27" s="1940">
        <v>25900000</v>
      </c>
      <c r="H27" s="1940">
        <v>25900000</v>
      </c>
      <c r="I27" s="1936">
        <v>20000000</v>
      </c>
      <c r="J27" s="1859">
        <v>30000000</v>
      </c>
      <c r="K27" s="1860"/>
      <c r="L27" s="921"/>
    </row>
    <row r="28" spans="1:12">
      <c r="A28" s="173" t="s">
        <v>933</v>
      </c>
      <c r="B28" s="868"/>
      <c r="C28" s="902">
        <f t="shared" ref="C28:K28" si="3">SUM(C24:C27)</f>
        <v>0</v>
      </c>
      <c r="D28" s="609">
        <f t="shared" si="3"/>
        <v>0</v>
      </c>
      <c r="E28" s="610">
        <f t="shared" si="3"/>
        <v>0</v>
      </c>
      <c r="F28" s="903">
        <f t="shared" si="3"/>
        <v>25900000</v>
      </c>
      <c r="G28" s="609">
        <f t="shared" si="3"/>
        <v>25900000</v>
      </c>
      <c r="H28" s="904">
        <f t="shared" si="3"/>
        <v>25900000</v>
      </c>
      <c r="I28" s="902">
        <f t="shared" si="3"/>
        <v>100000000</v>
      </c>
      <c r="J28" s="609">
        <f t="shared" si="3"/>
        <v>690000000</v>
      </c>
      <c r="K28" s="610">
        <f t="shared" si="3"/>
        <v>0</v>
      </c>
    </row>
    <row r="29" spans="1:12" ht="6" customHeight="1">
      <c r="A29" s="901"/>
      <c r="B29" s="265"/>
      <c r="C29" s="910"/>
      <c r="D29" s="612"/>
      <c r="E29" s="613"/>
      <c r="F29" s="911"/>
      <c r="G29" s="612"/>
      <c r="H29" s="912"/>
      <c r="I29" s="910"/>
      <c r="J29" s="612"/>
      <c r="K29" s="613"/>
    </row>
    <row r="30" spans="1:12" ht="12.75" customHeight="1">
      <c r="A30" s="897" t="s">
        <v>203</v>
      </c>
      <c r="B30" s="861"/>
      <c r="C30" s="899"/>
      <c r="D30" s="922"/>
      <c r="E30" s="923"/>
      <c r="F30" s="924"/>
      <c r="G30" s="922"/>
      <c r="H30" s="925"/>
      <c r="I30" s="899"/>
      <c r="J30" s="922"/>
      <c r="K30" s="923"/>
    </row>
    <row r="31" spans="1:12">
      <c r="A31" s="900" t="str">
        <f>'A6-FinPos'!A12</f>
        <v>Total current assets</v>
      </c>
      <c r="B31" s="250"/>
      <c r="C31" s="1936"/>
      <c r="D31" s="1859"/>
      <c r="E31" s="1860"/>
      <c r="F31" s="1861">
        <v>115985294</v>
      </c>
      <c r="G31" s="1859">
        <v>115985294</v>
      </c>
      <c r="H31" s="1863">
        <v>115985294</v>
      </c>
      <c r="I31" s="1936">
        <v>130184461</v>
      </c>
      <c r="J31" s="1859">
        <v>154622561</v>
      </c>
      <c r="K31" s="1860">
        <v>197804230</v>
      </c>
    </row>
    <row r="32" spans="1:12">
      <c r="A32" s="900" t="str">
        <f>'A6-FinPos'!A24</f>
        <v>Total non current assets</v>
      </c>
      <c r="B32" s="250"/>
      <c r="C32" s="1936"/>
      <c r="D32" s="1859"/>
      <c r="E32" s="1860"/>
      <c r="F32" s="1861">
        <v>335465449</v>
      </c>
      <c r="G32" s="1859">
        <v>335465449</v>
      </c>
      <c r="H32" s="1863">
        <v>335465449</v>
      </c>
      <c r="I32" s="1936">
        <v>409485625</v>
      </c>
      <c r="J32" s="1859">
        <v>1083905713</v>
      </c>
      <c r="K32" s="1860">
        <v>1068325801</v>
      </c>
    </row>
    <row r="33" spans="1:15">
      <c r="A33" s="900" t="str">
        <f>'A6-FinPos'!A34</f>
        <v>Total current liabilities</v>
      </c>
      <c r="B33" s="250"/>
      <c r="C33" s="1936"/>
      <c r="D33" s="1859"/>
      <c r="E33" s="1860"/>
      <c r="F33" s="1861">
        <v>-22560492</v>
      </c>
      <c r="G33" s="1859">
        <v>-22560492</v>
      </c>
      <c r="H33" s="1863">
        <v>-22560492</v>
      </c>
      <c r="I33" s="1936">
        <v>-22560492</v>
      </c>
      <c r="J33" s="1859">
        <v>-22560492</v>
      </c>
      <c r="K33" s="1860">
        <v>-22560492</v>
      </c>
    </row>
    <row r="34" spans="1:15">
      <c r="A34" s="900" t="str">
        <f>'A6-FinPos'!A39</f>
        <v>Total non current liabilities</v>
      </c>
      <c r="B34" s="250"/>
      <c r="C34" s="1936"/>
      <c r="D34" s="1859"/>
      <c r="E34" s="1860"/>
      <c r="F34" s="1861">
        <v>-226304087</v>
      </c>
      <c r="G34" s="1861">
        <v>-226304087</v>
      </c>
      <c r="H34" s="1861">
        <v>-226304087</v>
      </c>
      <c r="I34" s="1936">
        <v>-245518358</v>
      </c>
      <c r="J34" s="1859">
        <v>-581120294</v>
      </c>
      <c r="K34" s="1860">
        <v>-557075259</v>
      </c>
    </row>
    <row r="35" spans="1:15">
      <c r="A35" s="900" t="s">
        <v>615</v>
      </c>
      <c r="B35" s="250"/>
      <c r="C35" s="1936"/>
      <c r="D35" s="1859"/>
      <c r="E35" s="1860"/>
      <c r="F35" s="1861">
        <v>202586164</v>
      </c>
      <c r="G35" s="1859">
        <v>202586164</v>
      </c>
      <c r="H35" s="1863">
        <v>202586164</v>
      </c>
      <c r="I35" s="1936">
        <v>271591236</v>
      </c>
      <c r="J35" s="1859">
        <v>634847488</v>
      </c>
      <c r="K35" s="1860">
        <v>686494280</v>
      </c>
    </row>
    <row r="36" spans="1:15" ht="6" customHeight="1">
      <c r="A36" s="913"/>
      <c r="B36" s="381"/>
      <c r="C36" s="914"/>
      <c r="D36" s="915"/>
      <c r="E36" s="916"/>
      <c r="F36" s="917"/>
      <c r="G36" s="915"/>
      <c r="H36" s="918"/>
      <c r="I36" s="914"/>
      <c r="J36" s="915"/>
      <c r="K36" s="916"/>
    </row>
    <row r="37" spans="1:15" ht="12.75" customHeight="1">
      <c r="A37" s="919" t="s">
        <v>204</v>
      </c>
      <c r="B37" s="249"/>
      <c r="C37" s="898"/>
      <c r="D37" s="163"/>
      <c r="E37" s="164"/>
      <c r="F37" s="162"/>
      <c r="G37" s="163"/>
      <c r="H37" s="611"/>
      <c r="I37" s="898"/>
      <c r="J37" s="163"/>
      <c r="K37" s="164"/>
      <c r="O37" s="370"/>
    </row>
    <row r="38" spans="1:15">
      <c r="A38" s="900" t="str">
        <f>'A1-Sum'!A42</f>
        <v>Net cash from (used) operating</v>
      </c>
      <c r="B38" s="250"/>
      <c r="C38" s="1936"/>
      <c r="D38" s="1859"/>
      <c r="E38" s="1860"/>
      <c r="F38" s="1861">
        <v>2648797</v>
      </c>
      <c r="G38" s="1861">
        <v>2648797</v>
      </c>
      <c r="H38" s="1861">
        <v>2648797</v>
      </c>
      <c r="I38" s="1936">
        <v>34143409</v>
      </c>
      <c r="J38" s="1859">
        <v>34143409</v>
      </c>
      <c r="K38" s="1860">
        <v>34143409</v>
      </c>
    </row>
    <row r="39" spans="1:15">
      <c r="A39" s="900" t="str">
        <f>'A1-Sum'!A43</f>
        <v>Net cash from (used) investing</v>
      </c>
      <c r="B39" s="250"/>
      <c r="C39" s="1936"/>
      <c r="D39" s="1859"/>
      <c r="E39" s="1860"/>
      <c r="F39" s="1861">
        <v>-25900000</v>
      </c>
      <c r="G39" s="1861">
        <v>-25900000</v>
      </c>
      <c r="H39" s="1861">
        <v>-25900000</v>
      </c>
      <c r="I39" s="1936">
        <v>-100000000</v>
      </c>
      <c r="J39" s="1859">
        <v>-690000000</v>
      </c>
      <c r="K39" s="1860"/>
    </row>
    <row r="40" spans="1:15">
      <c r="A40" s="900" t="str">
        <f>'A1-Sum'!A44</f>
        <v>Net cash from (used) financing</v>
      </c>
      <c r="B40" s="250"/>
      <c r="C40" s="1936"/>
      <c r="D40" s="1859"/>
      <c r="E40" s="1860"/>
      <c r="F40" s="1861"/>
      <c r="G40" s="1861"/>
      <c r="H40" s="1861"/>
      <c r="I40" s="1936">
        <v>50000000</v>
      </c>
      <c r="J40" s="1859">
        <v>352500000</v>
      </c>
      <c r="K40" s="1860"/>
    </row>
    <row r="41" spans="1:15">
      <c r="A41" s="901" t="str">
        <f>'A1-Sum'!A45</f>
        <v>Cash/cash equivalents at the year end</v>
      </c>
      <c r="B41" s="265"/>
      <c r="C41" s="1936"/>
      <c r="D41" s="1859"/>
      <c r="E41" s="1860"/>
      <c r="F41" s="1861">
        <v>1007500645</v>
      </c>
      <c r="G41" s="1861">
        <v>1007500645</v>
      </c>
      <c r="H41" s="1861">
        <v>1007500645</v>
      </c>
      <c r="I41" s="1936">
        <f>+F41+I38+I39+I40</f>
        <v>991644054</v>
      </c>
      <c r="J41" s="1859">
        <f>+I41+J38+J39+J40</f>
        <v>688287463</v>
      </c>
      <c r="K41" s="1860">
        <f>+J41+K38</f>
        <v>722430872</v>
      </c>
    </row>
    <row r="42" spans="1:15" ht="6" customHeight="1">
      <c r="A42" s="926"/>
      <c r="B42" s="336"/>
      <c r="C42" s="914"/>
      <c r="D42" s="915"/>
      <c r="E42" s="916"/>
      <c r="F42" s="917"/>
      <c r="G42" s="915"/>
      <c r="H42" s="918"/>
      <c r="I42" s="914"/>
      <c r="J42" s="915"/>
      <c r="K42" s="916"/>
    </row>
  </sheetData>
  <sheetProtection sheet="1" objects="1" scenarios="1"/>
  <mergeCells count="3">
    <mergeCell ref="F2:H2"/>
    <mergeCell ref="I2:K2"/>
    <mergeCell ref="B2:B3"/>
  </mergeCells>
  <phoneticPr fontId="5" type="noConversion"/>
  <printOptions horizontalCentered="1"/>
  <pageMargins left="0"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enableFormatConditionsCalculation="0">
    <tabColor indexed="42"/>
  </sheetPr>
  <dimension ref="A1:L61"/>
  <sheetViews>
    <sheetView showGridLines="0" workbookViewId="0">
      <pane xSplit="1" ySplit="3" topLeftCell="B4" activePane="bottomRight" state="frozen"/>
      <selection pane="topRight"/>
      <selection pane="bottomLeft"/>
      <selection pane="bottomRight"/>
    </sheetView>
  </sheetViews>
  <sheetFormatPr baseColWidth="10" defaultColWidth="8.83203125" defaultRowHeight="10" x14ac:dyDescent="0"/>
  <cols>
    <col min="1" max="1" width="30.6640625" style="149" customWidth="1"/>
    <col min="2" max="2" width="4.1640625" style="247" bestFit="1" customWidth="1"/>
    <col min="3" max="3" width="9.33203125" style="149" customWidth="1"/>
    <col min="4" max="4" width="30.6640625" style="149" customWidth="1"/>
    <col min="5" max="5" width="13" style="149" customWidth="1"/>
    <col min="6" max="6" width="9.33203125" style="149" customWidth="1"/>
    <col min="7" max="7" width="9.83203125" style="149" customWidth="1"/>
    <col min="8" max="8" width="9.83203125" style="149" bestFit="1" customWidth="1"/>
    <col min="9" max="10" width="9.83203125" style="149" customWidth="1"/>
    <col min="11" max="11" width="9.5" style="149" customWidth="1"/>
    <col min="12" max="12" width="9.83203125" style="149" customWidth="1"/>
    <col min="13" max="15" width="9.5" style="149" customWidth="1"/>
    <col min="16" max="16" width="9.83203125" style="149" customWidth="1"/>
    <col min="17" max="19" width="9.5" style="149" customWidth="1"/>
    <col min="20" max="21" width="9.83203125" style="149" customWidth="1"/>
    <col min="22" max="16384" width="8.83203125" style="149"/>
  </cols>
  <sheetData>
    <row r="1" spans="1:6" ht="13.5" customHeight="1">
      <c r="A1" s="147" t="str">
        <f>muni&amp;" - "&amp;TableA32</f>
        <v>NW373 Rustenburg - Supporting Table SA32 List of external mechanisms</v>
      </c>
      <c r="B1" s="147"/>
      <c r="C1" s="147"/>
      <c r="D1" s="147"/>
      <c r="E1" s="147"/>
      <c r="F1" s="147"/>
    </row>
    <row r="2" spans="1:6" ht="33.75" customHeight="1">
      <c r="A2" s="142" t="s">
        <v>326</v>
      </c>
      <c r="B2" s="2812" t="s">
        <v>1689</v>
      </c>
      <c r="C2" s="632" t="s">
        <v>329</v>
      </c>
      <c r="D2" s="2812" t="s">
        <v>330</v>
      </c>
      <c r="E2" s="2812" t="s">
        <v>328</v>
      </c>
      <c r="F2" s="927" t="s">
        <v>331</v>
      </c>
    </row>
    <row r="3" spans="1:6" ht="24.75" customHeight="1">
      <c r="A3" s="141" t="s">
        <v>327</v>
      </c>
      <c r="B3" s="2813"/>
      <c r="C3" s="928" t="s">
        <v>1690</v>
      </c>
      <c r="D3" s="2813"/>
      <c r="E3" s="2813"/>
      <c r="F3" s="929" t="s">
        <v>667</v>
      </c>
    </row>
    <row r="4" spans="1:6" ht="11.25" customHeight="1">
      <c r="A4" s="1941"/>
      <c r="B4" s="1840"/>
      <c r="C4" s="1840"/>
      <c r="D4" s="1942"/>
      <c r="E4" s="1943"/>
      <c r="F4" s="1635"/>
    </row>
    <row r="5" spans="1:6" ht="11.25" customHeight="1">
      <c r="A5" s="1941"/>
      <c r="B5" s="1840"/>
      <c r="C5" s="1840"/>
      <c r="D5" s="1942"/>
      <c r="E5" s="1944"/>
      <c r="F5" s="1635"/>
    </row>
    <row r="6" spans="1:6" ht="11.25" customHeight="1">
      <c r="A6" s="1941"/>
      <c r="B6" s="1840"/>
      <c r="C6" s="1840"/>
      <c r="D6" s="1942"/>
      <c r="E6" s="1943"/>
      <c r="F6" s="1635"/>
    </row>
    <row r="7" spans="1:6" ht="11.25" customHeight="1">
      <c r="A7" s="1941"/>
      <c r="B7" s="1840"/>
      <c r="C7" s="1840"/>
      <c r="D7" s="1942"/>
      <c r="E7" s="1943"/>
      <c r="F7" s="1635"/>
    </row>
    <row r="8" spans="1:6" ht="11.25" customHeight="1">
      <c r="A8" s="1941"/>
      <c r="B8" s="1840"/>
      <c r="C8" s="1840"/>
      <c r="D8" s="1942"/>
      <c r="E8" s="1943"/>
      <c r="F8" s="1635"/>
    </row>
    <row r="9" spans="1:6" ht="11.25" customHeight="1">
      <c r="A9" s="1941"/>
      <c r="B9" s="1840"/>
      <c r="C9" s="1840"/>
      <c r="D9" s="1942"/>
      <c r="E9" s="1943"/>
      <c r="F9" s="1635"/>
    </row>
    <row r="10" spans="1:6" ht="11.25" customHeight="1">
      <c r="A10" s="1941"/>
      <c r="B10" s="1840"/>
      <c r="C10" s="1840"/>
      <c r="D10" s="1942"/>
      <c r="E10" s="1943"/>
      <c r="F10" s="1635"/>
    </row>
    <row r="11" spans="1:6" ht="11.25" customHeight="1">
      <c r="A11" s="1941"/>
      <c r="B11" s="1840"/>
      <c r="C11" s="1840"/>
      <c r="D11" s="1942"/>
      <c r="E11" s="1943"/>
      <c r="F11" s="1635"/>
    </row>
    <row r="12" spans="1:6" ht="11.25" customHeight="1">
      <c r="A12" s="1941"/>
      <c r="B12" s="1840"/>
      <c r="C12" s="1840"/>
      <c r="D12" s="1942"/>
      <c r="E12" s="1943"/>
      <c r="F12" s="1635"/>
    </row>
    <row r="13" spans="1:6" ht="11.25" customHeight="1">
      <c r="A13" s="1941"/>
      <c r="B13" s="1840"/>
      <c r="C13" s="1840"/>
      <c r="D13" s="1942"/>
      <c r="E13" s="1943"/>
      <c r="F13" s="1635"/>
    </row>
    <row r="14" spans="1:6" ht="11.25" customHeight="1">
      <c r="A14" s="1941"/>
      <c r="B14" s="1840"/>
      <c r="C14" s="1840"/>
      <c r="D14" s="1942"/>
      <c r="E14" s="1943"/>
      <c r="F14" s="1635"/>
    </row>
    <row r="15" spans="1:6" ht="11.25" customHeight="1">
      <c r="A15" s="1941"/>
      <c r="B15" s="1840"/>
      <c r="C15" s="1840"/>
      <c r="D15" s="1942"/>
      <c r="E15" s="1943"/>
      <c r="F15" s="1635"/>
    </row>
    <row r="16" spans="1:6" ht="11.25" customHeight="1">
      <c r="A16" s="1941"/>
      <c r="B16" s="1840"/>
      <c r="C16" s="1840"/>
      <c r="D16" s="1942"/>
      <c r="E16" s="1943"/>
      <c r="F16" s="1635"/>
    </row>
    <row r="17" spans="1:12" ht="11.25" customHeight="1">
      <c r="A17" s="1941"/>
      <c r="B17" s="1840"/>
      <c r="C17" s="1840"/>
      <c r="D17" s="1942"/>
      <c r="E17" s="1943"/>
      <c r="F17" s="1635"/>
    </row>
    <row r="18" spans="1:12" ht="11.25" customHeight="1">
      <c r="A18" s="1941"/>
      <c r="B18" s="1840"/>
      <c r="C18" s="1840"/>
      <c r="D18" s="1942"/>
      <c r="E18" s="1943"/>
      <c r="F18" s="1635"/>
    </row>
    <row r="19" spans="1:12" ht="11.25" customHeight="1">
      <c r="A19" s="1941"/>
      <c r="B19" s="1840"/>
      <c r="C19" s="1840"/>
      <c r="D19" s="1942"/>
      <c r="E19" s="1943"/>
      <c r="F19" s="1635"/>
    </row>
    <row r="20" spans="1:12" ht="11.25" customHeight="1">
      <c r="A20" s="1941"/>
      <c r="B20" s="1840"/>
      <c r="C20" s="1840"/>
      <c r="D20" s="1942"/>
      <c r="E20" s="1943"/>
      <c r="F20" s="1635"/>
    </row>
    <row r="21" spans="1:12" ht="11.25" customHeight="1">
      <c r="A21" s="1941"/>
      <c r="B21" s="1840"/>
      <c r="C21" s="1840"/>
      <c r="D21" s="1942"/>
      <c r="E21" s="1943"/>
      <c r="F21" s="1635"/>
    </row>
    <row r="22" spans="1:12" ht="11.25" customHeight="1">
      <c r="A22" s="1941"/>
      <c r="B22" s="1840"/>
      <c r="C22" s="1840"/>
      <c r="D22" s="1942"/>
      <c r="E22" s="1943"/>
      <c r="F22" s="1635"/>
    </row>
    <row r="23" spans="1:12">
      <c r="A23" s="1945"/>
      <c r="B23" s="1946"/>
      <c r="C23" s="1946"/>
      <c r="D23" s="1947"/>
      <c r="E23" s="1948"/>
      <c r="F23" s="1949"/>
    </row>
    <row r="24" spans="1:12" ht="6" customHeight="1">
      <c r="A24" s="246"/>
      <c r="B24" s="236"/>
      <c r="C24" s="309"/>
      <c r="D24" s="309"/>
      <c r="E24" s="309"/>
      <c r="F24" s="309"/>
      <c r="J24" s="246"/>
      <c r="K24" s="246"/>
      <c r="L24" s="246"/>
    </row>
    <row r="25" spans="1:12" s="709" customFormat="1">
      <c r="A25" s="1233" t="str">
        <f>head27a</f>
        <v>References</v>
      </c>
      <c r="B25" s="1038"/>
      <c r="C25" s="1080"/>
      <c r="D25" s="1080"/>
      <c r="E25" s="1080"/>
      <c r="F25" s="1080"/>
      <c r="J25" s="1062"/>
      <c r="K25" s="1062"/>
      <c r="L25" s="1062"/>
    </row>
    <row r="26" spans="1:12" s="709" customFormat="1" ht="11.25" customHeight="1">
      <c r="A26" s="1195" t="s">
        <v>394</v>
      </c>
      <c r="B26" s="1038"/>
      <c r="C26" s="1042"/>
      <c r="D26" s="1041"/>
      <c r="E26" s="1042"/>
      <c r="F26" s="1042"/>
    </row>
    <row r="27" spans="1:12" s="709" customFormat="1" ht="11.25" customHeight="1">
      <c r="A27" s="1195" t="s">
        <v>332</v>
      </c>
      <c r="B27" s="1038"/>
      <c r="C27" s="1080"/>
      <c r="D27" s="1080"/>
      <c r="E27" s="1080"/>
      <c r="F27" s="1080"/>
    </row>
    <row r="28" spans="1:12" ht="11.25" customHeight="1"/>
    <row r="29" spans="1:12" ht="11.25" customHeight="1"/>
    <row r="30" spans="1:12" ht="11.25" customHeight="1"/>
    <row r="31" spans="1:12" ht="11.25" customHeight="1"/>
    <row r="32" spans="1:12" ht="11.25" customHeight="1"/>
    <row r="33" ht="11.25" customHeight="1"/>
    <row r="34" ht="11.25" customHeight="1"/>
    <row r="35" ht="11.25" customHeight="1"/>
    <row r="36" ht="11.25" customHeight="1"/>
    <row r="37" ht="11.25" customHeight="1"/>
    <row r="38" ht="11.25" customHeight="1"/>
    <row r="39" ht="11.25" customHeight="1"/>
    <row r="40" ht="11.25" customHeight="1"/>
    <row r="41" ht="11.25" customHeight="1"/>
    <row r="42" ht="11.25" customHeight="1"/>
    <row r="43" ht="11.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sheetData>
  <sheetProtection sheet="1" objects="1" scenarios="1"/>
  <mergeCells count="3">
    <mergeCell ref="D2:D3"/>
    <mergeCell ref="E2:E3"/>
    <mergeCell ref="B2:B3"/>
  </mergeCells>
  <phoneticPr fontId="5"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enableFormatConditionsCalculation="0">
    <tabColor indexed="42"/>
  </sheetPr>
  <dimension ref="A1:O89"/>
  <sheetViews>
    <sheetView showGridLines="0" workbookViewId="0">
      <pane xSplit="2" ySplit="3" topLeftCell="C4" activePane="bottomRight" state="frozen"/>
      <selection pane="topRight"/>
      <selection pane="bottomLeft"/>
      <selection pane="bottomRight" activeCell="Q14" sqref="Q14"/>
    </sheetView>
  </sheetViews>
  <sheetFormatPr baseColWidth="10" defaultColWidth="8.83203125" defaultRowHeight="10" x14ac:dyDescent="0"/>
  <cols>
    <col min="1" max="1" width="30.6640625" style="149" customWidth="1"/>
    <col min="2" max="2" width="3" style="247" customWidth="1"/>
    <col min="3" max="7" width="9.33203125" style="149" customWidth="1"/>
    <col min="8" max="15" width="8.33203125" style="149" customWidth="1"/>
    <col min="16" max="17" width="9.5" style="149" customWidth="1"/>
    <col min="18" max="19" width="9.83203125" style="149" customWidth="1"/>
    <col min="20" max="16384" width="8.83203125" style="149"/>
  </cols>
  <sheetData>
    <row r="1" spans="1:15" ht="13.5" customHeight="1">
      <c r="A1" s="147" t="str">
        <f>muni&amp;" - "&amp; TableA33</f>
        <v>NW373 Rustenburg - Supporting Table SA33 Contracts having future budgetary implications</v>
      </c>
      <c r="B1" s="147"/>
      <c r="C1" s="147"/>
      <c r="D1" s="147"/>
      <c r="E1" s="147"/>
      <c r="F1" s="147"/>
      <c r="G1" s="147"/>
      <c r="H1" s="147"/>
      <c r="I1" s="147"/>
      <c r="J1" s="147"/>
      <c r="K1" s="147"/>
      <c r="L1" s="147"/>
      <c r="M1" s="147"/>
      <c r="N1" s="147"/>
      <c r="O1" s="147"/>
    </row>
    <row r="2" spans="1:15" ht="36" customHeight="1">
      <c r="A2" s="985" t="str">
        <f>desc</f>
        <v>Description</v>
      </c>
      <c r="B2" s="419" t="str">
        <f>head27</f>
        <v>Ref</v>
      </c>
      <c r="C2" s="150" t="s">
        <v>429</v>
      </c>
      <c r="D2" s="146" t="str">
        <f>Head2</f>
        <v>Current Year 2012/13</v>
      </c>
      <c r="E2" s="2762" t="str">
        <f>Head3</f>
        <v>2013/14 Medium Term Revenue &amp; Expenditure Framework</v>
      </c>
      <c r="F2" s="2763"/>
      <c r="G2" s="2764"/>
      <c r="H2" s="144" t="str">
        <f>Head12</f>
        <v>Forecast 2016/17</v>
      </c>
      <c r="I2" s="150" t="str">
        <f>Head13</f>
        <v>Forecast 2017/18</v>
      </c>
      <c r="J2" s="150" t="str">
        <f>Head14</f>
        <v>Forecast 2018/19</v>
      </c>
      <c r="K2" s="150" t="str">
        <f>Head15</f>
        <v>Forecast 2019/20</v>
      </c>
      <c r="L2" s="150" t="str">
        <f>Head16</f>
        <v>Forecast 2020/21</v>
      </c>
      <c r="M2" s="150" t="str">
        <f>Head17</f>
        <v>Forecast 2021/22</v>
      </c>
      <c r="N2" s="146" t="str">
        <f>Head18</f>
        <v>Forecast 2022/23</v>
      </c>
      <c r="O2" s="930" t="s">
        <v>684</v>
      </c>
    </row>
    <row r="3" spans="1:15" ht="20">
      <c r="A3" s="180" t="s">
        <v>667</v>
      </c>
      <c r="B3" s="931" t="s">
        <v>519</v>
      </c>
      <c r="C3" s="390" t="s">
        <v>776</v>
      </c>
      <c r="D3" s="391" t="str">
        <f>Head6</f>
        <v>Original Budget</v>
      </c>
      <c r="E3" s="299" t="str">
        <f>Head9</f>
        <v>Budget Year 2013/14</v>
      </c>
      <c r="F3" s="390" t="str">
        <f>Head10</f>
        <v>Budget Year +1 2014/15</v>
      </c>
      <c r="G3" s="391" t="str">
        <f>Head11</f>
        <v>Budget Year +2 2015/16</v>
      </c>
      <c r="H3" s="299" t="s">
        <v>400</v>
      </c>
      <c r="I3" s="390" t="s">
        <v>400</v>
      </c>
      <c r="J3" s="390" t="s">
        <v>400</v>
      </c>
      <c r="K3" s="390" t="s">
        <v>400</v>
      </c>
      <c r="L3" s="390" t="s">
        <v>400</v>
      </c>
      <c r="M3" s="390" t="s">
        <v>400</v>
      </c>
      <c r="N3" s="391" t="s">
        <v>400</v>
      </c>
      <c r="O3" s="1003" t="s">
        <v>400</v>
      </c>
    </row>
    <row r="4" spans="1:15">
      <c r="A4" s="265" t="s">
        <v>989</v>
      </c>
      <c r="B4" s="182"/>
      <c r="C4" s="311"/>
      <c r="D4" s="312"/>
      <c r="E4" s="313"/>
      <c r="F4" s="311"/>
      <c r="G4" s="314"/>
      <c r="H4" s="312"/>
      <c r="I4" s="311"/>
      <c r="J4" s="311"/>
      <c r="K4" s="311"/>
      <c r="L4" s="311"/>
      <c r="M4" s="311"/>
      <c r="N4" s="314"/>
      <c r="O4" s="420"/>
    </row>
    <row r="5" spans="1:15">
      <c r="A5" s="249" t="s">
        <v>1618</v>
      </c>
      <c r="B5" s="182">
        <v>2</v>
      </c>
      <c r="C5" s="315"/>
      <c r="D5" s="316"/>
      <c r="E5" s="317"/>
      <c r="F5" s="315"/>
      <c r="G5" s="318"/>
      <c r="H5" s="316"/>
      <c r="I5" s="315"/>
      <c r="J5" s="315"/>
      <c r="K5" s="315"/>
      <c r="L5" s="315"/>
      <c r="M5" s="315"/>
      <c r="N5" s="318"/>
      <c r="O5" s="932"/>
    </row>
    <row r="6" spans="1:15">
      <c r="A6" s="1931" t="s">
        <v>3984</v>
      </c>
      <c r="B6" s="182"/>
      <c r="C6" s="1951">
        <v>1265792347</v>
      </c>
      <c r="D6" s="1952">
        <v>1439452579</v>
      </c>
      <c r="E6" s="1952">
        <v>1198824246</v>
      </c>
      <c r="F6" s="1950">
        <v>1294730185</v>
      </c>
      <c r="G6" s="1953">
        <v>1416862476</v>
      </c>
      <c r="H6" s="1950">
        <f>((G6)*8%+((G6)))</f>
        <v>1530211474.0799999</v>
      </c>
      <c r="I6" s="1950">
        <f t="shared" ref="I6:N6" si="0">((H6)*8%+((H6)))</f>
        <v>1652628392.0063999</v>
      </c>
      <c r="J6" s="1950">
        <f t="shared" si="0"/>
        <v>1784838663.3669119</v>
      </c>
      <c r="K6" s="1950">
        <f t="shared" si="0"/>
        <v>1927625756.4362648</v>
      </c>
      <c r="L6" s="1950">
        <f t="shared" si="0"/>
        <v>2081835816.9511659</v>
      </c>
      <c r="M6" s="1950">
        <f t="shared" si="0"/>
        <v>2248382682.3072591</v>
      </c>
      <c r="N6" s="1950">
        <f t="shared" si="0"/>
        <v>2428253296.89184</v>
      </c>
      <c r="O6" s="586">
        <f>SUM(C6:N6)</f>
        <v>20269437915.039841</v>
      </c>
    </row>
    <row r="7" spans="1:15">
      <c r="A7" s="1931" t="s">
        <v>3985</v>
      </c>
      <c r="B7" s="182"/>
      <c r="C7" s="1651">
        <v>271885109</v>
      </c>
      <c r="D7" s="1650">
        <v>297397625</v>
      </c>
      <c r="E7" s="1650">
        <v>316278686</v>
      </c>
      <c r="F7" s="1648">
        <v>332092620</v>
      </c>
      <c r="G7" s="1649">
        <v>348697253</v>
      </c>
      <c r="H7" s="1950">
        <f>((G7)*10%+((G7)))</f>
        <v>383566978.30000001</v>
      </c>
      <c r="I7" s="1950">
        <f t="shared" ref="I7:N7" si="1">((H7)*10%+((H7)))</f>
        <v>421923676.13</v>
      </c>
      <c r="J7" s="1950">
        <f t="shared" si="1"/>
        <v>464116043.74300003</v>
      </c>
      <c r="K7" s="1950">
        <f t="shared" si="1"/>
        <v>510527648.11730003</v>
      </c>
      <c r="L7" s="1950">
        <f t="shared" si="1"/>
        <v>561580412.92903006</v>
      </c>
      <c r="M7" s="1950">
        <f t="shared" si="1"/>
        <v>617738454.22193313</v>
      </c>
      <c r="N7" s="1950">
        <f t="shared" si="1"/>
        <v>679512299.64412642</v>
      </c>
      <c r="O7" s="586">
        <f>SUM(C7:N7)</f>
        <v>5205316806.0853901</v>
      </c>
    </row>
    <row r="8" spans="1:15">
      <c r="A8" s="1931" t="s">
        <v>293</v>
      </c>
      <c r="B8" s="182"/>
      <c r="C8" s="1637">
        <v>40000000</v>
      </c>
      <c r="D8" s="1636">
        <v>75321634</v>
      </c>
      <c r="E8" s="1636">
        <v>900000</v>
      </c>
      <c r="F8" s="1615">
        <v>900000</v>
      </c>
      <c r="G8" s="1635">
        <v>900000</v>
      </c>
      <c r="H8" s="1950">
        <v>900000</v>
      </c>
      <c r="I8" s="1950">
        <v>900000</v>
      </c>
      <c r="J8" s="1950">
        <v>900000</v>
      </c>
      <c r="K8" s="1950">
        <v>900000</v>
      </c>
      <c r="L8" s="1950">
        <v>900000</v>
      </c>
      <c r="M8" s="1950">
        <v>900000</v>
      </c>
      <c r="N8" s="1950">
        <v>900000</v>
      </c>
      <c r="O8" s="586">
        <f>SUM(C8:N8)</f>
        <v>124321634</v>
      </c>
    </row>
    <row r="9" spans="1:15">
      <c r="A9" s="265" t="s">
        <v>1346</v>
      </c>
      <c r="B9" s="182"/>
      <c r="C9" s="213">
        <f>SUM(C6:C8)</f>
        <v>1577677456</v>
      </c>
      <c r="D9" s="212">
        <f t="shared" ref="D9:N9" si="2">SUM(D6:D8)</f>
        <v>1812171838</v>
      </c>
      <c r="E9" s="215">
        <f t="shared" si="2"/>
        <v>1516002932</v>
      </c>
      <c r="F9" s="213">
        <f t="shared" si="2"/>
        <v>1627722805</v>
      </c>
      <c r="G9" s="214">
        <f t="shared" si="2"/>
        <v>1766459729</v>
      </c>
      <c r="H9" s="212">
        <f t="shared" si="2"/>
        <v>1914678452.3799999</v>
      </c>
      <c r="I9" s="213">
        <f t="shared" si="2"/>
        <v>2075452068.1363997</v>
      </c>
      <c r="J9" s="213">
        <f t="shared" si="2"/>
        <v>2249854707.1099119</v>
      </c>
      <c r="K9" s="213">
        <f t="shared" si="2"/>
        <v>2439053404.553565</v>
      </c>
      <c r="L9" s="213">
        <f t="shared" si="2"/>
        <v>2644316229.8801961</v>
      </c>
      <c r="M9" s="213">
        <f t="shared" si="2"/>
        <v>2867021136.529192</v>
      </c>
      <c r="N9" s="214">
        <f t="shared" si="2"/>
        <v>3108665596.5359664</v>
      </c>
      <c r="O9" s="933">
        <f>SUM(C9:N9)</f>
        <v>25599076355.125229</v>
      </c>
    </row>
    <row r="10" spans="1:15" ht="5" customHeight="1">
      <c r="A10" s="273"/>
      <c r="B10" s="182"/>
      <c r="C10" s="203"/>
      <c r="D10" s="202"/>
      <c r="E10" s="205"/>
      <c r="F10" s="203"/>
      <c r="G10" s="204"/>
      <c r="H10" s="202"/>
      <c r="I10" s="203"/>
      <c r="J10" s="203"/>
      <c r="K10" s="203"/>
      <c r="L10" s="203"/>
      <c r="M10" s="203"/>
      <c r="N10" s="204"/>
      <c r="O10" s="586"/>
    </row>
    <row r="11" spans="1:15">
      <c r="A11" s="249" t="s">
        <v>990</v>
      </c>
      <c r="B11" s="182">
        <v>2</v>
      </c>
      <c r="C11" s="203"/>
      <c r="D11" s="202"/>
      <c r="E11" s="205"/>
      <c r="F11" s="203"/>
      <c r="G11" s="204"/>
      <c r="H11" s="202"/>
      <c r="I11" s="203"/>
      <c r="J11" s="203"/>
      <c r="K11" s="203"/>
      <c r="L11" s="203"/>
      <c r="M11" s="203"/>
      <c r="N11" s="204"/>
      <c r="O11" s="586"/>
    </row>
    <row r="12" spans="1:15">
      <c r="A12" s="1931" t="s">
        <v>3986</v>
      </c>
      <c r="B12" s="182"/>
      <c r="C12" s="1637">
        <v>442232891</v>
      </c>
      <c r="D12" s="1636">
        <v>524045976</v>
      </c>
      <c r="E12" s="1636">
        <v>896608744</v>
      </c>
      <c r="F12" s="1615">
        <v>968337444</v>
      </c>
      <c r="G12" s="1635">
        <v>1045804440</v>
      </c>
      <c r="H12" s="1637">
        <v>843885689</v>
      </c>
      <c r="I12" s="1950">
        <f t="shared" ref="I12:N16" si="3">((H12)*8%+((H12)))</f>
        <v>911396544.12</v>
      </c>
      <c r="J12" s="1950">
        <f t="shared" si="3"/>
        <v>984308267.64960003</v>
      </c>
      <c r="K12" s="1950">
        <f t="shared" si="3"/>
        <v>1063052929.061568</v>
      </c>
      <c r="L12" s="1950">
        <f t="shared" si="3"/>
        <v>1148097163.3864934</v>
      </c>
      <c r="M12" s="1950">
        <f t="shared" si="3"/>
        <v>1239944936.457413</v>
      </c>
      <c r="N12" s="1950">
        <f t="shared" si="3"/>
        <v>1339140531.374006</v>
      </c>
      <c r="O12" s="586">
        <f>SUM(C12:N12)</f>
        <v>11406855556.04908</v>
      </c>
    </row>
    <row r="13" spans="1:15">
      <c r="A13" s="1931" t="s">
        <v>3987</v>
      </c>
      <c r="B13" s="182"/>
      <c r="C13" s="1637">
        <v>20800000</v>
      </c>
      <c r="D13" s="1636">
        <v>24648000</v>
      </c>
      <c r="E13" s="1636">
        <v>26272686</v>
      </c>
      <c r="F13" s="1615">
        <v>28899954</v>
      </c>
      <c r="G13" s="1637">
        <v>31789950</v>
      </c>
      <c r="H13" s="1637">
        <v>23187521</v>
      </c>
      <c r="I13" s="1950">
        <f>((H13)*10%+((H13)))</f>
        <v>25506273.100000001</v>
      </c>
      <c r="J13" s="1950">
        <f t="shared" si="3"/>
        <v>27546774.948000003</v>
      </c>
      <c r="K13" s="1950">
        <f t="shared" si="3"/>
        <v>29750516.943840005</v>
      </c>
      <c r="L13" s="1950">
        <f t="shared" si="3"/>
        <v>32130558.299347207</v>
      </c>
      <c r="M13" s="1950">
        <f t="shared" si="3"/>
        <v>34701002.963294983</v>
      </c>
      <c r="N13" s="1950">
        <f t="shared" si="3"/>
        <v>37477083.200358585</v>
      </c>
      <c r="O13" s="586">
        <f>SUM(C13:N13)</f>
        <v>342710320.45484078</v>
      </c>
    </row>
    <row r="14" spans="1:15">
      <c r="A14" s="1931" t="s">
        <v>3987</v>
      </c>
      <c r="B14" s="182"/>
      <c r="C14" s="1637">
        <v>176000000</v>
      </c>
      <c r="D14" s="1636">
        <v>208560000</v>
      </c>
      <c r="E14" s="1636">
        <v>194257148</v>
      </c>
      <c r="F14" s="1615">
        <v>213333200</v>
      </c>
      <c r="G14" s="1615">
        <v>234282520</v>
      </c>
      <c r="H14" s="1637">
        <v>206501763</v>
      </c>
      <c r="I14" s="1950">
        <f>((H14)*9.82%+((H14)))</f>
        <v>226780236.1266</v>
      </c>
      <c r="J14" s="1950">
        <f t="shared" si="3"/>
        <v>244922655.01672798</v>
      </c>
      <c r="K14" s="1950">
        <f t="shared" si="3"/>
        <v>264516467.41806623</v>
      </c>
      <c r="L14" s="1950">
        <f t="shared" si="3"/>
        <v>285677784.81151152</v>
      </c>
      <c r="M14" s="1950">
        <f t="shared" si="3"/>
        <v>308532007.59643245</v>
      </c>
      <c r="N14" s="1950">
        <f t="shared" si="3"/>
        <v>333214568.20414704</v>
      </c>
      <c r="O14" s="586">
        <f t="shared" ref="O14:O20" si="4">SUM(C14:N14)</f>
        <v>2896578350.1734853</v>
      </c>
    </row>
    <row r="15" spans="1:15">
      <c r="A15" s="1931" t="s">
        <v>4408</v>
      </c>
      <c r="B15" s="182"/>
      <c r="C15" s="1637">
        <v>20000000</v>
      </c>
      <c r="D15" s="1636">
        <v>23700000</v>
      </c>
      <c r="E15" s="1636">
        <v>20169107</v>
      </c>
      <c r="F15" s="1615">
        <v>22149713</v>
      </c>
      <c r="G15" s="1637">
        <v>24324815</v>
      </c>
      <c r="H15" s="1637">
        <v>18175171</v>
      </c>
      <c r="I15" s="1950">
        <f>((H15)*9.82%+((H15)))</f>
        <v>19959972.792199999</v>
      </c>
      <c r="J15" s="1950">
        <f t="shared" si="3"/>
        <v>21556770.615575999</v>
      </c>
      <c r="K15" s="1950">
        <f t="shared" si="3"/>
        <v>23281312.264822081</v>
      </c>
      <c r="L15" s="1950">
        <f t="shared" si="3"/>
        <v>25143817.246007849</v>
      </c>
      <c r="M15" s="1950">
        <f t="shared" si="3"/>
        <v>27155322.625688478</v>
      </c>
      <c r="N15" s="1950">
        <f t="shared" si="3"/>
        <v>29327748.435743555</v>
      </c>
      <c r="O15" s="586">
        <f t="shared" si="4"/>
        <v>274943749.98003799</v>
      </c>
    </row>
    <row r="16" spans="1:15">
      <c r="A16" s="1931" t="s">
        <v>4409</v>
      </c>
      <c r="B16" s="182"/>
      <c r="C16" s="1637">
        <v>750000</v>
      </c>
      <c r="D16" s="1636">
        <v>888750</v>
      </c>
      <c r="E16" s="1636">
        <v>1592210</v>
      </c>
      <c r="F16" s="1615">
        <v>1748566</v>
      </c>
      <c r="G16" s="1637">
        <v>1920275</v>
      </c>
      <c r="H16" s="1637">
        <v>1691474</v>
      </c>
      <c r="I16" s="1950">
        <f>((H16)*9.82%+((H16)))</f>
        <v>1857576.7468000001</v>
      </c>
      <c r="J16" s="1950">
        <f t="shared" si="3"/>
        <v>2006182.8865440001</v>
      </c>
      <c r="K16" s="1950">
        <f t="shared" si="3"/>
        <v>2166677.5174675202</v>
      </c>
      <c r="L16" s="1950">
        <f t="shared" si="3"/>
        <v>2340011.7188649219</v>
      </c>
      <c r="M16" s="1950">
        <f t="shared" si="3"/>
        <v>2527212.6563741155</v>
      </c>
      <c r="N16" s="1950">
        <f t="shared" si="3"/>
        <v>2729389.6688840445</v>
      </c>
      <c r="O16" s="586">
        <f t="shared" si="4"/>
        <v>22218326.194934599</v>
      </c>
    </row>
    <row r="17" spans="1:15">
      <c r="A17" s="1931" t="s">
        <v>4410</v>
      </c>
      <c r="B17" s="182"/>
      <c r="C17" s="1637">
        <v>5356480</v>
      </c>
      <c r="D17" s="1636">
        <v>5200000</v>
      </c>
      <c r="E17" s="1636">
        <v>6000000</v>
      </c>
      <c r="F17" s="1615">
        <v>6330000</v>
      </c>
      <c r="G17" s="1637">
        <v>6684480</v>
      </c>
      <c r="H17" s="1637">
        <v>48735596</v>
      </c>
      <c r="I17" s="1950">
        <f>((H17)*5%+((H17)))</f>
        <v>51172375.799999997</v>
      </c>
      <c r="J17" s="1950">
        <f t="shared" ref="J17:N20" si="5">((I17)*5%+((I17)))</f>
        <v>53730994.589999996</v>
      </c>
      <c r="K17" s="1950">
        <f t="shared" si="5"/>
        <v>56417544.319499999</v>
      </c>
      <c r="L17" s="1950">
        <f t="shared" si="5"/>
        <v>59238421.535475001</v>
      </c>
      <c r="M17" s="1950">
        <f t="shared" si="5"/>
        <v>62200342.612248749</v>
      </c>
      <c r="N17" s="1950">
        <f t="shared" si="5"/>
        <v>65310359.742861189</v>
      </c>
      <c r="O17" s="586">
        <f t="shared" si="4"/>
        <v>426376594.60008496</v>
      </c>
    </row>
    <row r="18" spans="1:15">
      <c r="A18" s="1931" t="s">
        <v>701</v>
      </c>
      <c r="B18" s="182"/>
      <c r="C18" s="1637">
        <v>4873120</v>
      </c>
      <c r="D18" s="1636">
        <v>5284295</v>
      </c>
      <c r="E18" s="1636">
        <v>4444378</v>
      </c>
      <c r="F18" s="1615">
        <v>4500000</v>
      </c>
      <c r="G18" s="1637">
        <v>4752000</v>
      </c>
      <c r="H18" s="1637">
        <v>4661779</v>
      </c>
      <c r="I18" s="1950">
        <f>((H18)*5%+((H18)))</f>
        <v>4894867.95</v>
      </c>
      <c r="J18" s="1950">
        <f t="shared" si="5"/>
        <v>5139611.3475000001</v>
      </c>
      <c r="K18" s="1950">
        <f t="shared" si="5"/>
        <v>5396591.9148749998</v>
      </c>
      <c r="L18" s="1950">
        <f t="shared" si="5"/>
        <v>5666421.51061875</v>
      </c>
      <c r="M18" s="1950">
        <f t="shared" si="5"/>
        <v>5949742.5861496879</v>
      </c>
      <c r="N18" s="1950">
        <f t="shared" si="5"/>
        <v>6247229.7154571721</v>
      </c>
      <c r="O18" s="586">
        <f t="shared" si="4"/>
        <v>61810037.024600603</v>
      </c>
    </row>
    <row r="19" spans="1:15">
      <c r="A19" s="1931" t="s">
        <v>2401</v>
      </c>
      <c r="B19" s="182"/>
      <c r="C19" s="1637">
        <v>1823700</v>
      </c>
      <c r="D19" s="1636">
        <v>1970000</v>
      </c>
      <c r="E19" s="1636">
        <v>2000000</v>
      </c>
      <c r="F19" s="1615">
        <v>2780000</v>
      </c>
      <c r="G19" s="1637">
        <v>2969000</v>
      </c>
      <c r="H19" s="1637">
        <v>3310982</v>
      </c>
      <c r="I19" s="1950">
        <f>((H19)*5%+((H19)))</f>
        <v>3476531.1</v>
      </c>
      <c r="J19" s="1950">
        <f t="shared" si="5"/>
        <v>3650357.6550000003</v>
      </c>
      <c r="K19" s="1950">
        <f t="shared" si="5"/>
        <v>3832875.5377500001</v>
      </c>
      <c r="L19" s="1950">
        <f t="shared" si="5"/>
        <v>4024519.3146375003</v>
      </c>
      <c r="M19" s="1950">
        <f t="shared" si="5"/>
        <v>4225745.2803693749</v>
      </c>
      <c r="N19" s="1950">
        <f t="shared" si="5"/>
        <v>4437032.5443878435</v>
      </c>
      <c r="O19" s="586">
        <f t="shared" si="4"/>
        <v>38500743.432144716</v>
      </c>
    </row>
    <row r="20" spans="1:15">
      <c r="A20" s="1931" t="s">
        <v>4411</v>
      </c>
      <c r="B20" s="182"/>
      <c r="C20" s="1637">
        <v>3600000</v>
      </c>
      <c r="D20" s="1636">
        <v>2310000</v>
      </c>
      <c r="E20" s="1636">
        <v>2310000</v>
      </c>
      <c r="F20" s="1615">
        <v>2437000</v>
      </c>
      <c r="G20" s="1635">
        <v>2573000</v>
      </c>
      <c r="H20" s="1950">
        <f>((G20)*5%+((G20)))</f>
        <v>2701650</v>
      </c>
      <c r="I20" s="1950">
        <f>((H20)*5%+((H20)))</f>
        <v>2836732.5</v>
      </c>
      <c r="J20" s="1950">
        <f t="shared" si="5"/>
        <v>2978569.125</v>
      </c>
      <c r="K20" s="1950">
        <f t="shared" si="5"/>
        <v>3127497.5812499998</v>
      </c>
      <c r="L20" s="1950">
        <f t="shared" si="5"/>
        <v>3283872.4603124997</v>
      </c>
      <c r="M20" s="1950">
        <f t="shared" si="5"/>
        <v>3448066.0833281246</v>
      </c>
      <c r="N20" s="1950">
        <f t="shared" si="5"/>
        <v>3620469.387494531</v>
      </c>
      <c r="O20" s="586">
        <f t="shared" si="4"/>
        <v>35226857.13738516</v>
      </c>
    </row>
    <row r="21" spans="1:15">
      <c r="A21" s="265" t="s">
        <v>992</v>
      </c>
      <c r="B21" s="182"/>
      <c r="C21" s="409">
        <f t="shared" ref="C21:N21" si="6">SUM(C12:C20)</f>
        <v>675436191</v>
      </c>
      <c r="D21" s="412">
        <f t="shared" si="6"/>
        <v>796607021</v>
      </c>
      <c r="E21" s="411">
        <f t="shared" si="6"/>
        <v>1153654273</v>
      </c>
      <c r="F21" s="409">
        <f t="shared" si="6"/>
        <v>1250515877</v>
      </c>
      <c r="G21" s="410">
        <f t="shared" si="6"/>
        <v>1355100480</v>
      </c>
      <c r="H21" s="412">
        <f t="shared" si="6"/>
        <v>1152851625</v>
      </c>
      <c r="I21" s="409">
        <f t="shared" si="6"/>
        <v>1247881110.2356</v>
      </c>
      <c r="J21" s="409">
        <f t="shared" si="6"/>
        <v>1345840183.8339479</v>
      </c>
      <c r="K21" s="409">
        <f t="shared" si="6"/>
        <v>1451542412.5591388</v>
      </c>
      <c r="L21" s="409">
        <f t="shared" si="6"/>
        <v>1565602570.2832687</v>
      </c>
      <c r="M21" s="409">
        <f t="shared" si="6"/>
        <v>1688684378.8612988</v>
      </c>
      <c r="N21" s="410">
        <f t="shared" si="6"/>
        <v>1821504412.2733402</v>
      </c>
      <c r="O21" s="933">
        <f>SUM(C21:N21)</f>
        <v>15505220535.046595</v>
      </c>
    </row>
    <row r="22" spans="1:15" ht="5" customHeight="1">
      <c r="A22" s="273"/>
      <c r="B22" s="182"/>
      <c r="C22" s="203"/>
      <c r="D22" s="202"/>
      <c r="E22" s="205"/>
      <c r="F22" s="203"/>
      <c r="G22" s="204"/>
      <c r="H22" s="202"/>
      <c r="I22" s="203"/>
      <c r="J22" s="203"/>
      <c r="K22" s="203"/>
      <c r="L22" s="203"/>
      <c r="M22" s="203"/>
      <c r="N22" s="204"/>
      <c r="O22" s="586"/>
    </row>
    <row r="23" spans="1:15">
      <c r="A23" s="249" t="s">
        <v>991</v>
      </c>
      <c r="B23" s="182">
        <v>2</v>
      </c>
      <c r="C23" s="218"/>
      <c r="D23" s="217"/>
      <c r="E23" s="220"/>
      <c r="F23" s="218"/>
      <c r="G23" s="219"/>
      <c r="H23" s="217"/>
      <c r="I23" s="218"/>
      <c r="J23" s="218"/>
      <c r="K23" s="218"/>
      <c r="L23" s="218"/>
      <c r="M23" s="218"/>
      <c r="N23" s="219"/>
      <c r="O23" s="586"/>
    </row>
    <row r="24" spans="1:15">
      <c r="A24" s="1931" t="s">
        <v>401</v>
      </c>
      <c r="B24" s="182"/>
      <c r="C24" s="1615"/>
      <c r="D24" s="1637"/>
      <c r="E24" s="1636"/>
      <c r="F24" s="1615"/>
      <c r="G24" s="1635"/>
      <c r="H24" s="1637"/>
      <c r="I24" s="1615"/>
      <c r="J24" s="1615"/>
      <c r="K24" s="1615"/>
      <c r="L24" s="1615"/>
      <c r="M24" s="1615"/>
      <c r="N24" s="1635"/>
      <c r="O24" s="586">
        <f>SUM(C24:N24)</f>
        <v>0</v>
      </c>
    </row>
    <row r="25" spans="1:15">
      <c r="A25" s="1931" t="s">
        <v>402</v>
      </c>
      <c r="B25" s="182"/>
      <c r="C25" s="1615"/>
      <c r="D25" s="1637"/>
      <c r="E25" s="1636"/>
      <c r="F25" s="1615"/>
      <c r="G25" s="1635"/>
      <c r="H25" s="1637"/>
      <c r="I25" s="1615"/>
      <c r="J25" s="1615"/>
      <c r="K25" s="1615"/>
      <c r="L25" s="1615"/>
      <c r="M25" s="1615"/>
      <c r="N25" s="1635"/>
      <c r="O25" s="586">
        <f>SUM(C25:N25)</f>
        <v>0</v>
      </c>
    </row>
    <row r="26" spans="1:15">
      <c r="A26" s="1931" t="s">
        <v>403</v>
      </c>
      <c r="B26" s="182"/>
      <c r="C26" s="1615"/>
      <c r="D26" s="1637"/>
      <c r="E26" s="1636"/>
      <c r="F26" s="1615"/>
      <c r="G26" s="1635"/>
      <c r="H26" s="1637"/>
      <c r="I26" s="1615"/>
      <c r="J26" s="1615"/>
      <c r="K26" s="1615"/>
      <c r="L26" s="1615"/>
      <c r="M26" s="1615"/>
      <c r="N26" s="1635"/>
      <c r="O26" s="586">
        <f>SUM(C26:N26)</f>
        <v>0</v>
      </c>
    </row>
    <row r="27" spans="1:15">
      <c r="A27" s="265" t="s">
        <v>1429</v>
      </c>
      <c r="B27" s="182"/>
      <c r="C27" s="409">
        <f t="shared" ref="C27:N27" si="7">SUM(C24:C26)</f>
        <v>0</v>
      </c>
      <c r="D27" s="412">
        <f t="shared" si="7"/>
        <v>0</v>
      </c>
      <c r="E27" s="411">
        <f t="shared" si="7"/>
        <v>0</v>
      </c>
      <c r="F27" s="409">
        <f t="shared" si="7"/>
        <v>0</v>
      </c>
      <c r="G27" s="410">
        <f t="shared" si="7"/>
        <v>0</v>
      </c>
      <c r="H27" s="412">
        <f t="shared" si="7"/>
        <v>0</v>
      </c>
      <c r="I27" s="409">
        <f t="shared" si="7"/>
        <v>0</v>
      </c>
      <c r="J27" s="409">
        <f t="shared" si="7"/>
        <v>0</v>
      </c>
      <c r="K27" s="409">
        <f t="shared" si="7"/>
        <v>0</v>
      </c>
      <c r="L27" s="409">
        <f t="shared" si="7"/>
        <v>0</v>
      </c>
      <c r="M27" s="409">
        <f t="shared" si="7"/>
        <v>0</v>
      </c>
      <c r="N27" s="410">
        <f t="shared" si="7"/>
        <v>0</v>
      </c>
      <c r="O27" s="933">
        <f>SUM(C27:N27)</f>
        <v>0</v>
      </c>
    </row>
    <row r="28" spans="1:15" ht="5" customHeight="1">
      <c r="A28" s="273"/>
      <c r="B28" s="182"/>
      <c r="C28" s="203"/>
      <c r="D28" s="202"/>
      <c r="E28" s="205"/>
      <c r="F28" s="203"/>
      <c r="G28" s="204"/>
      <c r="H28" s="202"/>
      <c r="I28" s="203"/>
      <c r="J28" s="203"/>
      <c r="K28" s="203"/>
      <c r="L28" s="203"/>
      <c r="M28" s="203"/>
      <c r="N28" s="204"/>
      <c r="O28" s="586"/>
    </row>
    <row r="29" spans="1:15">
      <c r="A29" s="281" t="s">
        <v>15</v>
      </c>
      <c r="B29" s="225"/>
      <c r="C29" s="230">
        <f>C21+C27</f>
        <v>675436191</v>
      </c>
      <c r="D29" s="231">
        <f t="shared" ref="D29:O29" si="8">D21+D27</f>
        <v>796607021</v>
      </c>
      <c r="E29" s="229">
        <f t="shared" si="8"/>
        <v>1153654273</v>
      </c>
      <c r="F29" s="230">
        <f t="shared" si="8"/>
        <v>1250515877</v>
      </c>
      <c r="G29" s="228">
        <f t="shared" si="8"/>
        <v>1355100480</v>
      </c>
      <c r="H29" s="231">
        <f t="shared" si="8"/>
        <v>1152851625</v>
      </c>
      <c r="I29" s="230">
        <f t="shared" si="8"/>
        <v>1247881110.2356</v>
      </c>
      <c r="J29" s="230">
        <f t="shared" si="8"/>
        <v>1345840183.8339479</v>
      </c>
      <c r="K29" s="230">
        <f t="shared" si="8"/>
        <v>1451542412.5591388</v>
      </c>
      <c r="L29" s="230">
        <f t="shared" si="8"/>
        <v>1565602570.2832687</v>
      </c>
      <c r="M29" s="230">
        <f t="shared" si="8"/>
        <v>1688684378.8612988</v>
      </c>
      <c r="N29" s="228">
        <f t="shared" si="8"/>
        <v>1821504412.2733402</v>
      </c>
      <c r="O29" s="934">
        <f t="shared" si="8"/>
        <v>15505220535.046595</v>
      </c>
    </row>
    <row r="30" spans="1:15" ht="4.5" customHeight="1">
      <c r="A30" s="249"/>
      <c r="B30" s="182"/>
      <c r="C30" s="315"/>
      <c r="D30" s="316"/>
      <c r="E30" s="317"/>
      <c r="F30" s="315"/>
      <c r="G30" s="318"/>
      <c r="H30" s="316"/>
      <c r="I30" s="315"/>
      <c r="J30" s="315"/>
      <c r="K30" s="315"/>
      <c r="L30" s="315"/>
      <c r="M30" s="315"/>
      <c r="N30" s="318"/>
      <c r="O30" s="932"/>
    </row>
    <row r="31" spans="1:15">
      <c r="A31" s="265" t="s">
        <v>16</v>
      </c>
      <c r="B31" s="182"/>
      <c r="C31" s="315"/>
      <c r="D31" s="316"/>
      <c r="E31" s="317"/>
      <c r="F31" s="315"/>
      <c r="G31" s="318"/>
      <c r="H31" s="316"/>
      <c r="I31" s="315"/>
      <c r="J31" s="315"/>
      <c r="K31" s="315"/>
      <c r="L31" s="315"/>
      <c r="M31" s="315"/>
      <c r="N31" s="318"/>
      <c r="O31" s="932"/>
    </row>
    <row r="32" spans="1:15" ht="11.25" customHeight="1">
      <c r="A32" s="249" t="s">
        <v>1618</v>
      </c>
      <c r="B32" s="182">
        <v>2</v>
      </c>
      <c r="C32" s="315"/>
      <c r="D32" s="316"/>
      <c r="E32" s="317"/>
      <c r="F32" s="315"/>
      <c r="G32" s="318"/>
      <c r="H32" s="316"/>
      <c r="I32" s="315"/>
      <c r="J32" s="315"/>
      <c r="K32" s="315"/>
      <c r="L32" s="315"/>
      <c r="M32" s="315"/>
      <c r="N32" s="318"/>
      <c r="O32" s="932"/>
    </row>
    <row r="33" spans="1:15" ht="11.25" customHeight="1">
      <c r="A33" s="1931" t="s">
        <v>401</v>
      </c>
      <c r="B33" s="182"/>
      <c r="C33" s="1950"/>
      <c r="D33" s="1951"/>
      <c r="E33" s="1952"/>
      <c r="F33" s="1950"/>
      <c r="G33" s="1953"/>
      <c r="H33" s="1951"/>
      <c r="I33" s="1950"/>
      <c r="J33" s="1950"/>
      <c r="K33" s="1950"/>
      <c r="L33" s="1950"/>
      <c r="M33" s="1950"/>
      <c r="N33" s="1953"/>
      <c r="O33" s="586">
        <f>SUM(C33:N33)</f>
        <v>0</v>
      </c>
    </row>
    <row r="34" spans="1:15" ht="11.25" customHeight="1">
      <c r="A34" s="1931" t="s">
        <v>402</v>
      </c>
      <c r="B34" s="182"/>
      <c r="C34" s="1648"/>
      <c r="D34" s="1651"/>
      <c r="E34" s="1650"/>
      <c r="F34" s="1648"/>
      <c r="G34" s="1649"/>
      <c r="H34" s="1651"/>
      <c r="I34" s="1648"/>
      <c r="J34" s="1648"/>
      <c r="K34" s="1648"/>
      <c r="L34" s="1648"/>
      <c r="M34" s="1648"/>
      <c r="N34" s="1649"/>
      <c r="O34" s="586">
        <f>SUM(C34:N34)</f>
        <v>0</v>
      </c>
    </row>
    <row r="35" spans="1:15" ht="11.25" customHeight="1">
      <c r="A35" s="1931" t="s">
        <v>403</v>
      </c>
      <c r="B35" s="182"/>
      <c r="C35" s="1615"/>
      <c r="D35" s="1637"/>
      <c r="E35" s="1636"/>
      <c r="F35" s="1615"/>
      <c r="G35" s="1635"/>
      <c r="H35" s="1637"/>
      <c r="I35" s="1615"/>
      <c r="J35" s="1615"/>
      <c r="K35" s="1615"/>
      <c r="L35" s="1615"/>
      <c r="M35" s="1615"/>
      <c r="N35" s="1635"/>
      <c r="O35" s="586">
        <f>SUM(C35:N35)</f>
        <v>0</v>
      </c>
    </row>
    <row r="36" spans="1:15" ht="11.25" customHeight="1">
      <c r="A36" s="265" t="s">
        <v>1346</v>
      </c>
      <c r="B36" s="182"/>
      <c r="C36" s="213">
        <f t="shared" ref="C36:N36" si="9">SUM(C33:C35)</f>
        <v>0</v>
      </c>
      <c r="D36" s="212">
        <f t="shared" si="9"/>
        <v>0</v>
      </c>
      <c r="E36" s="215">
        <f t="shared" si="9"/>
        <v>0</v>
      </c>
      <c r="F36" s="213">
        <f t="shared" si="9"/>
        <v>0</v>
      </c>
      <c r="G36" s="214">
        <f t="shared" si="9"/>
        <v>0</v>
      </c>
      <c r="H36" s="212">
        <f t="shared" si="9"/>
        <v>0</v>
      </c>
      <c r="I36" s="213">
        <f t="shared" si="9"/>
        <v>0</v>
      </c>
      <c r="J36" s="213">
        <f t="shared" si="9"/>
        <v>0</v>
      </c>
      <c r="K36" s="213">
        <f t="shared" si="9"/>
        <v>0</v>
      </c>
      <c r="L36" s="213">
        <f t="shared" si="9"/>
        <v>0</v>
      </c>
      <c r="M36" s="213">
        <f t="shared" si="9"/>
        <v>0</v>
      </c>
      <c r="N36" s="214">
        <f t="shared" si="9"/>
        <v>0</v>
      </c>
      <c r="O36" s="933">
        <f>SUM(C36:N36)</f>
        <v>0</v>
      </c>
    </row>
    <row r="37" spans="1:15" ht="5" customHeight="1">
      <c r="A37" s="273"/>
      <c r="B37" s="182"/>
      <c r="C37" s="203"/>
      <c r="D37" s="202"/>
      <c r="E37" s="205"/>
      <c r="F37" s="203"/>
      <c r="G37" s="204"/>
      <c r="H37" s="202"/>
      <c r="I37" s="203"/>
      <c r="J37" s="203"/>
      <c r="K37" s="203"/>
      <c r="L37" s="203"/>
      <c r="M37" s="203"/>
      <c r="N37" s="204"/>
      <c r="O37" s="586"/>
    </row>
    <row r="38" spans="1:15" ht="11.25" customHeight="1">
      <c r="A38" s="249" t="s">
        <v>990</v>
      </c>
      <c r="B38" s="182">
        <v>2</v>
      </c>
      <c r="C38" s="203"/>
      <c r="D38" s="202"/>
      <c r="E38" s="205"/>
      <c r="F38" s="203"/>
      <c r="G38" s="204"/>
      <c r="H38" s="202"/>
      <c r="I38" s="203"/>
      <c r="J38" s="203"/>
      <c r="K38" s="203"/>
      <c r="L38" s="203"/>
      <c r="M38" s="203"/>
      <c r="N38" s="204"/>
      <c r="O38" s="586"/>
    </row>
    <row r="39" spans="1:15" ht="11.25" customHeight="1">
      <c r="A39" s="1931" t="s">
        <v>401</v>
      </c>
      <c r="B39" s="182"/>
      <c r="C39" s="1615"/>
      <c r="D39" s="1637"/>
      <c r="E39" s="1636"/>
      <c r="F39" s="1615"/>
      <c r="G39" s="1635"/>
      <c r="H39" s="1637"/>
      <c r="I39" s="1615"/>
      <c r="J39" s="1615"/>
      <c r="K39" s="1615"/>
      <c r="L39" s="1615"/>
      <c r="M39" s="1615"/>
      <c r="N39" s="1635"/>
      <c r="O39" s="586">
        <f>SUM(C39:N39)</f>
        <v>0</v>
      </c>
    </row>
    <row r="40" spans="1:15" ht="11.25" customHeight="1">
      <c r="A40" s="1931" t="s">
        <v>402</v>
      </c>
      <c r="B40" s="182"/>
      <c r="C40" s="1615"/>
      <c r="D40" s="1637"/>
      <c r="E40" s="1636"/>
      <c r="F40" s="1615"/>
      <c r="G40" s="1635"/>
      <c r="H40" s="1637"/>
      <c r="I40" s="1615"/>
      <c r="J40" s="1615"/>
      <c r="K40" s="1615"/>
      <c r="L40" s="1615"/>
      <c r="M40" s="1615"/>
      <c r="N40" s="1635"/>
      <c r="O40" s="586">
        <f>SUM(C40:N40)</f>
        <v>0</v>
      </c>
    </row>
    <row r="41" spans="1:15" ht="11.25" customHeight="1">
      <c r="A41" s="1931" t="s">
        <v>403</v>
      </c>
      <c r="B41" s="182"/>
      <c r="C41" s="1615"/>
      <c r="D41" s="1637"/>
      <c r="E41" s="1636"/>
      <c r="F41" s="1615"/>
      <c r="G41" s="1635"/>
      <c r="H41" s="1637"/>
      <c r="I41" s="1615"/>
      <c r="J41" s="1615"/>
      <c r="K41" s="1615"/>
      <c r="L41" s="1615"/>
      <c r="M41" s="1615"/>
      <c r="N41" s="1635"/>
      <c r="O41" s="586">
        <f>SUM(C41:N41)</f>
        <v>0</v>
      </c>
    </row>
    <row r="42" spans="1:15" ht="11.25" customHeight="1">
      <c r="A42" s="265" t="s">
        <v>992</v>
      </c>
      <c r="B42" s="182"/>
      <c r="C42" s="409">
        <f t="shared" ref="C42:N42" si="10">SUM(C39:C41)</f>
        <v>0</v>
      </c>
      <c r="D42" s="412">
        <f t="shared" si="10"/>
        <v>0</v>
      </c>
      <c r="E42" s="411">
        <f t="shared" si="10"/>
        <v>0</v>
      </c>
      <c r="F42" s="409">
        <f t="shared" si="10"/>
        <v>0</v>
      </c>
      <c r="G42" s="410">
        <f t="shared" si="10"/>
        <v>0</v>
      </c>
      <c r="H42" s="412">
        <f t="shared" si="10"/>
        <v>0</v>
      </c>
      <c r="I42" s="409">
        <f t="shared" si="10"/>
        <v>0</v>
      </c>
      <c r="J42" s="409">
        <f t="shared" si="10"/>
        <v>0</v>
      </c>
      <c r="K42" s="409">
        <f t="shared" si="10"/>
        <v>0</v>
      </c>
      <c r="L42" s="409">
        <f t="shared" si="10"/>
        <v>0</v>
      </c>
      <c r="M42" s="409">
        <f t="shared" si="10"/>
        <v>0</v>
      </c>
      <c r="N42" s="410">
        <f t="shared" si="10"/>
        <v>0</v>
      </c>
      <c r="O42" s="933">
        <f>SUM(C42:N42)</f>
        <v>0</v>
      </c>
    </row>
    <row r="43" spans="1:15" ht="5" customHeight="1">
      <c r="A43" s="273"/>
      <c r="B43" s="182"/>
      <c r="C43" s="203"/>
      <c r="D43" s="202"/>
      <c r="E43" s="205"/>
      <c r="F43" s="203"/>
      <c r="G43" s="204"/>
      <c r="H43" s="202"/>
      <c r="I43" s="203"/>
      <c r="J43" s="203"/>
      <c r="K43" s="203"/>
      <c r="L43" s="203"/>
      <c r="M43" s="203"/>
      <c r="N43" s="204"/>
      <c r="O43" s="1070"/>
    </row>
    <row r="44" spans="1:15" ht="11.25" customHeight="1">
      <c r="A44" s="249" t="s">
        <v>991</v>
      </c>
      <c r="B44" s="182">
        <v>2</v>
      </c>
      <c r="C44" s="218"/>
      <c r="D44" s="217"/>
      <c r="E44" s="220"/>
      <c r="F44" s="218"/>
      <c r="G44" s="219"/>
      <c r="H44" s="217"/>
      <c r="I44" s="218"/>
      <c r="J44" s="218"/>
      <c r="K44" s="218"/>
      <c r="L44" s="218"/>
      <c r="M44" s="218"/>
      <c r="N44" s="219"/>
      <c r="O44" s="586"/>
    </row>
    <row r="45" spans="1:15" ht="11.25" customHeight="1">
      <c r="A45" s="1931" t="s">
        <v>401</v>
      </c>
      <c r="B45" s="182"/>
      <c r="C45" s="1615"/>
      <c r="D45" s="1637"/>
      <c r="E45" s="1636"/>
      <c r="F45" s="1615"/>
      <c r="G45" s="1635"/>
      <c r="H45" s="1637"/>
      <c r="I45" s="1615"/>
      <c r="J45" s="1615"/>
      <c r="K45" s="1615"/>
      <c r="L45" s="1615"/>
      <c r="M45" s="1615"/>
      <c r="N45" s="1635"/>
      <c r="O45" s="586">
        <f>SUM(C45:N45)</f>
        <v>0</v>
      </c>
    </row>
    <row r="46" spans="1:15" ht="11.25" customHeight="1">
      <c r="A46" s="1931" t="s">
        <v>402</v>
      </c>
      <c r="B46" s="182"/>
      <c r="C46" s="1615"/>
      <c r="D46" s="1637"/>
      <c r="E46" s="1636"/>
      <c r="F46" s="1615"/>
      <c r="G46" s="1635"/>
      <c r="H46" s="1637"/>
      <c r="I46" s="1615"/>
      <c r="J46" s="1615"/>
      <c r="K46" s="1615"/>
      <c r="L46" s="1615"/>
      <c r="M46" s="1615"/>
      <c r="N46" s="1635"/>
      <c r="O46" s="586">
        <f>SUM(C46:N46)</f>
        <v>0</v>
      </c>
    </row>
    <row r="47" spans="1:15" ht="11.25" customHeight="1">
      <c r="A47" s="1931" t="s">
        <v>403</v>
      </c>
      <c r="B47" s="182"/>
      <c r="C47" s="1615"/>
      <c r="D47" s="1637"/>
      <c r="E47" s="1636"/>
      <c r="F47" s="1615"/>
      <c r="G47" s="1635"/>
      <c r="H47" s="1637"/>
      <c r="I47" s="1615"/>
      <c r="J47" s="1615"/>
      <c r="K47" s="1615"/>
      <c r="L47" s="1615"/>
      <c r="M47" s="1615"/>
      <c r="N47" s="1635"/>
      <c r="O47" s="586">
        <f>SUM(C47:N47)</f>
        <v>0</v>
      </c>
    </row>
    <row r="48" spans="1:15" ht="11.25" customHeight="1">
      <c r="A48" s="265" t="s">
        <v>1429</v>
      </c>
      <c r="B48" s="182"/>
      <c r="C48" s="409">
        <f t="shared" ref="C48:N48" si="11">SUM(C45:C47)</f>
        <v>0</v>
      </c>
      <c r="D48" s="412">
        <f t="shared" si="11"/>
        <v>0</v>
      </c>
      <c r="E48" s="411">
        <f t="shared" si="11"/>
        <v>0</v>
      </c>
      <c r="F48" s="409">
        <f t="shared" si="11"/>
        <v>0</v>
      </c>
      <c r="G48" s="410">
        <f t="shared" si="11"/>
        <v>0</v>
      </c>
      <c r="H48" s="412">
        <f t="shared" si="11"/>
        <v>0</v>
      </c>
      <c r="I48" s="409">
        <f t="shared" si="11"/>
        <v>0</v>
      </c>
      <c r="J48" s="409">
        <f t="shared" si="11"/>
        <v>0</v>
      </c>
      <c r="K48" s="409">
        <f t="shared" si="11"/>
        <v>0</v>
      </c>
      <c r="L48" s="409">
        <f t="shared" si="11"/>
        <v>0</v>
      </c>
      <c r="M48" s="409">
        <f t="shared" si="11"/>
        <v>0</v>
      </c>
      <c r="N48" s="410">
        <f t="shared" si="11"/>
        <v>0</v>
      </c>
      <c r="O48" s="933">
        <f>SUM(C48:N48)</f>
        <v>0</v>
      </c>
    </row>
    <row r="49" spans="1:15" ht="5" customHeight="1">
      <c r="A49" s="273"/>
      <c r="B49" s="182"/>
      <c r="C49" s="203"/>
      <c r="D49" s="202"/>
      <c r="E49" s="205"/>
      <c r="F49" s="203"/>
      <c r="G49" s="204"/>
      <c r="H49" s="202"/>
      <c r="I49" s="203"/>
      <c r="J49" s="203"/>
      <c r="K49" s="203"/>
      <c r="L49" s="203"/>
      <c r="M49" s="203"/>
      <c r="N49" s="204"/>
      <c r="O49" s="586"/>
    </row>
    <row r="50" spans="1:15" ht="11.25" customHeight="1">
      <c r="A50" s="281" t="s">
        <v>17</v>
      </c>
      <c r="B50" s="225"/>
      <c r="C50" s="230">
        <f>C42+C48</f>
        <v>0</v>
      </c>
      <c r="D50" s="231">
        <f t="shared" ref="D50:O50" si="12">D42+D48</f>
        <v>0</v>
      </c>
      <c r="E50" s="229">
        <f t="shared" si="12"/>
        <v>0</v>
      </c>
      <c r="F50" s="230">
        <f t="shared" si="12"/>
        <v>0</v>
      </c>
      <c r="G50" s="228">
        <f t="shared" si="12"/>
        <v>0</v>
      </c>
      <c r="H50" s="231">
        <f t="shared" si="12"/>
        <v>0</v>
      </c>
      <c r="I50" s="230">
        <f t="shared" si="12"/>
        <v>0</v>
      </c>
      <c r="J50" s="230">
        <f t="shared" si="12"/>
        <v>0</v>
      </c>
      <c r="K50" s="230">
        <f t="shared" si="12"/>
        <v>0</v>
      </c>
      <c r="L50" s="230">
        <f t="shared" si="12"/>
        <v>0</v>
      </c>
      <c r="M50" s="230">
        <f t="shared" si="12"/>
        <v>0</v>
      </c>
      <c r="N50" s="228">
        <f t="shared" si="12"/>
        <v>0</v>
      </c>
      <c r="O50" s="934">
        <f t="shared" si="12"/>
        <v>0</v>
      </c>
    </row>
    <row r="51" spans="1:15" s="709" customFormat="1">
      <c r="A51" s="1262" t="str">
        <f>head27a</f>
        <v>References</v>
      </c>
      <c r="B51" s="1038"/>
      <c r="C51" s="1042"/>
      <c r="D51" s="1042"/>
      <c r="E51" s="1042"/>
      <c r="F51" s="1042"/>
      <c r="G51" s="1042"/>
      <c r="H51" s="1042"/>
      <c r="I51" s="1042"/>
      <c r="J51" s="1042"/>
      <c r="K51" s="1042"/>
      <c r="L51" s="1042"/>
      <c r="M51" s="1042"/>
      <c r="N51" s="1042"/>
      <c r="O51" s="1080"/>
    </row>
    <row r="52" spans="1:15" s="709" customFormat="1" ht="11.25" customHeight="1">
      <c r="A52" s="1417" t="s">
        <v>18</v>
      </c>
      <c r="B52" s="1038"/>
      <c r="C52" s="1041"/>
      <c r="D52" s="1042"/>
      <c r="E52" s="1042"/>
      <c r="F52" s="1042"/>
      <c r="G52" s="1042"/>
    </row>
    <row r="53" spans="1:15" s="709" customFormat="1" ht="11.25" customHeight="1">
      <c r="A53" s="1263" t="s">
        <v>1439</v>
      </c>
      <c r="B53" s="1038"/>
      <c r="C53" s="1041"/>
      <c r="D53" s="1042"/>
      <c r="E53" s="1042"/>
      <c r="F53" s="1042"/>
      <c r="G53" s="1042"/>
    </row>
    <row r="54" spans="1:15" ht="24.75" customHeight="1">
      <c r="A54" s="2823" t="s">
        <v>687</v>
      </c>
      <c r="B54" s="2824"/>
      <c r="C54" s="2824"/>
      <c r="D54" s="2824"/>
      <c r="E54" s="2824"/>
      <c r="F54" s="2824"/>
      <c r="G54" s="2824"/>
      <c r="H54" s="2824"/>
      <c r="I54" s="2824"/>
      <c r="J54" s="2824"/>
      <c r="K54" s="2824"/>
      <c r="L54" s="2824"/>
      <c r="M54" s="2824"/>
      <c r="N54" s="2824"/>
    </row>
    <row r="55" spans="1:15" ht="11.25" customHeight="1"/>
    <row r="56" spans="1:15" ht="11.25" customHeight="1"/>
    <row r="57" spans="1:15" ht="11.25" customHeight="1"/>
    <row r="58" spans="1:15" ht="11.25" customHeight="1"/>
    <row r="59" spans="1:15" ht="11.25" customHeight="1"/>
    <row r="60" spans="1:15" ht="11.25" customHeight="1"/>
    <row r="61" spans="1:15" ht="11.25" customHeight="1"/>
    <row r="62" spans="1:15" ht="11.25" customHeight="1"/>
    <row r="63" spans="1:15" ht="11.25" customHeight="1"/>
    <row r="64" spans="1:15"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sheetData>
  <mergeCells count="2">
    <mergeCell ref="E2:G2"/>
    <mergeCell ref="A54:N54"/>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enableFormatConditionsCalculation="0">
    <tabColor indexed="42"/>
  </sheetPr>
  <dimension ref="A1:O132"/>
  <sheetViews>
    <sheetView showGridLines="0" workbookViewId="0">
      <pane xSplit="2" ySplit="3" topLeftCell="C70" activePane="bottomRight" state="frozen"/>
      <selection pane="topRight"/>
      <selection pane="bottomLeft"/>
      <selection pane="bottomRight" activeCell="I17" sqref="I17"/>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66406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"&amp;TableA34a</f>
        <v>NW373 Rustenburg - Supporting Table SA34a Consolidated capital expenditure on new assets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65" t="str">
        <f>Head2</f>
        <v>Current Year 2012/13</v>
      </c>
      <c r="G2" s="2766"/>
      <c r="H2" s="2766"/>
      <c r="I2" s="2762" t="str">
        <f>Head3</f>
        <v>2013/14 Medium Term Revenue &amp; Expenditure Framework</v>
      </c>
      <c r="J2" s="2763"/>
      <c r="K2" s="2764"/>
    </row>
    <row r="3" spans="1:12" ht="20">
      <c r="A3" s="180" t="s">
        <v>667</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1234</v>
      </c>
      <c r="B4" s="749"/>
      <c r="C4" s="1100"/>
      <c r="D4" s="311"/>
      <c r="E4" s="314"/>
      <c r="F4" s="313"/>
      <c r="G4" s="311"/>
      <c r="H4" s="312"/>
      <c r="I4" s="313"/>
      <c r="J4" s="311"/>
      <c r="K4" s="314"/>
      <c r="L4" s="370"/>
    </row>
    <row r="5" spans="1:12" ht="5" customHeight="1">
      <c r="A5" s="249"/>
      <c r="B5" s="182"/>
      <c r="C5" s="315"/>
      <c r="D5" s="315"/>
      <c r="E5" s="318"/>
      <c r="F5" s="317"/>
      <c r="G5" s="315"/>
      <c r="H5" s="316"/>
      <c r="I5" s="317"/>
      <c r="J5" s="315"/>
      <c r="K5" s="318"/>
      <c r="L5" s="370"/>
    </row>
    <row r="6" spans="1:12" ht="11.25" customHeight="1">
      <c r="A6" s="249" t="s">
        <v>977</v>
      </c>
      <c r="B6" s="182"/>
      <c r="C6" s="394">
        <f t="shared" ref="C6:K6" si="0">C7+C10+C14+C18+C21</f>
        <v>195817275</v>
      </c>
      <c r="D6" s="394">
        <f t="shared" si="0"/>
        <v>208503918</v>
      </c>
      <c r="E6" s="345">
        <f t="shared" si="0"/>
        <v>161627620</v>
      </c>
      <c r="F6" s="395">
        <f t="shared" si="0"/>
        <v>449235840</v>
      </c>
      <c r="G6" s="394">
        <f t="shared" si="0"/>
        <v>451569134</v>
      </c>
      <c r="H6" s="396">
        <f t="shared" si="0"/>
        <v>451569134</v>
      </c>
      <c r="I6" s="395">
        <f t="shared" si="0"/>
        <v>150280000</v>
      </c>
      <c r="J6" s="394">
        <f t="shared" si="0"/>
        <v>136975000</v>
      </c>
      <c r="K6" s="345">
        <f t="shared" si="0"/>
        <v>71830000</v>
      </c>
      <c r="L6" s="1557"/>
    </row>
    <row r="7" spans="1:12" s="1533" customFormat="1" ht="12">
      <c r="A7" s="250" t="s">
        <v>536</v>
      </c>
      <c r="B7" s="182"/>
      <c r="C7" s="1111">
        <f>SUM(C8:C9)</f>
        <v>68806993</v>
      </c>
      <c r="D7" s="1111">
        <f t="shared" ref="D7:K7" si="1">SUM(D8:D9)</f>
        <v>22350139</v>
      </c>
      <c r="E7" s="1424">
        <f t="shared" si="1"/>
        <v>95986921</v>
      </c>
      <c r="F7" s="1112">
        <f t="shared" si="1"/>
        <v>263345818</v>
      </c>
      <c r="G7" s="1111">
        <f t="shared" si="1"/>
        <v>317268793</v>
      </c>
      <c r="H7" s="1148">
        <f t="shared" si="1"/>
        <v>317268793</v>
      </c>
      <c r="I7" s="1425">
        <f t="shared" si="1"/>
        <v>0</v>
      </c>
      <c r="J7" s="1111">
        <f t="shared" si="1"/>
        <v>0</v>
      </c>
      <c r="K7" s="1148">
        <f t="shared" si="1"/>
        <v>0</v>
      </c>
      <c r="L7" s="370"/>
    </row>
    <row r="8" spans="1:12" s="1533" customFormat="1" ht="12">
      <c r="A8" s="1290" t="s">
        <v>537</v>
      </c>
      <c r="B8" s="182"/>
      <c r="C8" s="1615">
        <v>68806993</v>
      </c>
      <c r="D8" s="1615">
        <v>22350139</v>
      </c>
      <c r="E8" s="1635">
        <v>95986921</v>
      </c>
      <c r="F8" s="1055">
        <v>263345818</v>
      </c>
      <c r="G8" s="1615">
        <v>317268793</v>
      </c>
      <c r="H8" s="1637">
        <v>317268793</v>
      </c>
      <c r="I8" s="1055"/>
      <c r="J8" s="1053"/>
      <c r="K8" s="1054"/>
      <c r="L8" s="1557"/>
    </row>
    <row r="9" spans="1:12" s="1533" customFormat="1" ht="12">
      <c r="A9" s="1290" t="s">
        <v>538</v>
      </c>
      <c r="B9" s="182"/>
      <c r="C9" s="1615"/>
      <c r="D9" s="1615"/>
      <c r="E9" s="1635"/>
      <c r="F9" s="1636"/>
      <c r="G9" s="1615"/>
      <c r="H9" s="1637"/>
      <c r="I9" s="1636"/>
      <c r="J9" s="1615"/>
      <c r="K9" s="1635"/>
      <c r="L9" s="1558"/>
    </row>
    <row r="10" spans="1:12" s="1533" customFormat="1" ht="12">
      <c r="A10" s="250" t="s">
        <v>21</v>
      </c>
      <c r="B10" s="182"/>
      <c r="C10" s="1064">
        <f>SUM(C11:C13)</f>
        <v>75564554</v>
      </c>
      <c r="D10" s="1064">
        <f t="shared" ref="D10:K10" si="2">SUM(D11:D13)</f>
        <v>109777617</v>
      </c>
      <c r="E10" s="1426">
        <f t="shared" si="2"/>
        <v>37297172</v>
      </c>
      <c r="F10" s="1068">
        <f t="shared" si="2"/>
        <v>94510000</v>
      </c>
      <c r="G10" s="1064">
        <f t="shared" si="2"/>
        <v>60746667</v>
      </c>
      <c r="H10" s="1151">
        <f t="shared" si="2"/>
        <v>60746667</v>
      </c>
      <c r="I10" s="1427">
        <f t="shared" si="2"/>
        <v>49455000</v>
      </c>
      <c r="J10" s="1064">
        <f t="shared" si="2"/>
        <v>26600000</v>
      </c>
      <c r="K10" s="1151">
        <f t="shared" si="2"/>
        <v>28430000</v>
      </c>
      <c r="L10" s="1558"/>
    </row>
    <row r="11" spans="1:12" s="1533" customFormat="1" ht="12">
      <c r="A11" s="1290" t="s">
        <v>22</v>
      </c>
      <c r="B11" s="182"/>
      <c r="C11" s="1615"/>
      <c r="D11" s="1615"/>
      <c r="E11" s="1616"/>
      <c r="F11" s="2534"/>
      <c r="G11" s="1615"/>
      <c r="H11" s="1618"/>
      <c r="I11" s="2535"/>
      <c r="J11" s="1053"/>
      <c r="K11" s="1618"/>
      <c r="L11" s="1558"/>
    </row>
    <row r="12" spans="1:12" s="1533" customFormat="1" ht="12">
      <c r="A12" s="1290" t="s">
        <v>23</v>
      </c>
      <c r="B12" s="182"/>
      <c r="C12" s="1615">
        <v>58542912</v>
      </c>
      <c r="D12" s="1615">
        <v>98038882</v>
      </c>
      <c r="E12" s="1616">
        <v>35634060</v>
      </c>
      <c r="F12" s="2535">
        <v>94510000</v>
      </c>
      <c r="G12" s="1615">
        <v>58510000</v>
      </c>
      <c r="H12" s="1618">
        <v>58510000</v>
      </c>
      <c r="I12" s="1053">
        <v>49455000</v>
      </c>
      <c r="J12" s="1618">
        <v>26600000</v>
      </c>
      <c r="K12" s="1618">
        <v>28430000</v>
      </c>
      <c r="L12" s="1558"/>
    </row>
    <row r="13" spans="1:12" s="1533" customFormat="1" ht="12">
      <c r="A13" s="1290" t="s">
        <v>137</v>
      </c>
      <c r="B13" s="182"/>
      <c r="C13" s="1615">
        <v>17021642</v>
      </c>
      <c r="D13" s="1615">
        <v>11738735</v>
      </c>
      <c r="E13" s="1616">
        <v>1663112</v>
      </c>
      <c r="F13" s="2534">
        <v>0</v>
      </c>
      <c r="G13" s="1615">
        <v>2236667</v>
      </c>
      <c r="H13" s="1618">
        <v>2236667</v>
      </c>
      <c r="I13" s="2535">
        <v>0</v>
      </c>
      <c r="J13" s="1053">
        <v>0</v>
      </c>
      <c r="K13" s="1618">
        <v>0</v>
      </c>
      <c r="L13" s="1558"/>
    </row>
    <row r="14" spans="1:12" s="1533" customFormat="1" ht="12">
      <c r="A14" s="254" t="s">
        <v>24</v>
      </c>
      <c r="B14" s="350"/>
      <c r="C14" s="1064">
        <f>SUM(C15:C17)</f>
        <v>15490424</v>
      </c>
      <c r="D14" s="1064">
        <f t="shared" ref="D14:K14" si="3">SUM(D15:D17)</f>
        <v>14643305</v>
      </c>
      <c r="E14" s="1426">
        <f t="shared" si="3"/>
        <v>11709729</v>
      </c>
      <c r="F14" s="1068">
        <f t="shared" si="3"/>
        <v>45630876</v>
      </c>
      <c r="G14" s="1064">
        <f t="shared" si="3"/>
        <v>24261565</v>
      </c>
      <c r="H14" s="1151">
        <f t="shared" si="3"/>
        <v>24261565</v>
      </c>
      <c r="I14" s="1427">
        <f t="shared" si="3"/>
        <v>75300000</v>
      </c>
      <c r="J14" s="1064">
        <f t="shared" si="3"/>
        <v>84000000</v>
      </c>
      <c r="K14" s="1151">
        <f t="shared" si="3"/>
        <v>28000000</v>
      </c>
      <c r="L14" s="1558"/>
    </row>
    <row r="15" spans="1:12" s="1533" customFormat="1" ht="12">
      <c r="A15" s="1290" t="s">
        <v>25</v>
      </c>
      <c r="B15" s="182"/>
      <c r="C15" s="1615"/>
      <c r="D15" s="1615"/>
      <c r="E15" s="1616"/>
      <c r="F15" s="2534"/>
      <c r="G15" s="1615"/>
      <c r="H15" s="1618"/>
      <c r="I15" s="2535"/>
      <c r="J15" s="1615"/>
      <c r="K15" s="1618"/>
      <c r="L15" s="1558"/>
    </row>
    <row r="16" spans="1:12" s="1533" customFormat="1" ht="12">
      <c r="A16" s="1290" t="s">
        <v>26</v>
      </c>
      <c r="B16" s="182"/>
      <c r="C16" s="1615"/>
      <c r="D16" s="1615"/>
      <c r="E16" s="1616"/>
      <c r="F16" s="2534"/>
      <c r="G16" s="1615"/>
      <c r="H16" s="1618"/>
      <c r="I16" s="2535"/>
      <c r="J16" s="1615"/>
      <c r="K16" s="1618"/>
      <c r="L16" s="1558"/>
    </row>
    <row r="17" spans="1:12" s="1533" customFormat="1" ht="12">
      <c r="A17" s="1290" t="s">
        <v>27</v>
      </c>
      <c r="B17" s="182"/>
      <c r="C17" s="1615">
        <v>15490424</v>
      </c>
      <c r="D17" s="1615">
        <v>14643305</v>
      </c>
      <c r="E17" s="1616">
        <v>11709729</v>
      </c>
      <c r="F17" s="2535">
        <v>45630876</v>
      </c>
      <c r="G17" s="1615">
        <v>24261565</v>
      </c>
      <c r="H17" s="1618">
        <v>24261565</v>
      </c>
      <c r="I17" s="1053">
        <v>75300000</v>
      </c>
      <c r="J17" s="1618">
        <v>84000000</v>
      </c>
      <c r="K17" s="1618">
        <v>28000000</v>
      </c>
      <c r="L17" s="1558"/>
    </row>
    <row r="18" spans="1:12" s="1533" customFormat="1" ht="12">
      <c r="A18" s="254" t="s">
        <v>28</v>
      </c>
      <c r="B18" s="182"/>
      <c r="C18" s="1064">
        <f t="shared" ref="C18:K18" si="4">SUM(C19:C20)</f>
        <v>19743942</v>
      </c>
      <c r="D18" s="1064">
        <f t="shared" si="4"/>
        <v>36676281</v>
      </c>
      <c r="E18" s="1426">
        <f t="shared" si="4"/>
        <v>4924372</v>
      </c>
      <c r="F18" s="1068">
        <f t="shared" si="4"/>
        <v>19999146</v>
      </c>
      <c r="G18" s="1064">
        <f t="shared" si="4"/>
        <v>20158120</v>
      </c>
      <c r="H18" s="1151">
        <f t="shared" si="4"/>
        <v>20158120</v>
      </c>
      <c r="I18" s="1427">
        <f t="shared" si="4"/>
        <v>25150000</v>
      </c>
      <c r="J18" s="1064">
        <f t="shared" si="4"/>
        <v>26000000</v>
      </c>
      <c r="K18" s="1151">
        <f t="shared" si="4"/>
        <v>15000000</v>
      </c>
      <c r="L18" s="1558"/>
    </row>
    <row r="19" spans="1:12" s="1533" customFormat="1" ht="12">
      <c r="A19" s="1290" t="s">
        <v>27</v>
      </c>
      <c r="B19" s="182"/>
      <c r="C19" s="1615">
        <v>19743942</v>
      </c>
      <c r="D19" s="1615">
        <v>36676281</v>
      </c>
      <c r="E19" s="1616">
        <v>4924372</v>
      </c>
      <c r="F19" s="2535">
        <v>19999146</v>
      </c>
      <c r="G19" s="1615">
        <v>20158120</v>
      </c>
      <c r="H19" s="1618">
        <v>20158120</v>
      </c>
      <c r="I19" s="2535">
        <v>25150000</v>
      </c>
      <c r="J19" s="1618">
        <v>26000000</v>
      </c>
      <c r="K19" s="1618">
        <v>15000000</v>
      </c>
      <c r="L19" s="1558"/>
    </row>
    <row r="20" spans="1:12" s="1533" customFormat="1" ht="12">
      <c r="A20" s="1290" t="s">
        <v>29</v>
      </c>
      <c r="B20" s="182"/>
      <c r="C20" s="1615"/>
      <c r="D20" s="1615"/>
      <c r="E20" s="1616"/>
      <c r="F20" s="2534"/>
      <c r="G20" s="1615"/>
      <c r="H20" s="1618"/>
      <c r="I20" s="2535"/>
      <c r="J20" s="1615"/>
      <c r="K20" s="1618"/>
      <c r="L20" s="1558"/>
    </row>
    <row r="21" spans="1:12" s="1533" customFormat="1" ht="12">
      <c r="A21" s="250" t="s">
        <v>30</v>
      </c>
      <c r="B21" s="182"/>
      <c r="C21" s="1064">
        <f>SUM(C22:C25)</f>
        <v>16211362</v>
      </c>
      <c r="D21" s="1064">
        <f t="shared" ref="D21:K21" si="5">SUM(D22:D25)</f>
        <v>25056576</v>
      </c>
      <c r="E21" s="1064">
        <f t="shared" si="5"/>
        <v>11709426</v>
      </c>
      <c r="F21" s="1068">
        <f t="shared" si="5"/>
        <v>25750000</v>
      </c>
      <c r="G21" s="1064">
        <f t="shared" si="5"/>
        <v>29133989</v>
      </c>
      <c r="H21" s="1151">
        <f t="shared" si="5"/>
        <v>29133989</v>
      </c>
      <c r="I21" s="1427">
        <f t="shared" si="5"/>
        <v>375000</v>
      </c>
      <c r="J21" s="1064">
        <f t="shared" si="5"/>
        <v>375000</v>
      </c>
      <c r="K21" s="1151">
        <f t="shared" si="5"/>
        <v>400000</v>
      </c>
      <c r="L21" s="1558"/>
    </row>
    <row r="22" spans="1:12" s="1533" customFormat="1" ht="12">
      <c r="A22" s="1290" t="s">
        <v>1088</v>
      </c>
      <c r="B22" s="182"/>
      <c r="C22" s="1615">
        <f>21668087-5456725</f>
        <v>16211362</v>
      </c>
      <c r="D22" s="1615">
        <f>26123250-1066674</f>
        <v>25056576</v>
      </c>
      <c r="E22" s="1637">
        <f>21896400-10186974</f>
        <v>11709426</v>
      </c>
      <c r="F22" s="1055">
        <v>25750000</v>
      </c>
      <c r="G22" s="1615">
        <v>29133989</v>
      </c>
      <c r="H22" s="1637">
        <v>29133989</v>
      </c>
      <c r="I22" s="1053">
        <v>375000</v>
      </c>
      <c r="J22" s="1618">
        <v>375000</v>
      </c>
      <c r="K22" s="1618">
        <v>400000</v>
      </c>
      <c r="L22" s="1557"/>
    </row>
    <row r="23" spans="1:12" s="1533" customFormat="1" ht="12">
      <c r="A23" s="1290" t="s">
        <v>320</v>
      </c>
      <c r="B23" s="182">
        <v>2</v>
      </c>
      <c r="C23" s="1615"/>
      <c r="D23" s="1615"/>
      <c r="E23" s="1635"/>
      <c r="F23" s="1636"/>
      <c r="G23" s="1615"/>
      <c r="H23" s="1637"/>
      <c r="I23" s="1055"/>
      <c r="J23" s="1053"/>
      <c r="K23" s="1618"/>
      <c r="L23" s="1558"/>
    </row>
    <row r="24" spans="1:12" s="1533" customFormat="1" ht="12">
      <c r="A24" s="1290" t="s">
        <v>138</v>
      </c>
      <c r="B24" s="182"/>
      <c r="C24" s="1615"/>
      <c r="D24" s="1615"/>
      <c r="E24" s="1635"/>
      <c r="F24" s="1636"/>
      <c r="G24" s="1615"/>
      <c r="H24" s="1637"/>
      <c r="I24" s="1055"/>
      <c r="J24" s="1053"/>
      <c r="K24" s="1054"/>
      <c r="L24" s="1558"/>
    </row>
    <row r="25" spans="1:12" s="1533" customFormat="1" ht="12">
      <c r="A25" s="1290" t="s">
        <v>293</v>
      </c>
      <c r="B25" s="182">
        <v>3</v>
      </c>
      <c r="C25" s="1615">
        <v>0</v>
      </c>
      <c r="D25" s="1615">
        <v>0</v>
      </c>
      <c r="E25" s="1635">
        <v>0</v>
      </c>
      <c r="F25" s="1636">
        <v>0</v>
      </c>
      <c r="G25" s="1615">
        <v>0</v>
      </c>
      <c r="H25" s="1637">
        <f>F25+G25</f>
        <v>0</v>
      </c>
      <c r="I25" s="1055">
        <v>0</v>
      </c>
      <c r="J25" s="1053">
        <v>0</v>
      </c>
      <c r="K25" s="1054">
        <v>0</v>
      </c>
      <c r="L25" s="1558"/>
    </row>
    <row r="26" spans="1:12" ht="5" customHeight="1">
      <c r="A26" s="273"/>
      <c r="B26" s="182"/>
      <c r="C26" s="203"/>
      <c r="D26" s="203"/>
      <c r="E26" s="204"/>
      <c r="F26" s="205"/>
      <c r="G26" s="203"/>
      <c r="H26" s="202"/>
      <c r="I26" s="205"/>
      <c r="J26" s="203"/>
      <c r="K26" s="204"/>
      <c r="L26" s="370"/>
    </row>
    <row r="27" spans="1:12" ht="17.25" customHeight="1">
      <c r="A27" s="249" t="s">
        <v>1571</v>
      </c>
      <c r="B27" s="182"/>
      <c r="C27" s="218">
        <f>SUM(C28:C41)</f>
        <v>29831601</v>
      </c>
      <c r="D27" s="218">
        <f t="shared" ref="D27:K27" si="6">SUM(D28:D41)</f>
        <v>9218593</v>
      </c>
      <c r="E27" s="219">
        <f t="shared" si="6"/>
        <v>10628126</v>
      </c>
      <c r="F27" s="220">
        <f t="shared" si="6"/>
        <v>6911000</v>
      </c>
      <c r="G27" s="218">
        <f t="shared" si="6"/>
        <v>22320707</v>
      </c>
      <c r="H27" s="217">
        <f t="shared" si="6"/>
        <v>22320707</v>
      </c>
      <c r="I27" s="220">
        <f t="shared" si="6"/>
        <v>5806350</v>
      </c>
      <c r="J27" s="218">
        <f t="shared" si="6"/>
        <v>1878000</v>
      </c>
      <c r="K27" s="219">
        <f t="shared" si="6"/>
        <v>981000</v>
      </c>
      <c r="L27" s="370"/>
    </row>
    <row r="28" spans="1:12" ht="11.25" customHeight="1">
      <c r="A28" s="250" t="s">
        <v>2</v>
      </c>
      <c r="B28" s="182"/>
      <c r="C28" s="1620">
        <v>867987</v>
      </c>
      <c r="D28" s="1620">
        <v>733618</v>
      </c>
      <c r="E28" s="1884">
        <v>311645</v>
      </c>
      <c r="F28" s="1935">
        <v>0</v>
      </c>
      <c r="G28" s="1620">
        <v>0</v>
      </c>
      <c r="H28" s="1954">
        <v>0</v>
      </c>
      <c r="I28" s="1620">
        <v>3230000</v>
      </c>
      <c r="J28" s="1884">
        <v>80000</v>
      </c>
      <c r="K28" s="1884">
        <v>250000</v>
      </c>
      <c r="L28" s="1558"/>
    </row>
    <row r="29" spans="1:12" ht="11.25" customHeight="1">
      <c r="A29" s="250" t="s">
        <v>1591</v>
      </c>
      <c r="B29" s="182"/>
      <c r="C29" s="1615">
        <v>16524708</v>
      </c>
      <c r="D29" s="1615">
        <v>1335130</v>
      </c>
      <c r="E29" s="1635">
        <v>3071879</v>
      </c>
      <c r="F29" s="1055">
        <v>0</v>
      </c>
      <c r="G29" s="1615">
        <v>0</v>
      </c>
      <c r="H29" s="1637">
        <v>0</v>
      </c>
      <c r="I29" s="1053">
        <v>0</v>
      </c>
      <c r="J29" s="1054">
        <v>350000</v>
      </c>
      <c r="K29" s="1054">
        <v>0</v>
      </c>
      <c r="L29" s="1558"/>
    </row>
    <row r="30" spans="1:12" ht="11.25" customHeight="1">
      <c r="A30" s="250" t="s">
        <v>505</v>
      </c>
      <c r="B30" s="182"/>
      <c r="C30" s="1615">
        <v>119069</v>
      </c>
      <c r="D30" s="1615">
        <v>193750</v>
      </c>
      <c r="E30" s="1635">
        <v>75023</v>
      </c>
      <c r="F30" s="1055">
        <v>0</v>
      </c>
      <c r="G30" s="1615">
        <v>0</v>
      </c>
      <c r="H30" s="1637">
        <v>0</v>
      </c>
      <c r="I30" s="1053">
        <v>148000</v>
      </c>
      <c r="J30" s="1054">
        <v>0</v>
      </c>
      <c r="K30" s="1054">
        <v>0</v>
      </c>
      <c r="L30" s="1558"/>
    </row>
    <row r="31" spans="1:12" ht="11.25" customHeight="1">
      <c r="A31" s="250" t="s">
        <v>1</v>
      </c>
      <c r="B31" s="182"/>
      <c r="C31" s="1615">
        <v>284443</v>
      </c>
      <c r="D31" s="1615">
        <v>2231423</v>
      </c>
      <c r="E31" s="1635">
        <v>2214922</v>
      </c>
      <c r="F31" s="1055">
        <v>250000</v>
      </c>
      <c r="G31" s="1615">
        <v>426390</v>
      </c>
      <c r="H31" s="1637">
        <v>426390</v>
      </c>
      <c r="I31" s="1053">
        <v>2080000</v>
      </c>
      <c r="J31" s="1054">
        <v>250000</v>
      </c>
      <c r="K31" s="1054">
        <v>0</v>
      </c>
      <c r="L31" s="1558"/>
    </row>
    <row r="32" spans="1:12" ht="11.25" customHeight="1">
      <c r="A32" s="250" t="s">
        <v>339</v>
      </c>
      <c r="B32" s="182"/>
      <c r="C32" s="1615">
        <v>2767416</v>
      </c>
      <c r="D32" s="1615">
        <v>1080885</v>
      </c>
      <c r="E32" s="1635">
        <v>830823</v>
      </c>
      <c r="F32" s="1055">
        <v>418000</v>
      </c>
      <c r="G32" s="1615">
        <v>418000</v>
      </c>
      <c r="H32" s="1637">
        <v>418000</v>
      </c>
      <c r="I32" s="1053">
        <v>183100</v>
      </c>
      <c r="J32" s="1054">
        <v>213000</v>
      </c>
      <c r="K32" s="1054">
        <v>499000</v>
      </c>
      <c r="L32" s="1558"/>
    </row>
    <row r="33" spans="1:15" ht="11.25" customHeight="1">
      <c r="A33" s="250" t="s">
        <v>0</v>
      </c>
      <c r="B33" s="182"/>
      <c r="C33" s="1615"/>
      <c r="D33" s="1615">
        <v>0</v>
      </c>
      <c r="E33" s="1635">
        <v>0</v>
      </c>
      <c r="F33" s="1055"/>
      <c r="G33" s="1615"/>
      <c r="H33" s="1637"/>
      <c r="I33" s="1053">
        <v>0</v>
      </c>
      <c r="J33" s="1054">
        <v>0</v>
      </c>
      <c r="K33" s="1054">
        <v>0</v>
      </c>
      <c r="L33" s="1558"/>
    </row>
    <row r="34" spans="1:15" ht="11.25" customHeight="1">
      <c r="A34" s="250" t="s">
        <v>1592</v>
      </c>
      <c r="B34" s="182"/>
      <c r="C34" s="1615">
        <v>24442</v>
      </c>
      <c r="D34" s="1615">
        <f>8878365-6931937</f>
        <v>1946428</v>
      </c>
      <c r="E34" s="1635">
        <f>4448278-1584987</f>
        <v>2863291</v>
      </c>
      <c r="F34" s="1055">
        <v>373000</v>
      </c>
      <c r="G34" s="1615">
        <v>14503350</v>
      </c>
      <c r="H34" s="1637">
        <v>14503350</v>
      </c>
      <c r="I34" s="1053">
        <v>0</v>
      </c>
      <c r="J34" s="1054">
        <v>0</v>
      </c>
      <c r="K34" s="1054">
        <v>0</v>
      </c>
      <c r="L34" s="1558"/>
    </row>
    <row r="35" spans="1:15" ht="11.25" customHeight="1">
      <c r="A35" s="250" t="s">
        <v>962</v>
      </c>
      <c r="B35" s="182"/>
      <c r="C35" s="1615">
        <f>827351+449912</f>
        <v>1277263</v>
      </c>
      <c r="D35" s="1615">
        <v>20255</v>
      </c>
      <c r="E35" s="1635">
        <v>89419</v>
      </c>
      <c r="F35" s="1055">
        <v>5870000</v>
      </c>
      <c r="G35" s="1615">
        <v>5870000</v>
      </c>
      <c r="H35" s="1637">
        <v>5870000</v>
      </c>
      <c r="I35" s="1053">
        <v>92000</v>
      </c>
      <c r="J35" s="1054">
        <v>200000</v>
      </c>
      <c r="K35" s="1054">
        <v>162000</v>
      </c>
      <c r="L35" s="1558"/>
    </row>
    <row r="36" spans="1:15" ht="11.25" customHeight="1">
      <c r="A36" s="250" t="s">
        <v>1527</v>
      </c>
      <c r="B36" s="182">
        <v>7</v>
      </c>
      <c r="C36" s="1615"/>
      <c r="D36" s="1615"/>
      <c r="E36" s="1635"/>
      <c r="F36" s="1636"/>
      <c r="G36" s="1615"/>
      <c r="H36" s="1637"/>
      <c r="I36" s="1053">
        <v>0</v>
      </c>
      <c r="J36" s="1054">
        <v>0</v>
      </c>
      <c r="K36" s="1054">
        <v>0</v>
      </c>
      <c r="L36" s="1558"/>
    </row>
    <row r="37" spans="1:15" ht="11.25" customHeight="1">
      <c r="A37" s="250" t="s">
        <v>1285</v>
      </c>
      <c r="B37" s="182"/>
      <c r="C37" s="1615">
        <v>317878</v>
      </c>
      <c r="D37" s="1615">
        <v>46449</v>
      </c>
      <c r="E37" s="1635">
        <v>0</v>
      </c>
      <c r="F37" s="1636">
        <v>0</v>
      </c>
      <c r="G37" s="1615">
        <v>0</v>
      </c>
      <c r="H37" s="1637">
        <v>0</v>
      </c>
      <c r="I37" s="1053">
        <v>0</v>
      </c>
      <c r="J37" s="1054">
        <v>0</v>
      </c>
      <c r="K37" s="1054">
        <v>0</v>
      </c>
      <c r="L37" s="1558"/>
      <c r="O37" s="370"/>
    </row>
    <row r="38" spans="1:15" ht="11.25" customHeight="1">
      <c r="A38" s="250" t="s">
        <v>724</v>
      </c>
      <c r="B38" s="182"/>
      <c r="C38" s="1615"/>
      <c r="D38" s="1615"/>
      <c r="E38" s="1635"/>
      <c r="F38" s="1636"/>
      <c r="G38" s="1615"/>
      <c r="H38" s="1637"/>
      <c r="I38" s="1053">
        <v>0</v>
      </c>
      <c r="J38" s="1054">
        <v>0</v>
      </c>
      <c r="K38" s="1054">
        <v>0</v>
      </c>
      <c r="L38" s="1558"/>
    </row>
    <row r="39" spans="1:15" ht="11.25" customHeight="1">
      <c r="A39" s="250" t="s">
        <v>503</v>
      </c>
      <c r="B39" s="182"/>
      <c r="C39" s="1615">
        <v>7307379</v>
      </c>
      <c r="D39" s="1615">
        <v>1286874</v>
      </c>
      <c r="E39" s="1635">
        <v>943213</v>
      </c>
      <c r="F39" s="1636">
        <v>0</v>
      </c>
      <c r="G39" s="1615">
        <v>102967</v>
      </c>
      <c r="H39" s="1637">
        <v>102967</v>
      </c>
      <c r="I39" s="1053">
        <v>0</v>
      </c>
      <c r="J39" s="1054">
        <v>735000</v>
      </c>
      <c r="K39" s="1054">
        <v>0</v>
      </c>
      <c r="L39" s="1558"/>
    </row>
    <row r="40" spans="1:15" ht="11.25" customHeight="1">
      <c r="A40" s="250" t="s">
        <v>31</v>
      </c>
      <c r="B40" s="182">
        <v>8</v>
      </c>
      <c r="C40" s="1615"/>
      <c r="D40" s="1615"/>
      <c r="E40" s="1635"/>
      <c r="F40" s="1636"/>
      <c r="G40" s="1615"/>
      <c r="H40" s="1637"/>
      <c r="I40" s="1053">
        <v>0</v>
      </c>
      <c r="J40" s="1054">
        <v>0</v>
      </c>
      <c r="K40" s="1054">
        <v>0</v>
      </c>
      <c r="L40" s="370"/>
    </row>
    <row r="41" spans="1:15" ht="11.25" customHeight="1">
      <c r="A41" s="250" t="s">
        <v>293</v>
      </c>
      <c r="B41" s="182"/>
      <c r="C41" s="1656">
        <f>121008+220008</f>
        <v>341016</v>
      </c>
      <c r="D41" s="1656">
        <f>1870+341911</f>
        <v>343781</v>
      </c>
      <c r="E41" s="1657">
        <v>227911</v>
      </c>
      <c r="F41" s="1658">
        <v>0</v>
      </c>
      <c r="G41" s="1656">
        <v>1000000</v>
      </c>
      <c r="H41" s="1659">
        <v>1000000</v>
      </c>
      <c r="I41" s="1656">
        <v>73250</v>
      </c>
      <c r="J41" s="1657">
        <v>50000</v>
      </c>
      <c r="K41" s="1657">
        <v>70000</v>
      </c>
      <c r="L41" s="1558"/>
    </row>
    <row r="42" spans="1:15" ht="5" customHeight="1">
      <c r="A42" s="273"/>
      <c r="B42" s="182"/>
      <c r="C42" s="203"/>
      <c r="D42" s="203"/>
      <c r="E42" s="204"/>
      <c r="F42" s="205"/>
      <c r="G42" s="203"/>
      <c r="H42" s="202"/>
      <c r="I42" s="205"/>
      <c r="J42" s="203"/>
      <c r="K42" s="204"/>
      <c r="L42" s="370"/>
    </row>
    <row r="43" spans="1:15" ht="17.25" customHeight="1">
      <c r="A43" s="249" t="s">
        <v>965</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1257</v>
      </c>
      <c r="B44" s="182"/>
      <c r="C44" s="1624"/>
      <c r="D44" s="1624"/>
      <c r="E44" s="1955">
        <v>0</v>
      </c>
      <c r="F44" s="1956"/>
      <c r="G44" s="1624"/>
      <c r="H44" s="1957"/>
      <c r="I44" s="1956"/>
      <c r="J44" s="1624"/>
      <c r="K44" s="1955"/>
      <c r="L44" s="370"/>
    </row>
    <row r="45" spans="1:15" ht="11.25" customHeight="1">
      <c r="A45" s="254" t="s">
        <v>293</v>
      </c>
      <c r="B45" s="182">
        <v>9</v>
      </c>
      <c r="C45" s="1652"/>
      <c r="D45" s="1652"/>
      <c r="E45" s="1958"/>
      <c r="F45" s="1959"/>
      <c r="G45" s="1652"/>
      <c r="H45" s="1960"/>
      <c r="I45" s="1959"/>
      <c r="J45" s="1652"/>
      <c r="K45" s="1958"/>
      <c r="L45" s="370"/>
    </row>
    <row r="46" spans="1:15" ht="5" customHeight="1">
      <c r="A46" s="273"/>
      <c r="B46" s="182"/>
      <c r="C46" s="203"/>
      <c r="D46" s="203"/>
      <c r="E46" s="204"/>
      <c r="F46" s="205"/>
      <c r="G46" s="203"/>
      <c r="H46" s="202"/>
      <c r="I46" s="205"/>
      <c r="J46" s="203"/>
      <c r="K46" s="204"/>
      <c r="L46" s="370"/>
    </row>
    <row r="47" spans="1:15" ht="17.25" customHeight="1">
      <c r="A47" s="249" t="s">
        <v>966</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504</v>
      </c>
      <c r="B48" s="182"/>
      <c r="C48" s="1620"/>
      <c r="D48" s="1620"/>
      <c r="E48" s="1884"/>
      <c r="F48" s="1935">
        <v>0</v>
      </c>
      <c r="G48" s="1620"/>
      <c r="H48" s="1954"/>
      <c r="I48" s="1935">
        <v>0</v>
      </c>
      <c r="J48" s="1620">
        <v>0</v>
      </c>
      <c r="K48" s="1884">
        <v>0</v>
      </c>
      <c r="L48" s="1558"/>
    </row>
    <row r="49" spans="1:12" ht="11.25" customHeight="1">
      <c r="A49" s="250" t="s">
        <v>293</v>
      </c>
      <c r="B49" s="182"/>
      <c r="C49" s="1656"/>
      <c r="D49" s="1656"/>
      <c r="E49" s="1657"/>
      <c r="F49" s="1658"/>
      <c r="G49" s="1656"/>
      <c r="H49" s="1659"/>
      <c r="I49" s="1658"/>
      <c r="J49" s="1656"/>
      <c r="K49" s="1657"/>
      <c r="L49" s="370"/>
    </row>
    <row r="50" spans="1:12" ht="5" customHeight="1">
      <c r="A50" s="273"/>
      <c r="B50" s="182"/>
      <c r="C50" s="203"/>
      <c r="D50" s="203"/>
      <c r="E50" s="204"/>
      <c r="F50" s="205"/>
      <c r="G50" s="203"/>
      <c r="H50" s="202"/>
      <c r="I50" s="205"/>
      <c r="J50" s="203"/>
      <c r="K50" s="204"/>
      <c r="L50" s="370"/>
    </row>
    <row r="51" spans="1:12" ht="17.25" customHeight="1">
      <c r="A51" s="249" t="s">
        <v>967</v>
      </c>
      <c r="B51" s="182"/>
      <c r="C51" s="218">
        <f>SUM(C52:C63)</f>
        <v>23566639</v>
      </c>
      <c r="D51" s="218">
        <f t="shared" ref="D51:K51" si="9">SUM(D52:D63)</f>
        <v>19607427</v>
      </c>
      <c r="E51" s="219">
        <f t="shared" si="9"/>
        <v>22009046</v>
      </c>
      <c r="F51" s="220">
        <f t="shared" si="9"/>
        <v>29974083</v>
      </c>
      <c r="G51" s="218">
        <f t="shared" si="9"/>
        <v>44201869</v>
      </c>
      <c r="H51" s="217">
        <f t="shared" si="9"/>
        <v>44201869</v>
      </c>
      <c r="I51" s="220">
        <f t="shared" si="9"/>
        <v>30286750</v>
      </c>
      <c r="J51" s="218">
        <f t="shared" si="9"/>
        <v>25660000</v>
      </c>
      <c r="K51" s="219">
        <f t="shared" si="9"/>
        <v>2375000</v>
      </c>
      <c r="L51" s="370"/>
    </row>
    <row r="52" spans="1:12" ht="11.25" customHeight="1">
      <c r="A52" s="254" t="s">
        <v>632</v>
      </c>
      <c r="B52" s="182"/>
      <c r="C52" s="1620">
        <f>87423+1492969</f>
        <v>1580392</v>
      </c>
      <c r="D52" s="1620">
        <f>151490+246943</f>
        <v>398433</v>
      </c>
      <c r="E52" s="1884">
        <v>707291</v>
      </c>
      <c r="F52" s="1935">
        <v>16200000</v>
      </c>
      <c r="G52" s="1620">
        <v>16200000</v>
      </c>
      <c r="H52" s="1954">
        <v>16200000</v>
      </c>
      <c r="I52" s="1935"/>
      <c r="J52" s="1620"/>
      <c r="K52" s="1884"/>
      <c r="L52" s="1558"/>
    </row>
    <row r="53" spans="1:12" ht="11.25" customHeight="1">
      <c r="A53" s="254" t="s">
        <v>32</v>
      </c>
      <c r="B53" s="182">
        <v>10</v>
      </c>
      <c r="C53" s="1064">
        <f>C79</f>
        <v>5456724</v>
      </c>
      <c r="D53" s="1064">
        <f t="shared" ref="D53:K53" si="10">D79</f>
        <v>7998611</v>
      </c>
      <c r="E53" s="1065">
        <f t="shared" si="10"/>
        <v>11771961</v>
      </c>
      <c r="F53" s="1066">
        <f t="shared" si="10"/>
        <v>0</v>
      </c>
      <c r="G53" s="1064">
        <f t="shared" si="10"/>
        <v>4000000</v>
      </c>
      <c r="H53" s="1067">
        <f t="shared" si="10"/>
        <v>4000000</v>
      </c>
      <c r="I53" s="1066">
        <f t="shared" si="10"/>
        <v>0</v>
      </c>
      <c r="J53" s="1064">
        <f t="shared" si="10"/>
        <v>0</v>
      </c>
      <c r="K53" s="1065">
        <f t="shared" si="10"/>
        <v>0</v>
      </c>
      <c r="L53" s="370"/>
    </row>
    <row r="54" spans="1:12" ht="11.25" customHeight="1">
      <c r="A54" s="254" t="s">
        <v>1245</v>
      </c>
      <c r="B54" s="182"/>
      <c r="C54" s="1615">
        <v>0</v>
      </c>
      <c r="D54" s="1615">
        <v>0</v>
      </c>
      <c r="E54" s="1635">
        <v>0</v>
      </c>
      <c r="F54" s="1055">
        <v>276000</v>
      </c>
      <c r="G54" s="1615">
        <v>322000</v>
      </c>
      <c r="H54" s="1637">
        <v>322000</v>
      </c>
      <c r="I54" s="1053">
        <v>0</v>
      </c>
      <c r="J54" s="1054">
        <v>0</v>
      </c>
      <c r="K54" s="1054">
        <v>0</v>
      </c>
      <c r="L54" s="1558"/>
    </row>
    <row r="55" spans="1:12" ht="11.25" customHeight="1">
      <c r="A55" s="254" t="s">
        <v>633</v>
      </c>
      <c r="B55" s="182"/>
      <c r="C55" s="1615">
        <v>427192</v>
      </c>
      <c r="D55" s="1615">
        <v>167281</v>
      </c>
      <c r="E55" s="1635">
        <f>284011+1780492+51687</f>
        <v>2116190</v>
      </c>
      <c r="F55" s="1055">
        <v>500000</v>
      </c>
      <c r="G55" s="1615">
        <v>2614040</v>
      </c>
      <c r="H55" s="1637">
        <v>2614040</v>
      </c>
      <c r="I55" s="1053">
        <v>1025000</v>
      </c>
      <c r="J55" s="1054">
        <v>1000000</v>
      </c>
      <c r="K55" s="1054">
        <v>500000</v>
      </c>
      <c r="L55" s="1558"/>
    </row>
    <row r="56" spans="1:12" ht="11.25" customHeight="1">
      <c r="A56" s="254" t="s">
        <v>634</v>
      </c>
      <c r="B56" s="182"/>
      <c r="C56" s="1615">
        <v>408938</v>
      </c>
      <c r="D56" s="1615">
        <v>24415</v>
      </c>
      <c r="E56" s="1635">
        <f>118125+25440</f>
        <v>143565</v>
      </c>
      <c r="F56" s="1055">
        <v>423000</v>
      </c>
      <c r="G56" s="1615">
        <v>589489</v>
      </c>
      <c r="H56" s="1637">
        <v>589489</v>
      </c>
      <c r="I56" s="1053">
        <v>502750</v>
      </c>
      <c r="J56" s="1054">
        <v>160000</v>
      </c>
      <c r="K56" s="1054">
        <v>375000</v>
      </c>
      <c r="L56" s="1558"/>
    </row>
    <row r="57" spans="1:12" ht="11.25" customHeight="1">
      <c r="A57" s="254" t="s">
        <v>1246</v>
      </c>
      <c r="B57" s="182"/>
      <c r="C57" s="1615">
        <v>0</v>
      </c>
      <c r="D57" s="1615">
        <v>0</v>
      </c>
      <c r="E57" s="1635">
        <v>0</v>
      </c>
      <c r="F57" s="1055">
        <v>0</v>
      </c>
      <c r="G57" s="1615">
        <v>0</v>
      </c>
      <c r="H57" s="1637">
        <v>0</v>
      </c>
      <c r="I57" s="1053">
        <v>0</v>
      </c>
      <c r="J57" s="1054">
        <v>0</v>
      </c>
      <c r="K57" s="1054">
        <v>0</v>
      </c>
      <c r="L57" s="1558"/>
    </row>
    <row r="58" spans="1:12" ht="11.25" customHeight="1">
      <c r="A58" s="254" t="s">
        <v>1247</v>
      </c>
      <c r="B58" s="182"/>
      <c r="C58" s="1615">
        <v>0</v>
      </c>
      <c r="D58" s="1615">
        <v>0</v>
      </c>
      <c r="E58" s="1635">
        <v>0</v>
      </c>
      <c r="F58" s="1055">
        <v>0</v>
      </c>
      <c r="G58" s="1615">
        <v>0</v>
      </c>
      <c r="H58" s="1637">
        <v>0</v>
      </c>
      <c r="I58" s="1053">
        <v>0</v>
      </c>
      <c r="J58" s="1054">
        <v>0</v>
      </c>
      <c r="K58" s="1054">
        <v>0</v>
      </c>
      <c r="L58" s="1557"/>
    </row>
    <row r="59" spans="1:12" ht="11.25" customHeight="1">
      <c r="A59" s="254" t="s">
        <v>1525</v>
      </c>
      <c r="B59" s="182"/>
      <c r="C59" s="1615">
        <f>462306+341515</f>
        <v>803821</v>
      </c>
      <c r="D59" s="1615">
        <v>345249</v>
      </c>
      <c r="E59" s="1635">
        <v>1229055</v>
      </c>
      <c r="F59" s="1055">
        <v>10000000</v>
      </c>
      <c r="G59" s="1615">
        <v>11390000</v>
      </c>
      <c r="H59" s="1637">
        <v>11390000</v>
      </c>
      <c r="I59" s="1053">
        <v>64000</v>
      </c>
      <c r="J59" s="1054">
        <v>0</v>
      </c>
      <c r="K59" s="1054">
        <v>0</v>
      </c>
      <c r="L59" s="1558"/>
    </row>
    <row r="60" spans="1:12" ht="11.25" customHeight="1">
      <c r="A60" s="254" t="s">
        <v>322</v>
      </c>
      <c r="B60" s="182"/>
      <c r="C60" s="1615">
        <f>1750630+180969+198506</f>
        <v>2130105</v>
      </c>
      <c r="D60" s="1615">
        <f>6496156+81838+323328-178</f>
        <v>6901144</v>
      </c>
      <c r="E60" s="1635">
        <f>81595+45744+5154976+20041</f>
        <v>5302356</v>
      </c>
      <c r="F60" s="1055">
        <v>355083</v>
      </c>
      <c r="G60" s="1615">
        <v>362488</v>
      </c>
      <c r="H60" s="1637">
        <v>362488</v>
      </c>
      <c r="I60" s="1053">
        <v>0</v>
      </c>
      <c r="J60" s="1054">
        <v>0</v>
      </c>
      <c r="K60" s="1054">
        <v>0</v>
      </c>
      <c r="L60" s="1558"/>
    </row>
    <row r="61" spans="1:12" ht="11.25" customHeight="1">
      <c r="A61" s="254" t="s">
        <v>321</v>
      </c>
      <c r="B61" s="182"/>
      <c r="C61" s="1615">
        <v>4333095</v>
      </c>
      <c r="D61" s="1615">
        <f>2748+787153</f>
        <v>789901</v>
      </c>
      <c r="E61" s="1635">
        <v>167862</v>
      </c>
      <c r="F61" s="1055">
        <v>0</v>
      </c>
      <c r="G61" s="1615">
        <v>0</v>
      </c>
      <c r="H61" s="1637">
        <v>0</v>
      </c>
      <c r="I61" s="1053"/>
      <c r="J61" s="1054"/>
      <c r="K61" s="1054"/>
      <c r="L61" s="1558"/>
    </row>
    <row r="62" spans="1:12" ht="11.25" customHeight="1">
      <c r="A62" s="254" t="s">
        <v>635</v>
      </c>
      <c r="B62" s="182"/>
      <c r="C62" s="1615">
        <v>0</v>
      </c>
      <c r="D62" s="1615">
        <v>0</v>
      </c>
      <c r="E62" s="1635">
        <v>0</v>
      </c>
      <c r="F62" s="1055">
        <v>0</v>
      </c>
      <c r="G62" s="1615">
        <v>0</v>
      </c>
      <c r="H62" s="1637">
        <v>0</v>
      </c>
      <c r="I62" s="1053"/>
      <c r="J62" s="1054"/>
      <c r="K62" s="1054"/>
      <c r="L62" s="1558"/>
    </row>
    <row r="63" spans="1:12" ht="11.25" customHeight="1">
      <c r="A63" s="250" t="s">
        <v>293</v>
      </c>
      <c r="B63" s="182"/>
      <c r="C63" s="1656">
        <f>470965+7955407</f>
        <v>8426372</v>
      </c>
      <c r="D63" s="1656">
        <f>2609084+373309</f>
        <v>2982393</v>
      </c>
      <c r="E63" s="1657">
        <f>48626+522140</f>
        <v>570766</v>
      </c>
      <c r="F63" s="1658">
        <v>2220000</v>
      </c>
      <c r="G63" s="1656">
        <v>8723852</v>
      </c>
      <c r="H63" s="1659">
        <v>8723852</v>
      </c>
      <c r="I63" s="1656">
        <v>28695000</v>
      </c>
      <c r="J63" s="1656">
        <v>24500000</v>
      </c>
      <c r="K63" s="1656">
        <v>1500000</v>
      </c>
      <c r="L63" s="1558"/>
    </row>
    <row r="64" spans="1:12" ht="5" customHeight="1">
      <c r="A64" s="844"/>
      <c r="B64" s="182"/>
      <c r="C64" s="203"/>
      <c r="D64" s="203"/>
      <c r="E64" s="204"/>
      <c r="F64" s="205"/>
      <c r="G64" s="203"/>
      <c r="H64" s="202"/>
      <c r="I64" s="205"/>
      <c r="J64" s="203"/>
      <c r="K64" s="204"/>
      <c r="L64" s="370"/>
    </row>
    <row r="65" spans="1:12" ht="13.5" customHeight="1">
      <c r="A65" s="249" t="s">
        <v>1540</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31" t="s">
        <v>1258</v>
      </c>
      <c r="B66" s="182"/>
      <c r="C66" s="1620"/>
      <c r="D66" s="1620"/>
      <c r="E66" s="1884"/>
      <c r="F66" s="1935"/>
      <c r="G66" s="1620"/>
      <c r="H66" s="1954"/>
      <c r="I66" s="1935"/>
      <c r="J66" s="1620"/>
      <c r="K66" s="1884"/>
      <c r="L66" s="370"/>
    </row>
    <row r="67" spans="1:12" ht="11.25" customHeight="1">
      <c r="A67" s="1931"/>
      <c r="B67" s="182"/>
      <c r="C67" s="1656"/>
      <c r="D67" s="1656"/>
      <c r="E67" s="1657"/>
      <c r="F67" s="1658"/>
      <c r="G67" s="1656"/>
      <c r="H67" s="1659"/>
      <c r="I67" s="1658"/>
      <c r="J67" s="1656"/>
      <c r="K67" s="1657"/>
      <c r="L67" s="370"/>
    </row>
    <row r="68" spans="1:12" ht="5"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31" t="s">
        <v>1258</v>
      </c>
      <c r="B70" s="182"/>
      <c r="C70" s="1620"/>
      <c r="D70" s="1620"/>
      <c r="E70" s="1884"/>
      <c r="F70" s="1935"/>
      <c r="G70" s="1620"/>
      <c r="H70" s="1954"/>
      <c r="I70" s="1935"/>
      <c r="J70" s="1620"/>
      <c r="K70" s="1884"/>
      <c r="L70" s="370"/>
    </row>
    <row r="71" spans="1:12" ht="11.25" customHeight="1">
      <c r="A71" s="1931"/>
      <c r="B71" s="182"/>
      <c r="C71" s="1656"/>
      <c r="D71" s="1656"/>
      <c r="E71" s="1657"/>
      <c r="F71" s="1658"/>
      <c r="G71" s="1656"/>
      <c r="H71" s="1659"/>
      <c r="I71" s="1658"/>
      <c r="J71" s="1656"/>
      <c r="K71" s="1657"/>
      <c r="L71" s="370"/>
    </row>
    <row r="72" spans="1:12" ht="5" customHeight="1">
      <c r="A72" s="273"/>
      <c r="B72" s="182"/>
      <c r="C72" s="203"/>
      <c r="D72" s="203"/>
      <c r="E72" s="204"/>
      <c r="F72" s="205"/>
      <c r="G72" s="203"/>
      <c r="H72" s="202"/>
      <c r="I72" s="205"/>
      <c r="J72" s="203"/>
      <c r="K72" s="204"/>
      <c r="L72" s="370"/>
    </row>
    <row r="73" spans="1:12" ht="17.25" customHeight="1">
      <c r="A73" s="249" t="s">
        <v>883</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973</v>
      </c>
      <c r="B74" s="182"/>
      <c r="C74" s="1620"/>
      <c r="D74" s="1620"/>
      <c r="E74" s="1884"/>
      <c r="F74" s="1935"/>
      <c r="G74" s="1620"/>
      <c r="H74" s="1954"/>
      <c r="I74" s="1935"/>
      <c r="J74" s="1620"/>
      <c r="K74" s="1884"/>
      <c r="L74" s="370"/>
    </row>
    <row r="75" spans="1:12" ht="11.25" customHeight="1">
      <c r="A75" s="1904" t="s">
        <v>616</v>
      </c>
      <c r="B75" s="182"/>
      <c r="C75" s="1656"/>
      <c r="D75" s="1656"/>
      <c r="E75" s="1657"/>
      <c r="F75" s="1658"/>
      <c r="G75" s="1656"/>
      <c r="H75" s="1659"/>
      <c r="I75" s="1658"/>
      <c r="J75" s="1656"/>
      <c r="K75" s="1657"/>
      <c r="L75" s="370"/>
    </row>
    <row r="76" spans="1:12" ht="5" customHeight="1">
      <c r="A76" s="273"/>
      <c r="B76" s="182"/>
      <c r="C76" s="218"/>
      <c r="D76" s="218"/>
      <c r="E76" s="219"/>
      <c r="F76" s="220"/>
      <c r="G76" s="218"/>
      <c r="H76" s="217"/>
      <c r="I76" s="220"/>
      <c r="J76" s="218"/>
      <c r="K76" s="219"/>
      <c r="L76" s="370"/>
    </row>
    <row r="77" spans="1:12">
      <c r="A77" s="281" t="s">
        <v>1235</v>
      </c>
      <c r="B77" s="225">
        <v>1</v>
      </c>
      <c r="C77" s="230">
        <f t="shared" ref="C77:K77" si="14">C6+C27+C43+C47+C51+C73+C65+C69</f>
        <v>249215515</v>
      </c>
      <c r="D77" s="230">
        <f t="shared" si="14"/>
        <v>237329938</v>
      </c>
      <c r="E77" s="228">
        <f t="shared" si="14"/>
        <v>194264792</v>
      </c>
      <c r="F77" s="229">
        <f t="shared" si="14"/>
        <v>486120923</v>
      </c>
      <c r="G77" s="230">
        <f t="shared" si="14"/>
        <v>518091710</v>
      </c>
      <c r="H77" s="231">
        <f t="shared" si="14"/>
        <v>518091710</v>
      </c>
      <c r="I77" s="229">
        <f t="shared" si="14"/>
        <v>186373100</v>
      </c>
      <c r="J77" s="230">
        <f t="shared" si="14"/>
        <v>164513000</v>
      </c>
      <c r="K77" s="228">
        <f t="shared" si="14"/>
        <v>75186000</v>
      </c>
      <c r="L77" s="370"/>
    </row>
    <row r="78" spans="1:12">
      <c r="A78" s="1560"/>
      <c r="B78" s="652"/>
      <c r="C78" s="217"/>
      <c r="D78" s="217"/>
      <c r="E78" s="217"/>
      <c r="F78" s="217"/>
      <c r="G78" s="217"/>
      <c r="H78" s="217"/>
      <c r="I78" s="217"/>
      <c r="J78" s="217"/>
      <c r="K78" s="217"/>
      <c r="L78" s="370"/>
    </row>
    <row r="79" spans="1:12">
      <c r="A79" s="1561" t="s">
        <v>32</v>
      </c>
      <c r="B79" s="1562"/>
      <c r="C79" s="1302">
        <f t="shared" ref="C79:K79" si="15">SUM(C80:C83)</f>
        <v>5456724</v>
      </c>
      <c r="D79" s="1298">
        <f t="shared" si="15"/>
        <v>7998611</v>
      </c>
      <c r="E79" s="1563">
        <f t="shared" si="15"/>
        <v>11771961</v>
      </c>
      <c r="F79" s="1302">
        <f t="shared" si="15"/>
        <v>0</v>
      </c>
      <c r="G79" s="1298">
        <f t="shared" si="15"/>
        <v>4000000</v>
      </c>
      <c r="H79" s="1563">
        <f t="shared" si="15"/>
        <v>4000000</v>
      </c>
      <c r="I79" s="1302">
        <f t="shared" si="15"/>
        <v>0</v>
      </c>
      <c r="J79" s="1298">
        <f t="shared" si="15"/>
        <v>0</v>
      </c>
      <c r="K79" s="1563">
        <f t="shared" si="15"/>
        <v>0</v>
      </c>
      <c r="L79" s="370"/>
    </row>
    <row r="80" spans="1:12">
      <c r="A80" s="190" t="s">
        <v>1291</v>
      </c>
      <c r="B80" s="1564"/>
      <c r="C80" s="2534">
        <v>5456724</v>
      </c>
      <c r="D80" s="1615">
        <v>1066674</v>
      </c>
      <c r="E80" s="1618">
        <v>10186974</v>
      </c>
      <c r="F80" s="1617"/>
      <c r="G80" s="1615">
        <v>4000000</v>
      </c>
      <c r="H80" s="1618">
        <f>F80+G80</f>
        <v>4000000</v>
      </c>
      <c r="I80" s="1617"/>
      <c r="J80" s="1615"/>
      <c r="K80" s="1618"/>
      <c r="L80" s="370"/>
    </row>
    <row r="81" spans="1:12">
      <c r="A81" s="190" t="s">
        <v>1526</v>
      </c>
      <c r="B81" s="1564"/>
      <c r="C81" s="2534">
        <v>0</v>
      </c>
      <c r="D81" s="1615">
        <v>6931937</v>
      </c>
      <c r="E81" s="1618">
        <v>1584987</v>
      </c>
      <c r="F81" s="1617"/>
      <c r="G81" s="1615"/>
      <c r="H81" s="1618"/>
      <c r="I81" s="1617"/>
      <c r="J81" s="1615"/>
      <c r="K81" s="1618"/>
      <c r="L81" s="370"/>
    </row>
    <row r="82" spans="1:12">
      <c r="A82" s="190" t="s">
        <v>1723</v>
      </c>
      <c r="B82" s="1564"/>
      <c r="C82" s="2534">
        <v>0</v>
      </c>
      <c r="D82" s="1615">
        <v>0</v>
      </c>
      <c r="E82" s="1618">
        <v>0</v>
      </c>
      <c r="F82" s="1617"/>
      <c r="G82" s="1615"/>
      <c r="H82" s="1618"/>
      <c r="I82" s="1617"/>
      <c r="J82" s="1615"/>
      <c r="K82" s="1618"/>
      <c r="L82" s="370"/>
    </row>
    <row r="83" spans="1:12">
      <c r="A83" s="1315" t="s">
        <v>1724</v>
      </c>
      <c r="B83" s="1565"/>
      <c r="C83" s="1693">
        <v>0</v>
      </c>
      <c r="D83" s="1689">
        <v>0</v>
      </c>
      <c r="E83" s="1961">
        <v>0</v>
      </c>
      <c r="F83" s="1693"/>
      <c r="G83" s="1689"/>
      <c r="H83" s="1961"/>
      <c r="I83" s="1693"/>
      <c r="J83" s="1689"/>
      <c r="K83" s="1961"/>
      <c r="L83" s="370"/>
    </row>
    <row r="84" spans="1:12" s="709" customFormat="1">
      <c r="A84" s="1262" t="str">
        <f>head27a</f>
        <v>References</v>
      </c>
      <c r="B84" s="1038"/>
      <c r="C84" s="1042"/>
      <c r="D84" s="1042"/>
      <c r="E84" s="1042"/>
      <c r="F84" s="1042"/>
      <c r="G84" s="1042"/>
      <c r="H84" s="1042"/>
      <c r="I84" s="1042"/>
      <c r="J84" s="1042"/>
      <c r="K84" s="1042"/>
      <c r="L84" s="1559"/>
    </row>
    <row r="85" spans="1:12" s="709" customFormat="1" ht="11.25" customHeight="1">
      <c r="A85" s="1263" t="s">
        <v>1236</v>
      </c>
      <c r="B85" s="1038"/>
      <c r="C85" s="1041"/>
      <c r="D85" s="1041"/>
      <c r="E85" s="1042"/>
      <c r="F85" s="1042"/>
      <c r="G85" s="1042"/>
      <c r="H85" s="1042"/>
      <c r="I85" s="1042"/>
      <c r="J85" s="1042"/>
      <c r="K85" s="1042"/>
    </row>
    <row r="86" spans="1:12" s="709" customFormat="1" ht="11.25" customHeight="1">
      <c r="A86" s="1263" t="s">
        <v>319</v>
      </c>
      <c r="B86" s="1038"/>
      <c r="C86" s="1041"/>
      <c r="D86" s="1041"/>
      <c r="E86" s="1042"/>
      <c r="F86" s="1042"/>
      <c r="G86" s="1042"/>
      <c r="H86" s="1042"/>
      <c r="I86" s="1042"/>
      <c r="J86" s="1042"/>
      <c r="K86" s="1042"/>
    </row>
    <row r="87" spans="1:12" s="709" customFormat="1" ht="11.25" customHeight="1">
      <c r="A87" s="1263" t="s">
        <v>916</v>
      </c>
      <c r="B87" s="1038"/>
      <c r="C87" s="1041"/>
      <c r="D87" s="1041"/>
      <c r="E87" s="1042"/>
      <c r="F87" s="1042"/>
      <c r="G87" s="1042"/>
      <c r="H87" s="1042"/>
      <c r="I87" s="1042"/>
      <c r="J87" s="1042"/>
      <c r="K87" s="1042"/>
    </row>
    <row r="88" spans="1:12" s="709" customFormat="1" ht="11.25" customHeight="1">
      <c r="A88" s="1263" t="s">
        <v>323</v>
      </c>
      <c r="B88" s="1038"/>
      <c r="C88" s="1041"/>
      <c r="D88" s="1041"/>
      <c r="E88" s="1042"/>
      <c r="F88" s="1042"/>
      <c r="G88" s="1042"/>
      <c r="H88" s="1042"/>
      <c r="I88" s="1042"/>
      <c r="J88" s="1042"/>
      <c r="K88" s="1042"/>
    </row>
    <row r="89" spans="1:12" s="709" customFormat="1" ht="11.25" customHeight="1">
      <c r="A89" s="1516" t="s">
        <v>133</v>
      </c>
      <c r="B89" s="1038"/>
      <c r="C89" s="1041"/>
      <c r="D89" s="1041"/>
      <c r="E89" s="1042"/>
      <c r="F89" s="1042"/>
      <c r="G89" s="1042"/>
      <c r="H89" s="1042"/>
      <c r="I89" s="1042"/>
      <c r="J89" s="1042"/>
      <c r="K89" s="1042"/>
    </row>
    <row r="90" spans="1:12" s="709" customFormat="1" ht="11.25" customHeight="1">
      <c r="A90" s="1516" t="s">
        <v>1664</v>
      </c>
      <c r="B90" s="1038"/>
      <c r="C90" s="1041"/>
      <c r="D90" s="1041"/>
      <c r="E90" s="1042"/>
      <c r="F90" s="1042"/>
      <c r="G90" s="1042"/>
      <c r="H90" s="1042"/>
      <c r="I90" s="1042"/>
      <c r="J90" s="1042"/>
      <c r="K90" s="1042"/>
    </row>
    <row r="91" spans="1:12" s="709" customFormat="1" ht="11.25" customHeight="1">
      <c r="A91" s="1516" t="s">
        <v>33</v>
      </c>
      <c r="B91" s="1038"/>
      <c r="C91" s="1041"/>
      <c r="D91" s="1041"/>
      <c r="E91" s="1042"/>
      <c r="F91" s="1042"/>
      <c r="G91" s="1042"/>
      <c r="H91" s="1042"/>
      <c r="I91" s="1042"/>
      <c r="J91" s="1042"/>
      <c r="K91" s="1042"/>
    </row>
    <row r="92" spans="1:12" s="709" customFormat="1" ht="11.25" customHeight="1">
      <c r="A92" s="1516" t="s">
        <v>1336</v>
      </c>
      <c r="B92" s="1038"/>
      <c r="C92" s="1041"/>
      <c r="D92" s="1041"/>
      <c r="E92" s="1042"/>
      <c r="F92" s="1042"/>
      <c r="G92" s="1042"/>
      <c r="H92" s="1042"/>
      <c r="I92" s="1042"/>
      <c r="J92" s="1042"/>
      <c r="K92" s="1042"/>
    </row>
    <row r="93" spans="1:12" s="709" customFormat="1" ht="11.25" customHeight="1">
      <c r="A93" s="1516" t="s">
        <v>1337</v>
      </c>
      <c r="B93" s="1038"/>
      <c r="C93" s="1041"/>
      <c r="D93" s="1041"/>
      <c r="E93" s="1042"/>
      <c r="F93" s="1042"/>
      <c r="G93" s="1042"/>
      <c r="H93" s="1042"/>
      <c r="I93" s="1042"/>
      <c r="J93" s="1042"/>
      <c r="K93" s="1042"/>
    </row>
    <row r="94" spans="1:12" s="709" customFormat="1" ht="11.25" customHeight="1">
      <c r="A94" s="1516" t="s">
        <v>388</v>
      </c>
      <c r="B94" s="1038"/>
      <c r="C94" s="1041"/>
      <c r="D94" s="1041"/>
      <c r="E94" s="1042"/>
      <c r="F94" s="1042"/>
      <c r="G94" s="1042"/>
      <c r="H94" s="1042"/>
      <c r="I94" s="1042"/>
      <c r="J94" s="1042"/>
      <c r="K94" s="1042"/>
    </row>
    <row r="95" spans="1:12" s="709" customFormat="1" ht="11.25" customHeight="1">
      <c r="A95" s="1060"/>
      <c r="B95" s="1038"/>
      <c r="C95" s="1041"/>
      <c r="D95" s="1041"/>
      <c r="E95" s="1042"/>
      <c r="F95" s="1042"/>
      <c r="G95" s="1042"/>
      <c r="H95" s="1042"/>
      <c r="I95" s="1042"/>
      <c r="J95" s="1042"/>
      <c r="K95" s="1042"/>
    </row>
    <row r="96" spans="1:12" ht="11.25" customHeight="1">
      <c r="A96" s="246"/>
      <c r="B96" s="236"/>
      <c r="C96" s="240"/>
      <c r="D96" s="240"/>
      <c r="E96" s="241"/>
      <c r="F96" s="241"/>
      <c r="G96" s="241"/>
      <c r="H96" s="241"/>
      <c r="I96" s="241"/>
      <c r="J96" s="241"/>
      <c r="K96" s="241"/>
    </row>
    <row r="97" spans="1:11" ht="11.25" customHeight="1">
      <c r="A97" s="288" t="s">
        <v>296</v>
      </c>
      <c r="B97" s="243"/>
      <c r="C97" s="447">
        <f>SUM(C77+SA34b!C77)-'A5-Capex'!C40</f>
        <v>128781962.06</v>
      </c>
      <c r="D97" s="447">
        <f>SUM(D77+SA34b!D77)-'A5-Capex'!D40</f>
        <v>335399879.5</v>
      </c>
      <c r="E97" s="447">
        <f>SUM(E77+SA34b!E77)-'A5-Capex'!E40</f>
        <v>-111833127</v>
      </c>
      <c r="F97" s="447">
        <f>SUM(F77+SA34b!F77)-'A5-Capex'!F40</f>
        <v>2026410</v>
      </c>
      <c r="G97" s="447">
        <f>SUM(G77+SA34b!G77)-'A5-Capex'!G40</f>
        <v>18175816</v>
      </c>
      <c r="H97" s="447">
        <f>SUM(H77+SA34b!H77)-'A5-Capex'!H40</f>
        <v>18175816</v>
      </c>
      <c r="I97" s="447">
        <f>SUM(I77+SA34b!I77)-'A5-Capex'!J40</f>
        <v>-320</v>
      </c>
      <c r="J97" s="447">
        <f>SUM(J77+SA34b!J77)-'A5-Capex'!K40</f>
        <v>-690000000</v>
      </c>
      <c r="K97" s="447">
        <f>SUM(K77+SA34b!K77)-'A5-Capex'!L40</f>
        <v>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honeticPr fontId="5" type="noConversion"/>
  <printOptions horizontalCentered="1"/>
  <pageMargins left="0" right="0" top="0.21" bottom="0.19" header="0.21" footer="0.17"/>
  <headerFooter alignWithMargins="0"/>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enableFormatConditionsCalculation="0">
    <tabColor indexed="42"/>
  </sheetPr>
  <dimension ref="A1:O133"/>
  <sheetViews>
    <sheetView showGridLines="0" workbookViewId="0">
      <pane xSplit="2" ySplit="3" topLeftCell="C82" activePane="bottomRight" state="frozen"/>
      <selection pane="topRight"/>
      <selection pane="bottomLeft"/>
      <selection pane="bottomRight" activeCell="J100" sqref="J100"/>
    </sheetView>
  </sheetViews>
  <sheetFormatPr baseColWidth="10" defaultColWidth="8.83203125" defaultRowHeight="10" x14ac:dyDescent="0"/>
  <cols>
    <col min="1" max="1" width="31.5" style="149" customWidth="1"/>
    <col min="2" max="2" width="3" style="247" customWidth="1"/>
    <col min="3" max="11" width="9.33203125" style="149" customWidth="1"/>
    <col min="12" max="12" width="9.66406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"&amp;TableA34b</f>
        <v>NW373 Rustenburg - Supporting Table SA34b Consolidated capital expenditure on existing assets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65" t="str">
        <f>Head2</f>
        <v>Current Year 2012/13</v>
      </c>
      <c r="G2" s="2766"/>
      <c r="H2" s="2766"/>
      <c r="I2" s="2762" t="str">
        <f>Head3</f>
        <v>2013/14 Medium Term Revenue &amp; Expenditure Framework</v>
      </c>
      <c r="J2" s="2763"/>
      <c r="K2" s="2764"/>
    </row>
    <row r="3" spans="1:12" ht="20">
      <c r="A3" s="180" t="s">
        <v>667</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1231</v>
      </c>
      <c r="B4" s="749"/>
      <c r="C4" s="1100"/>
      <c r="D4" s="311"/>
      <c r="E4" s="314"/>
      <c r="F4" s="313"/>
      <c r="G4" s="311"/>
      <c r="H4" s="312"/>
      <c r="I4" s="313"/>
      <c r="J4" s="311"/>
      <c r="K4" s="314"/>
    </row>
    <row r="5" spans="1:12" ht="5" customHeight="1">
      <c r="A5" s="249"/>
      <c r="B5" s="182"/>
      <c r="C5" s="315"/>
      <c r="D5" s="315"/>
      <c r="E5" s="318"/>
      <c r="F5" s="317"/>
      <c r="G5" s="315"/>
      <c r="H5" s="316"/>
      <c r="I5" s="317"/>
      <c r="J5" s="315"/>
      <c r="K5" s="318"/>
    </row>
    <row r="6" spans="1:12" ht="11.25" customHeight="1">
      <c r="A6" s="249" t="s">
        <v>977</v>
      </c>
      <c r="B6" s="182"/>
      <c r="C6" s="394">
        <f>C7+C10+C14+C18+C21</f>
        <v>12249249.1</v>
      </c>
      <c r="D6" s="394">
        <f t="shared" ref="D6:K6" si="0">D7+D10+D14+D18+D21</f>
        <v>143922220.59999999</v>
      </c>
      <c r="E6" s="345">
        <f t="shared" si="0"/>
        <v>0</v>
      </c>
      <c r="F6" s="395">
        <f t="shared" si="0"/>
        <v>404522000</v>
      </c>
      <c r="G6" s="394">
        <f t="shared" si="0"/>
        <v>440375614</v>
      </c>
      <c r="H6" s="396">
        <f t="shared" si="0"/>
        <v>440375614</v>
      </c>
      <c r="I6" s="395">
        <f t="shared" si="0"/>
        <v>1037234000</v>
      </c>
      <c r="J6" s="394">
        <f t="shared" si="0"/>
        <v>912678000</v>
      </c>
      <c r="K6" s="345">
        <f t="shared" si="0"/>
        <v>927443000</v>
      </c>
      <c r="L6" s="1557"/>
    </row>
    <row r="7" spans="1:12" s="1533" customFormat="1" ht="12">
      <c r="A7" s="250" t="s">
        <v>536</v>
      </c>
      <c r="B7" s="182"/>
      <c r="C7" s="1111">
        <f>SUM(C8:C9)</f>
        <v>0</v>
      </c>
      <c r="D7" s="1111">
        <f t="shared" ref="D7:K7" si="1">SUM(D8:D9)</f>
        <v>19866280.18</v>
      </c>
      <c r="E7" s="1424">
        <f t="shared" si="1"/>
        <v>0</v>
      </c>
      <c r="F7" s="1112">
        <f t="shared" si="1"/>
        <v>158000000</v>
      </c>
      <c r="G7" s="1111">
        <f t="shared" si="1"/>
        <v>222861863</v>
      </c>
      <c r="H7" s="1148">
        <f t="shared" si="1"/>
        <v>222861863</v>
      </c>
      <c r="I7" s="1425">
        <f t="shared" si="1"/>
        <v>655021000</v>
      </c>
      <c r="J7" s="1111">
        <f t="shared" si="1"/>
        <v>764500000</v>
      </c>
      <c r="K7" s="1148">
        <f t="shared" si="1"/>
        <v>790000000</v>
      </c>
      <c r="L7" s="370"/>
    </row>
    <row r="8" spans="1:12" s="1533" customFormat="1" ht="12">
      <c r="A8" s="1290" t="s">
        <v>537</v>
      </c>
      <c r="B8" s="182"/>
      <c r="C8" s="1615">
        <v>0</v>
      </c>
      <c r="D8" s="1635">
        <v>19866280.18</v>
      </c>
      <c r="E8" s="1635">
        <v>0</v>
      </c>
      <c r="F8" s="1055">
        <v>158000000</v>
      </c>
      <c r="G8" s="1615">
        <v>222861863</v>
      </c>
      <c r="H8" s="1615">
        <v>222861863</v>
      </c>
      <c r="I8" s="1053">
        <v>655021000</v>
      </c>
      <c r="J8" s="1054">
        <v>764500000</v>
      </c>
      <c r="K8" s="1054">
        <v>790000000</v>
      </c>
      <c r="L8" s="1557"/>
    </row>
    <row r="9" spans="1:12" s="1533" customFormat="1" ht="12">
      <c r="A9" s="1290" t="s">
        <v>538</v>
      </c>
      <c r="B9" s="182"/>
      <c r="C9" s="1615">
        <v>0</v>
      </c>
      <c r="D9" s="1615">
        <v>0</v>
      </c>
      <c r="E9" s="1635">
        <v>0</v>
      </c>
      <c r="F9" s="1636">
        <v>0</v>
      </c>
      <c r="G9" s="1615">
        <v>0</v>
      </c>
      <c r="H9" s="1637">
        <v>0</v>
      </c>
      <c r="I9" s="1055">
        <v>0</v>
      </c>
      <c r="J9" s="1053">
        <v>0</v>
      </c>
      <c r="K9" s="1054">
        <v>0</v>
      </c>
      <c r="L9" s="1558"/>
    </row>
    <row r="10" spans="1:12" s="1533" customFormat="1" ht="12">
      <c r="A10" s="250" t="s">
        <v>21</v>
      </c>
      <c r="B10" s="182"/>
      <c r="C10" s="1064">
        <f>SUM(C11:C13)</f>
        <v>6347066.6699999999</v>
      </c>
      <c r="D10" s="1064">
        <f t="shared" ref="D10:K10" si="2">SUM(D11:D13)</f>
        <v>54598688.859999992</v>
      </c>
      <c r="E10" s="1426">
        <f t="shared" si="2"/>
        <v>0</v>
      </c>
      <c r="F10" s="1068">
        <f t="shared" si="2"/>
        <v>72207000</v>
      </c>
      <c r="G10" s="1064">
        <f t="shared" si="2"/>
        <v>61240252</v>
      </c>
      <c r="H10" s="1151">
        <f t="shared" si="2"/>
        <v>61240252</v>
      </c>
      <c r="I10" s="1427">
        <f t="shared" si="2"/>
        <v>149300000</v>
      </c>
      <c r="J10" s="1064">
        <f t="shared" si="2"/>
        <v>16365000</v>
      </c>
      <c r="K10" s="1151">
        <f t="shared" si="2"/>
        <v>10330000</v>
      </c>
      <c r="L10" s="1558"/>
    </row>
    <row r="11" spans="1:12" s="1533" customFormat="1" ht="12">
      <c r="A11" s="1290" t="s">
        <v>22</v>
      </c>
      <c r="B11" s="182"/>
      <c r="C11" s="1615">
        <v>0</v>
      </c>
      <c r="D11" s="1615">
        <v>0</v>
      </c>
      <c r="E11" s="1616">
        <v>0</v>
      </c>
      <c r="F11" s="2534">
        <v>0</v>
      </c>
      <c r="G11" s="1615">
        <v>0</v>
      </c>
      <c r="H11" s="1618">
        <v>0</v>
      </c>
      <c r="I11" s="2535">
        <v>0</v>
      </c>
      <c r="J11" s="1053">
        <v>0</v>
      </c>
      <c r="K11" s="1618">
        <v>0</v>
      </c>
      <c r="L11" s="1558"/>
    </row>
    <row r="12" spans="1:12" s="1533" customFormat="1" ht="12">
      <c r="A12" s="1290" t="s">
        <v>23</v>
      </c>
      <c r="B12" s="182"/>
      <c r="C12" s="1615">
        <v>0</v>
      </c>
      <c r="D12" s="1616">
        <v>42859953.609999992</v>
      </c>
      <c r="E12" s="1616">
        <v>0</v>
      </c>
      <c r="F12" s="2535">
        <v>72207000</v>
      </c>
      <c r="G12" s="1615">
        <v>61240252</v>
      </c>
      <c r="H12" s="1615">
        <v>61240252</v>
      </c>
      <c r="I12" s="1053">
        <v>149300000</v>
      </c>
      <c r="J12" s="1618">
        <v>16365000</v>
      </c>
      <c r="K12" s="1618">
        <v>10330000</v>
      </c>
      <c r="L12" s="1558"/>
    </row>
    <row r="13" spans="1:12" s="1533" customFormat="1" ht="12">
      <c r="A13" s="1290" t="s">
        <v>137</v>
      </c>
      <c r="B13" s="182"/>
      <c r="C13" s="1615">
        <v>6347066.6699999999</v>
      </c>
      <c r="D13" s="1616">
        <v>11738735.25</v>
      </c>
      <c r="E13" s="1616">
        <v>0</v>
      </c>
      <c r="F13" s="2534">
        <v>0</v>
      </c>
      <c r="G13" s="1615">
        <v>0</v>
      </c>
      <c r="H13" s="1618">
        <v>0</v>
      </c>
      <c r="I13" s="2535"/>
      <c r="J13" s="1053"/>
      <c r="K13" s="1618"/>
      <c r="L13" s="1558"/>
    </row>
    <row r="14" spans="1:12" s="1533" customFormat="1" ht="12">
      <c r="A14" s="254" t="s">
        <v>24</v>
      </c>
      <c r="B14" s="350"/>
      <c r="C14" s="1064">
        <f>SUM(C15:C17)</f>
        <v>5888278.0199999996</v>
      </c>
      <c r="D14" s="1064">
        <f t="shared" ref="D14:K14" si="3">SUM(D15:D17)</f>
        <v>9971503.120000001</v>
      </c>
      <c r="E14" s="1426">
        <f t="shared" si="3"/>
        <v>0</v>
      </c>
      <c r="F14" s="1068">
        <f t="shared" si="3"/>
        <v>63125000</v>
      </c>
      <c r="G14" s="1064">
        <f t="shared" si="3"/>
        <v>81608262</v>
      </c>
      <c r="H14" s="1151">
        <f t="shared" si="3"/>
        <v>81608262</v>
      </c>
      <c r="I14" s="1427">
        <f t="shared" si="3"/>
        <v>76200000</v>
      </c>
      <c r="J14" s="1064">
        <f t="shared" si="3"/>
        <v>21500000</v>
      </c>
      <c r="K14" s="1151">
        <f t="shared" si="3"/>
        <v>23500000</v>
      </c>
      <c r="L14" s="1558"/>
    </row>
    <row r="15" spans="1:12" s="1533" customFormat="1" ht="12">
      <c r="A15" s="1290" t="s">
        <v>25</v>
      </c>
      <c r="B15" s="182"/>
      <c r="C15" s="1615">
        <v>0</v>
      </c>
      <c r="D15" s="1615">
        <v>0</v>
      </c>
      <c r="E15" s="1616">
        <v>0</v>
      </c>
      <c r="F15" s="2534">
        <v>0</v>
      </c>
      <c r="G15" s="1615">
        <v>0</v>
      </c>
      <c r="H15" s="1618">
        <v>0</v>
      </c>
      <c r="I15" s="2535">
        <v>0</v>
      </c>
      <c r="J15" s="1053">
        <v>0</v>
      </c>
      <c r="K15" s="1618">
        <v>0</v>
      </c>
      <c r="L15" s="1558"/>
    </row>
    <row r="16" spans="1:12" s="1533" customFormat="1" ht="12">
      <c r="A16" s="1290" t="s">
        <v>26</v>
      </c>
      <c r="B16" s="182"/>
      <c r="C16" s="1615">
        <v>0</v>
      </c>
      <c r="D16" s="1615">
        <v>0</v>
      </c>
      <c r="E16" s="1616">
        <v>0</v>
      </c>
      <c r="F16" s="2534">
        <v>0</v>
      </c>
      <c r="G16" s="1615">
        <v>0</v>
      </c>
      <c r="H16" s="1618">
        <v>0</v>
      </c>
      <c r="I16" s="2535">
        <v>0</v>
      </c>
      <c r="J16" s="1053">
        <v>0</v>
      </c>
      <c r="K16" s="1618">
        <v>0</v>
      </c>
      <c r="L16" s="1558"/>
    </row>
    <row r="17" spans="1:12" s="1533" customFormat="1" ht="12">
      <c r="A17" s="1290" t="s">
        <v>27</v>
      </c>
      <c r="B17" s="182"/>
      <c r="C17" s="1615">
        <v>5888278.0199999996</v>
      </c>
      <c r="D17" s="1616">
        <v>9971503.120000001</v>
      </c>
      <c r="E17" s="1616">
        <v>0</v>
      </c>
      <c r="F17" s="2535">
        <v>63125000</v>
      </c>
      <c r="G17" s="1615">
        <v>81608262</v>
      </c>
      <c r="H17" s="1615">
        <v>81608262</v>
      </c>
      <c r="I17" s="1053">
        <f>26200000+50000000</f>
        <v>76200000</v>
      </c>
      <c r="J17" s="1618">
        <v>21500000</v>
      </c>
      <c r="K17" s="1618">
        <v>23500000</v>
      </c>
      <c r="L17" s="1558"/>
    </row>
    <row r="18" spans="1:12" s="1533" customFormat="1" ht="12">
      <c r="A18" s="254" t="s">
        <v>28</v>
      </c>
      <c r="B18" s="182"/>
      <c r="C18" s="1064">
        <f t="shared" ref="C18:K18" si="4">SUM(C19:C20)</f>
        <v>10012</v>
      </c>
      <c r="D18" s="1064">
        <f t="shared" si="4"/>
        <v>36147768.86999999</v>
      </c>
      <c r="E18" s="1426">
        <f t="shared" si="4"/>
        <v>0</v>
      </c>
      <c r="F18" s="1068">
        <f t="shared" si="4"/>
        <v>106000000</v>
      </c>
      <c r="G18" s="1064">
        <f t="shared" si="4"/>
        <v>74475237</v>
      </c>
      <c r="H18" s="1151">
        <f t="shared" si="4"/>
        <v>74475237</v>
      </c>
      <c r="I18" s="1427">
        <f t="shared" si="4"/>
        <v>87915000</v>
      </c>
      <c r="J18" s="1064">
        <f t="shared" si="4"/>
        <v>37200000</v>
      </c>
      <c r="K18" s="1151">
        <f t="shared" si="4"/>
        <v>49838000</v>
      </c>
      <c r="L18" s="1558"/>
    </row>
    <row r="19" spans="1:12" s="1533" customFormat="1" ht="12">
      <c r="A19" s="1290" t="s">
        <v>27</v>
      </c>
      <c r="B19" s="182"/>
      <c r="C19" s="1615">
        <v>10012</v>
      </c>
      <c r="D19" s="1616">
        <v>36147768.86999999</v>
      </c>
      <c r="E19" s="1616">
        <v>0</v>
      </c>
      <c r="F19" s="2535">
        <v>106000000</v>
      </c>
      <c r="G19" s="1615">
        <v>74475237</v>
      </c>
      <c r="H19" s="1615">
        <v>74475237</v>
      </c>
      <c r="I19" s="1053">
        <f>37915000+50000000</f>
        <v>87915000</v>
      </c>
      <c r="J19" s="1618">
        <v>37200000</v>
      </c>
      <c r="K19" s="1618">
        <v>49838000</v>
      </c>
      <c r="L19" s="1558"/>
    </row>
    <row r="20" spans="1:12" s="1533" customFormat="1" ht="12">
      <c r="A20" s="1290" t="s">
        <v>29</v>
      </c>
      <c r="B20" s="182"/>
      <c r="C20" s="1615">
        <v>0</v>
      </c>
      <c r="D20" s="1615">
        <v>0</v>
      </c>
      <c r="E20" s="1616">
        <v>0</v>
      </c>
      <c r="F20" s="2534">
        <v>0</v>
      </c>
      <c r="G20" s="1615">
        <v>0</v>
      </c>
      <c r="H20" s="1618"/>
      <c r="I20" s="2535">
        <v>0</v>
      </c>
      <c r="J20" s="1053">
        <v>0</v>
      </c>
      <c r="K20" s="1618">
        <v>0</v>
      </c>
      <c r="L20" s="1558"/>
    </row>
    <row r="21" spans="1:12" s="1533" customFormat="1" ht="12">
      <c r="A21" s="250" t="s">
        <v>30</v>
      </c>
      <c r="B21" s="182"/>
      <c r="C21" s="1064">
        <f>SUM(C22:C25)</f>
        <v>3892.41</v>
      </c>
      <c r="D21" s="1064">
        <f t="shared" ref="D21:K21" si="5">SUM(D22:D25)</f>
        <v>23337979.57</v>
      </c>
      <c r="E21" s="1064">
        <f t="shared" si="5"/>
        <v>0</v>
      </c>
      <c r="F21" s="1068">
        <f t="shared" si="5"/>
        <v>5190000</v>
      </c>
      <c r="G21" s="1064">
        <f t="shared" si="5"/>
        <v>190000</v>
      </c>
      <c r="H21" s="1151">
        <f t="shared" si="5"/>
        <v>190000</v>
      </c>
      <c r="I21" s="1427">
        <f t="shared" si="5"/>
        <v>68798000</v>
      </c>
      <c r="J21" s="1064">
        <f t="shared" si="5"/>
        <v>73113000</v>
      </c>
      <c r="K21" s="1151">
        <f t="shared" si="5"/>
        <v>53775000</v>
      </c>
      <c r="L21" s="1558"/>
    </row>
    <row r="22" spans="1:12" s="1533" customFormat="1" ht="12">
      <c r="A22" s="1290" t="s">
        <v>1088</v>
      </c>
      <c r="B22" s="182"/>
      <c r="C22" s="1615">
        <v>3892.41</v>
      </c>
      <c r="D22" s="1637">
        <v>23337979.57</v>
      </c>
      <c r="E22" s="1637">
        <v>0</v>
      </c>
      <c r="F22" s="1055">
        <v>5190000</v>
      </c>
      <c r="G22" s="1615">
        <v>190000</v>
      </c>
      <c r="H22" s="1615">
        <v>190000</v>
      </c>
      <c r="I22" s="1053">
        <v>68798000</v>
      </c>
      <c r="J22" s="1618">
        <v>73113000</v>
      </c>
      <c r="K22" s="1618">
        <v>53775000</v>
      </c>
      <c r="L22" s="1557"/>
    </row>
    <row r="23" spans="1:12" s="1533" customFormat="1" ht="12">
      <c r="A23" s="1290" t="s">
        <v>320</v>
      </c>
      <c r="B23" s="182">
        <v>2</v>
      </c>
      <c r="C23" s="1615">
        <v>0</v>
      </c>
      <c r="D23" s="1615">
        <v>0</v>
      </c>
      <c r="E23" s="1635">
        <v>0</v>
      </c>
      <c r="F23" s="1636">
        <v>0</v>
      </c>
      <c r="G23" s="1615">
        <v>0</v>
      </c>
      <c r="H23" s="1637">
        <v>0</v>
      </c>
      <c r="I23" s="1055">
        <v>0</v>
      </c>
      <c r="J23" s="1053">
        <v>0</v>
      </c>
      <c r="K23" s="1618">
        <v>0</v>
      </c>
      <c r="L23" s="1558"/>
    </row>
    <row r="24" spans="1:12" s="1533" customFormat="1" ht="12">
      <c r="A24" s="1290" t="s">
        <v>138</v>
      </c>
      <c r="B24" s="182"/>
      <c r="C24" s="1615">
        <v>0</v>
      </c>
      <c r="D24" s="1615">
        <v>0</v>
      </c>
      <c r="E24" s="1635">
        <v>0</v>
      </c>
      <c r="F24" s="1636">
        <v>0</v>
      </c>
      <c r="G24" s="1615">
        <v>0</v>
      </c>
      <c r="H24" s="1637">
        <v>0</v>
      </c>
      <c r="I24" s="1055">
        <v>0</v>
      </c>
      <c r="J24" s="1053">
        <v>0</v>
      </c>
      <c r="K24" s="1054">
        <v>0</v>
      </c>
      <c r="L24" s="1558"/>
    </row>
    <row r="25" spans="1:12" s="1533" customFormat="1" ht="12">
      <c r="A25" s="1290" t="s">
        <v>293</v>
      </c>
      <c r="B25" s="182">
        <v>3</v>
      </c>
      <c r="C25" s="1615">
        <v>0</v>
      </c>
      <c r="D25" s="1615">
        <v>0</v>
      </c>
      <c r="E25" s="1635">
        <v>0</v>
      </c>
      <c r="F25" s="1636">
        <v>0</v>
      </c>
      <c r="G25" s="1615">
        <v>0</v>
      </c>
      <c r="H25" s="1637">
        <v>0</v>
      </c>
      <c r="I25" s="1055">
        <v>0</v>
      </c>
      <c r="J25" s="1053">
        <v>0</v>
      </c>
      <c r="K25" s="1054">
        <v>0</v>
      </c>
      <c r="L25" s="1558"/>
    </row>
    <row r="26" spans="1:12" ht="5" customHeight="1">
      <c r="A26" s="273"/>
      <c r="B26" s="182"/>
      <c r="C26" s="203"/>
      <c r="D26" s="203"/>
      <c r="E26" s="204"/>
      <c r="F26" s="205"/>
      <c r="G26" s="203"/>
      <c r="H26" s="202"/>
      <c r="I26" s="205"/>
      <c r="J26" s="203"/>
      <c r="K26" s="204"/>
      <c r="L26" s="370"/>
    </row>
    <row r="27" spans="1:12" ht="17.25" customHeight="1">
      <c r="A27" s="249" t="s">
        <v>1571</v>
      </c>
      <c r="B27" s="182"/>
      <c r="C27" s="218">
        <f>SUM(C28:C41)</f>
        <v>102107117.11</v>
      </c>
      <c r="D27" s="218">
        <f t="shared" ref="D27:K27" si="6">SUM(D28:D41)</f>
        <v>163158555.90000004</v>
      </c>
      <c r="E27" s="219">
        <f t="shared" si="6"/>
        <v>0</v>
      </c>
      <c r="F27" s="220">
        <f t="shared" si="6"/>
        <v>1867000</v>
      </c>
      <c r="G27" s="218">
        <f t="shared" si="6"/>
        <v>10849333</v>
      </c>
      <c r="H27" s="217">
        <f t="shared" si="6"/>
        <v>10849333</v>
      </c>
      <c r="I27" s="220">
        <f t="shared" si="6"/>
        <v>15829700</v>
      </c>
      <c r="J27" s="218">
        <f t="shared" si="6"/>
        <v>7914800</v>
      </c>
      <c r="K27" s="219">
        <f t="shared" si="6"/>
        <v>3526000</v>
      </c>
      <c r="L27" s="370"/>
    </row>
    <row r="28" spans="1:12" ht="11.25" customHeight="1">
      <c r="A28" s="250" t="s">
        <v>2</v>
      </c>
      <c r="B28" s="182"/>
      <c r="C28" s="1620">
        <v>0</v>
      </c>
      <c r="D28" s="1884">
        <v>0</v>
      </c>
      <c r="E28" s="1884">
        <v>0</v>
      </c>
      <c r="F28" s="1935">
        <v>200000</v>
      </c>
      <c r="G28" s="1620">
        <v>-2500000</v>
      </c>
      <c r="H28" s="1620">
        <v>-2500000</v>
      </c>
      <c r="I28" s="1620">
        <v>3120000</v>
      </c>
      <c r="J28" s="1884">
        <v>80000</v>
      </c>
      <c r="K28" s="1884">
        <v>0</v>
      </c>
      <c r="L28" s="1558"/>
    </row>
    <row r="29" spans="1:12" ht="11.25" customHeight="1">
      <c r="A29" s="250" t="s">
        <v>1591</v>
      </c>
      <c r="B29" s="182"/>
      <c r="C29" s="1615">
        <v>148403.92000000001</v>
      </c>
      <c r="D29" s="1635">
        <v>75215.48</v>
      </c>
      <c r="E29" s="1635">
        <v>0</v>
      </c>
      <c r="F29" s="1055">
        <v>300000</v>
      </c>
      <c r="G29" s="1615">
        <v>300000</v>
      </c>
      <c r="H29" s="1615">
        <v>300000</v>
      </c>
      <c r="I29" s="1053">
        <v>390000</v>
      </c>
      <c r="J29" s="1054">
        <v>410000</v>
      </c>
      <c r="K29" s="1054">
        <v>1670000</v>
      </c>
      <c r="L29" s="1558"/>
    </row>
    <row r="30" spans="1:12" ht="11.25" customHeight="1">
      <c r="A30" s="250" t="s">
        <v>505</v>
      </c>
      <c r="B30" s="182"/>
      <c r="C30" s="1615">
        <v>0</v>
      </c>
      <c r="D30" s="1635">
        <v>0</v>
      </c>
      <c r="E30" s="1635">
        <v>0</v>
      </c>
      <c r="F30" s="1055">
        <v>0</v>
      </c>
      <c r="G30" s="1615">
        <v>0</v>
      </c>
      <c r="H30" s="1615">
        <v>0</v>
      </c>
      <c r="I30" s="1053">
        <v>40000</v>
      </c>
      <c r="J30" s="1054">
        <v>22000</v>
      </c>
      <c r="K30" s="1054">
        <v>0</v>
      </c>
      <c r="L30" s="1558"/>
    </row>
    <row r="31" spans="1:12" ht="11.25" customHeight="1">
      <c r="A31" s="250" t="s">
        <v>1</v>
      </c>
      <c r="B31" s="182"/>
      <c r="C31" s="1615">
        <v>447323.56</v>
      </c>
      <c r="D31" s="1635">
        <v>1873723.78</v>
      </c>
      <c r="E31" s="1635">
        <v>0</v>
      </c>
      <c r="F31" s="1055">
        <v>0</v>
      </c>
      <c r="G31" s="1615">
        <v>3250000</v>
      </c>
      <c r="H31" s="1615">
        <v>3250000</v>
      </c>
      <c r="I31" s="1053">
        <v>410000</v>
      </c>
      <c r="J31" s="1054">
        <v>330000</v>
      </c>
      <c r="K31" s="1054">
        <v>480000</v>
      </c>
      <c r="L31" s="1558"/>
    </row>
    <row r="32" spans="1:12" ht="11.25" customHeight="1">
      <c r="A32" s="250" t="s">
        <v>339</v>
      </c>
      <c r="B32" s="182"/>
      <c r="C32" s="1615">
        <v>2648473.84</v>
      </c>
      <c r="D32" s="1635">
        <v>409530.23</v>
      </c>
      <c r="E32" s="1635">
        <v>0</v>
      </c>
      <c r="F32" s="1055">
        <v>45000</v>
      </c>
      <c r="G32" s="1615">
        <v>117000</v>
      </c>
      <c r="H32" s="1615">
        <v>117000</v>
      </c>
      <c r="I32" s="1053">
        <v>1604400</v>
      </c>
      <c r="J32" s="1054">
        <v>758500</v>
      </c>
      <c r="K32" s="1054">
        <v>784000</v>
      </c>
      <c r="L32" s="1558"/>
    </row>
    <row r="33" spans="1:15" ht="11.25" customHeight="1">
      <c r="A33" s="250" t="s">
        <v>0</v>
      </c>
      <c r="B33" s="182"/>
      <c r="C33" s="1615">
        <v>0</v>
      </c>
      <c r="D33" s="1635">
        <v>0</v>
      </c>
      <c r="E33" s="1635">
        <v>0</v>
      </c>
      <c r="F33" s="1055">
        <v>0</v>
      </c>
      <c r="G33" s="1615">
        <v>0</v>
      </c>
      <c r="H33" s="1615">
        <v>0</v>
      </c>
      <c r="I33" s="1053">
        <v>0</v>
      </c>
      <c r="J33" s="1054">
        <v>0</v>
      </c>
      <c r="K33" s="1054">
        <v>0</v>
      </c>
      <c r="L33" s="1558"/>
    </row>
    <row r="34" spans="1:15" ht="11.25" customHeight="1">
      <c r="A34" s="250" t="s">
        <v>1592</v>
      </c>
      <c r="B34" s="182"/>
      <c r="C34" s="1615">
        <v>0</v>
      </c>
      <c r="D34" s="1635">
        <v>8503630.1699999999</v>
      </c>
      <c r="E34" s="1635">
        <v>0</v>
      </c>
      <c r="F34" s="1055">
        <v>850000</v>
      </c>
      <c r="G34" s="1615">
        <v>8338382</v>
      </c>
      <c r="H34" s="1615">
        <v>8338382</v>
      </c>
      <c r="I34" s="1053">
        <v>8148800</v>
      </c>
      <c r="J34" s="1054">
        <v>4644300</v>
      </c>
      <c r="K34" s="1054">
        <v>0</v>
      </c>
      <c r="L34" s="1558"/>
    </row>
    <row r="35" spans="1:15" ht="11.25" customHeight="1">
      <c r="A35" s="250" t="s">
        <v>962</v>
      </c>
      <c r="B35" s="182"/>
      <c r="C35" s="1615">
        <v>0</v>
      </c>
      <c r="D35" s="1635">
        <v>20255.489999999998</v>
      </c>
      <c r="E35" s="1635">
        <v>0</v>
      </c>
      <c r="F35" s="1055">
        <v>122000</v>
      </c>
      <c r="G35" s="1615">
        <v>239000</v>
      </c>
      <c r="H35" s="1615">
        <v>239000</v>
      </c>
      <c r="I35" s="1053">
        <v>32200</v>
      </c>
      <c r="J35" s="1054">
        <v>143000</v>
      </c>
      <c r="K35" s="1054">
        <v>25000</v>
      </c>
      <c r="L35" s="1558"/>
    </row>
    <row r="36" spans="1:15" ht="11.25" customHeight="1">
      <c r="A36" s="250" t="s">
        <v>1527</v>
      </c>
      <c r="B36" s="182">
        <v>7</v>
      </c>
      <c r="C36" s="1615">
        <v>0</v>
      </c>
      <c r="D36" s="1635">
        <v>0</v>
      </c>
      <c r="E36" s="1635">
        <v>0</v>
      </c>
      <c r="F36" s="1055">
        <v>0</v>
      </c>
      <c r="G36" s="1615">
        <v>0</v>
      </c>
      <c r="H36" s="1615">
        <v>0</v>
      </c>
      <c r="I36" s="1053">
        <v>0</v>
      </c>
      <c r="J36" s="1054">
        <v>0</v>
      </c>
      <c r="K36" s="1054">
        <v>0</v>
      </c>
      <c r="L36" s="1558"/>
    </row>
    <row r="37" spans="1:15" ht="11.25" customHeight="1">
      <c r="A37" s="250" t="s">
        <v>1285</v>
      </c>
      <c r="B37" s="182"/>
      <c r="C37" s="1615">
        <v>0</v>
      </c>
      <c r="D37" s="1635">
        <v>0</v>
      </c>
      <c r="E37" s="1635">
        <v>0</v>
      </c>
      <c r="F37" s="1055">
        <v>0</v>
      </c>
      <c r="G37" s="1615">
        <v>0</v>
      </c>
      <c r="H37" s="1615">
        <v>0</v>
      </c>
      <c r="I37" s="1053">
        <v>0</v>
      </c>
      <c r="J37" s="1054">
        <v>0</v>
      </c>
      <c r="K37" s="1054">
        <v>0</v>
      </c>
      <c r="L37" s="1558"/>
      <c r="O37" s="370"/>
    </row>
    <row r="38" spans="1:15" ht="11.25" customHeight="1">
      <c r="A38" s="250" t="s">
        <v>724</v>
      </c>
      <c r="B38" s="182"/>
      <c r="C38" s="1615">
        <v>0</v>
      </c>
      <c r="D38" s="1635">
        <v>0</v>
      </c>
      <c r="E38" s="1635">
        <v>0</v>
      </c>
      <c r="F38" s="1055">
        <v>0</v>
      </c>
      <c r="G38" s="1615">
        <v>0</v>
      </c>
      <c r="H38" s="1615">
        <v>0</v>
      </c>
      <c r="I38" s="1053">
        <v>0</v>
      </c>
      <c r="J38" s="1054">
        <v>0</v>
      </c>
      <c r="K38" s="1054">
        <v>0</v>
      </c>
      <c r="L38" s="1558"/>
    </row>
    <row r="39" spans="1:15" ht="11.25" customHeight="1">
      <c r="A39" s="250" t="s">
        <v>503</v>
      </c>
      <c r="B39" s="182"/>
      <c r="C39" s="1615">
        <v>0</v>
      </c>
      <c r="D39" s="1635">
        <v>1104540.21</v>
      </c>
      <c r="E39" s="1635">
        <v>0</v>
      </c>
      <c r="F39" s="1055">
        <v>0</v>
      </c>
      <c r="G39" s="1615">
        <v>0</v>
      </c>
      <c r="H39" s="1615">
        <v>0</v>
      </c>
      <c r="I39" s="1053">
        <v>1065000</v>
      </c>
      <c r="J39" s="1054">
        <v>710000</v>
      </c>
      <c r="K39" s="1054">
        <v>450000</v>
      </c>
      <c r="L39" s="1558"/>
    </row>
    <row r="40" spans="1:15" ht="11.25" customHeight="1">
      <c r="A40" s="250" t="s">
        <v>31</v>
      </c>
      <c r="B40" s="182">
        <v>8</v>
      </c>
      <c r="C40" s="1615">
        <v>0</v>
      </c>
      <c r="D40" s="1635">
        <v>0</v>
      </c>
      <c r="E40" s="1635">
        <v>0</v>
      </c>
      <c r="F40" s="1055">
        <v>0</v>
      </c>
      <c r="G40" s="1615">
        <v>0</v>
      </c>
      <c r="H40" s="1615">
        <v>0</v>
      </c>
      <c r="I40" s="1053"/>
      <c r="J40" s="1054"/>
      <c r="K40" s="1054"/>
      <c r="L40" s="370"/>
    </row>
    <row r="41" spans="1:15" ht="11.25" customHeight="1">
      <c r="A41" s="250" t="s">
        <v>293</v>
      </c>
      <c r="B41" s="182"/>
      <c r="C41" s="1656">
        <v>98862915.790000007</v>
      </c>
      <c r="D41" s="1657">
        <v>151171660.54000002</v>
      </c>
      <c r="E41" s="1657">
        <v>0</v>
      </c>
      <c r="F41" s="1658">
        <v>350000</v>
      </c>
      <c r="G41" s="1656">
        <v>1104951</v>
      </c>
      <c r="H41" s="1656">
        <v>1104951</v>
      </c>
      <c r="I41" s="1656">
        <v>1019300</v>
      </c>
      <c r="J41" s="1657">
        <v>817000</v>
      </c>
      <c r="K41" s="1657">
        <v>117000</v>
      </c>
      <c r="L41" s="1558"/>
    </row>
    <row r="42" spans="1:15" ht="5" customHeight="1">
      <c r="A42" s="273"/>
      <c r="B42" s="182"/>
      <c r="C42" s="203"/>
      <c r="D42" s="203"/>
      <c r="E42" s="204"/>
      <c r="F42" s="205"/>
      <c r="G42" s="203"/>
      <c r="H42" s="202"/>
      <c r="I42" s="205"/>
      <c r="J42" s="203"/>
      <c r="K42" s="204"/>
      <c r="L42" s="370"/>
    </row>
    <row r="43" spans="1:15" ht="17.25" customHeight="1">
      <c r="A43" s="249" t="s">
        <v>965</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1257</v>
      </c>
      <c r="B44" s="182"/>
      <c r="C44" s="1620">
        <v>0</v>
      </c>
      <c r="D44" s="1620">
        <v>0</v>
      </c>
      <c r="E44" s="1884"/>
      <c r="F44" s="1935"/>
      <c r="G44" s="1620"/>
      <c r="H44" s="1954">
        <v>0</v>
      </c>
      <c r="I44" s="1935">
        <v>0</v>
      </c>
      <c r="J44" s="1620">
        <v>0</v>
      </c>
      <c r="K44" s="1884">
        <v>0</v>
      </c>
      <c r="L44" s="370"/>
    </row>
    <row r="45" spans="1:15" ht="11.25" customHeight="1">
      <c r="A45" s="254" t="s">
        <v>293</v>
      </c>
      <c r="B45" s="182">
        <v>9</v>
      </c>
      <c r="C45" s="1656">
        <v>0</v>
      </c>
      <c r="D45" s="1656">
        <v>0</v>
      </c>
      <c r="E45" s="1657">
        <v>0</v>
      </c>
      <c r="F45" s="1658">
        <v>0</v>
      </c>
      <c r="G45" s="1656">
        <v>0</v>
      </c>
      <c r="H45" s="1659">
        <v>0</v>
      </c>
      <c r="I45" s="1658">
        <v>0</v>
      </c>
      <c r="J45" s="1656">
        <v>0</v>
      </c>
      <c r="K45" s="1657">
        <v>0</v>
      </c>
      <c r="L45" s="370"/>
    </row>
    <row r="46" spans="1:15" ht="5" customHeight="1">
      <c r="A46" s="817"/>
      <c r="B46" s="182"/>
      <c r="C46" s="203"/>
      <c r="D46" s="203"/>
      <c r="E46" s="204"/>
      <c r="F46" s="205"/>
      <c r="G46" s="203"/>
      <c r="H46" s="202"/>
      <c r="I46" s="205"/>
      <c r="J46" s="203"/>
      <c r="K46" s="204"/>
      <c r="L46" s="370"/>
    </row>
    <row r="47" spans="1:15" ht="17.25" customHeight="1">
      <c r="A47" s="810" t="s">
        <v>966</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4" t="s">
        <v>504</v>
      </c>
      <c r="B48" s="182"/>
      <c r="C48" s="1620"/>
      <c r="D48" s="1620"/>
      <c r="E48" s="1884"/>
      <c r="F48" s="1935"/>
      <c r="G48" s="1620"/>
      <c r="H48" s="1954"/>
      <c r="I48" s="1935"/>
      <c r="J48" s="1620"/>
      <c r="K48" s="1884"/>
      <c r="L48" s="1558"/>
    </row>
    <row r="49" spans="1:12" ht="11.25" customHeight="1">
      <c r="A49" s="254" t="s">
        <v>293</v>
      </c>
      <c r="B49" s="182"/>
      <c r="C49" s="1656"/>
      <c r="D49" s="1656"/>
      <c r="E49" s="1657"/>
      <c r="F49" s="1658"/>
      <c r="G49" s="1656"/>
      <c r="H49" s="1659"/>
      <c r="I49" s="1658"/>
      <c r="J49" s="1656"/>
      <c r="K49" s="1657"/>
      <c r="L49" s="370"/>
    </row>
    <row r="50" spans="1:12" ht="5" customHeight="1">
      <c r="A50" s="817"/>
      <c r="B50" s="182"/>
      <c r="C50" s="203"/>
      <c r="D50" s="203"/>
      <c r="E50" s="204"/>
      <c r="F50" s="205"/>
      <c r="G50" s="203"/>
      <c r="H50" s="202"/>
      <c r="I50" s="205"/>
      <c r="J50" s="203"/>
      <c r="K50" s="204"/>
      <c r="L50" s="370"/>
    </row>
    <row r="51" spans="1:12" ht="17.25" customHeight="1">
      <c r="A51" s="810" t="s">
        <v>967</v>
      </c>
      <c r="B51" s="182"/>
      <c r="C51" s="218">
        <f>SUM(C52:C63)</f>
        <v>7201479.8499999996</v>
      </c>
      <c r="D51" s="218">
        <f t="shared" ref="D51:K51" si="9">SUM(D52:D63)</f>
        <v>0</v>
      </c>
      <c r="E51" s="219">
        <f t="shared" si="9"/>
        <v>1550000</v>
      </c>
      <c r="F51" s="220">
        <f t="shared" si="9"/>
        <v>24189471</v>
      </c>
      <c r="G51" s="218">
        <f t="shared" si="9"/>
        <v>24508013</v>
      </c>
      <c r="H51" s="217">
        <f t="shared" si="9"/>
        <v>24508013</v>
      </c>
      <c r="I51" s="220">
        <f t="shared" si="9"/>
        <v>74222061</v>
      </c>
      <c r="J51" s="218">
        <f t="shared" si="9"/>
        <v>35315848</v>
      </c>
      <c r="K51" s="219">
        <f t="shared" si="9"/>
        <v>35725000</v>
      </c>
      <c r="L51" s="370"/>
    </row>
    <row r="52" spans="1:12" ht="11.25" customHeight="1">
      <c r="A52" s="254" t="s">
        <v>632</v>
      </c>
      <c r="B52" s="182"/>
      <c r="C52" s="1620">
        <v>0</v>
      </c>
      <c r="D52" s="1620">
        <v>0</v>
      </c>
      <c r="E52" s="1884">
        <v>0</v>
      </c>
      <c r="F52" s="1935">
        <v>330000</v>
      </c>
      <c r="G52" s="1620">
        <v>330000</v>
      </c>
      <c r="H52" s="1954">
        <v>330000</v>
      </c>
      <c r="I52" s="1620">
        <v>15000000</v>
      </c>
      <c r="J52" s="1884">
        <v>13000000</v>
      </c>
      <c r="K52" s="1884">
        <v>12000000</v>
      </c>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1245</v>
      </c>
      <c r="B54" s="182"/>
      <c r="C54" s="1635">
        <v>568270.92999999993</v>
      </c>
      <c r="D54" s="1635"/>
      <c r="E54" s="1055">
        <v>650000</v>
      </c>
      <c r="F54" s="1055">
        <v>0</v>
      </c>
      <c r="G54" s="1615">
        <v>0</v>
      </c>
      <c r="H54" s="1615">
        <v>0</v>
      </c>
      <c r="I54" s="1053">
        <v>400000</v>
      </c>
      <c r="J54" s="1054">
        <v>150000</v>
      </c>
      <c r="K54" s="1054">
        <v>0</v>
      </c>
      <c r="L54" s="1558"/>
    </row>
    <row r="55" spans="1:12" ht="11.25" customHeight="1">
      <c r="A55" s="254" t="s">
        <v>633</v>
      </c>
      <c r="B55" s="182"/>
      <c r="C55" s="1635">
        <v>0</v>
      </c>
      <c r="D55" s="1635"/>
      <c r="E55" s="1055">
        <v>0</v>
      </c>
      <c r="F55" s="1055">
        <f>14162500+6000000+3000000</f>
        <v>23162500</v>
      </c>
      <c r="G55" s="1615">
        <v>14449500</v>
      </c>
      <c r="H55" s="1615">
        <v>14449500</v>
      </c>
      <c r="I55" s="1053">
        <v>3025000</v>
      </c>
      <c r="J55" s="1054">
        <v>3025000</v>
      </c>
      <c r="K55" s="1054">
        <v>2025000</v>
      </c>
      <c r="L55" s="1558"/>
    </row>
    <row r="56" spans="1:12" ht="11.25" customHeight="1">
      <c r="A56" s="254" t="s">
        <v>634</v>
      </c>
      <c r="B56" s="182"/>
      <c r="C56" s="1635">
        <v>6584989.6200000001</v>
      </c>
      <c r="D56" s="1635"/>
      <c r="E56" s="1055">
        <v>0</v>
      </c>
      <c r="F56" s="1055">
        <v>296971</v>
      </c>
      <c r="G56" s="1615">
        <v>1341096</v>
      </c>
      <c r="H56" s="1615">
        <v>1341096</v>
      </c>
      <c r="I56" s="1053">
        <v>706357</v>
      </c>
      <c r="J56" s="1054">
        <v>2300848</v>
      </c>
      <c r="K56" s="1054">
        <v>5110000</v>
      </c>
      <c r="L56" s="1558"/>
    </row>
    <row r="57" spans="1:12" ht="11.25" customHeight="1">
      <c r="A57" s="254" t="s">
        <v>1246</v>
      </c>
      <c r="B57" s="182"/>
      <c r="C57" s="1635">
        <v>0</v>
      </c>
      <c r="D57" s="1635"/>
      <c r="E57" s="1055">
        <v>0</v>
      </c>
      <c r="F57" s="1055">
        <v>0</v>
      </c>
      <c r="G57" s="1615">
        <v>0</v>
      </c>
      <c r="H57" s="1615">
        <v>0</v>
      </c>
      <c r="I57" s="1053">
        <v>0</v>
      </c>
      <c r="J57" s="1054">
        <v>0</v>
      </c>
      <c r="K57" s="1054">
        <v>0</v>
      </c>
      <c r="L57" s="1558"/>
    </row>
    <row r="58" spans="1:12" ht="11.25" customHeight="1">
      <c r="A58" s="254" t="s">
        <v>1247</v>
      </c>
      <c r="B58" s="182"/>
      <c r="C58" s="1635">
        <v>0</v>
      </c>
      <c r="D58" s="1635"/>
      <c r="E58" s="1055">
        <v>0</v>
      </c>
      <c r="F58" s="1055">
        <v>0</v>
      </c>
      <c r="G58" s="1615">
        <v>0</v>
      </c>
      <c r="H58" s="1615">
        <v>0</v>
      </c>
      <c r="I58" s="1053">
        <v>0</v>
      </c>
      <c r="J58" s="1054">
        <v>0</v>
      </c>
      <c r="K58" s="1054">
        <v>0</v>
      </c>
      <c r="L58" s="1557"/>
    </row>
    <row r="59" spans="1:12" ht="11.25" customHeight="1">
      <c r="A59" s="254" t="s">
        <v>1525</v>
      </c>
      <c r="B59" s="182"/>
      <c r="C59" s="1635">
        <v>0</v>
      </c>
      <c r="D59" s="1635"/>
      <c r="E59" s="1055">
        <v>0</v>
      </c>
      <c r="F59" s="1055">
        <v>0</v>
      </c>
      <c r="G59" s="1615">
        <v>754698</v>
      </c>
      <c r="H59" s="1615">
        <v>754698</v>
      </c>
      <c r="I59" s="1053">
        <v>1035000</v>
      </c>
      <c r="J59" s="1054">
        <v>3000000</v>
      </c>
      <c r="K59" s="1054">
        <v>3000000</v>
      </c>
      <c r="L59" s="1558"/>
    </row>
    <row r="60" spans="1:12" ht="11.25" customHeight="1">
      <c r="A60" s="254" t="s">
        <v>322</v>
      </c>
      <c r="B60" s="182"/>
      <c r="C60" s="1635">
        <v>48219.3</v>
      </c>
      <c r="D60" s="1635"/>
      <c r="E60" s="1055">
        <v>600000</v>
      </c>
      <c r="F60" s="1055">
        <f>65000-15000</f>
        <v>50000</v>
      </c>
      <c r="G60" s="1615">
        <v>1695302</v>
      </c>
      <c r="H60" s="1615">
        <v>1695302</v>
      </c>
      <c r="I60" s="1053">
        <v>0</v>
      </c>
      <c r="J60" s="1054">
        <v>0</v>
      </c>
      <c r="K60" s="1054"/>
      <c r="L60" s="1558"/>
    </row>
    <row r="61" spans="1:12" ht="11.25" customHeight="1">
      <c r="A61" s="254" t="s">
        <v>321</v>
      </c>
      <c r="B61" s="182"/>
      <c r="C61" s="1615">
        <v>0</v>
      </c>
      <c r="D61" s="1615"/>
      <c r="E61" s="1055">
        <v>0</v>
      </c>
      <c r="F61" s="1055">
        <v>0</v>
      </c>
      <c r="G61" s="1615">
        <v>0</v>
      </c>
      <c r="H61" s="1615">
        <v>0</v>
      </c>
      <c r="I61" s="1053">
        <v>7400000</v>
      </c>
      <c r="J61" s="1054">
        <v>100000</v>
      </c>
      <c r="K61" s="1054">
        <v>100000</v>
      </c>
      <c r="L61" s="1558"/>
    </row>
    <row r="62" spans="1:12" ht="11.25" customHeight="1">
      <c r="A62" s="254" t="s">
        <v>635</v>
      </c>
      <c r="B62" s="182"/>
      <c r="C62" s="1615">
        <v>0</v>
      </c>
      <c r="D62" s="1615"/>
      <c r="E62" s="1055">
        <v>0</v>
      </c>
      <c r="F62" s="1055">
        <v>0</v>
      </c>
      <c r="G62" s="1615">
        <v>0</v>
      </c>
      <c r="H62" s="1615">
        <v>0</v>
      </c>
      <c r="I62" s="1053">
        <v>0</v>
      </c>
      <c r="J62" s="1054">
        <v>0</v>
      </c>
      <c r="K62" s="1054">
        <v>0</v>
      </c>
      <c r="L62" s="1558"/>
    </row>
    <row r="63" spans="1:12" ht="11.25" customHeight="1">
      <c r="A63" s="250" t="s">
        <v>293</v>
      </c>
      <c r="B63" s="182"/>
      <c r="C63" s="1656">
        <v>0</v>
      </c>
      <c r="D63" s="1656"/>
      <c r="E63" s="1658">
        <v>300000</v>
      </c>
      <c r="F63" s="1658">
        <v>350000</v>
      </c>
      <c r="G63" s="1656">
        <v>5937417</v>
      </c>
      <c r="H63" s="1656">
        <v>5937417</v>
      </c>
      <c r="I63" s="1656">
        <v>46655704</v>
      </c>
      <c r="J63" s="1656">
        <v>13740000</v>
      </c>
      <c r="K63" s="1656">
        <v>13490000</v>
      </c>
      <c r="L63" s="1558"/>
    </row>
    <row r="64" spans="1:12" ht="5" customHeight="1">
      <c r="A64" s="844"/>
      <c r="B64" s="182"/>
      <c r="C64" s="203"/>
      <c r="D64" s="203"/>
      <c r="E64" s="204"/>
      <c r="F64" s="205"/>
      <c r="G64" s="203"/>
      <c r="H64" s="202"/>
      <c r="I64" s="205"/>
      <c r="J64" s="203"/>
      <c r="K64" s="204"/>
      <c r="L64" s="370"/>
    </row>
    <row r="65" spans="1:12" ht="13.5" customHeight="1">
      <c r="A65" s="249" t="s">
        <v>1540</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31" t="s">
        <v>1258</v>
      </c>
      <c r="B66" s="182"/>
      <c r="C66" s="1620"/>
      <c r="D66" s="1620"/>
      <c r="E66" s="1884"/>
      <c r="F66" s="1935"/>
      <c r="G66" s="1620"/>
      <c r="H66" s="1954"/>
      <c r="I66" s="1935"/>
      <c r="J66" s="1620"/>
      <c r="K66" s="1884"/>
      <c r="L66" s="370"/>
    </row>
    <row r="67" spans="1:12" ht="11.25" customHeight="1">
      <c r="A67" s="1931"/>
      <c r="B67" s="182"/>
      <c r="C67" s="1656"/>
      <c r="D67" s="1656"/>
      <c r="E67" s="1657"/>
      <c r="F67" s="1658"/>
      <c r="G67" s="1656"/>
      <c r="H67" s="1659"/>
      <c r="I67" s="1658"/>
      <c r="J67" s="1656"/>
      <c r="K67" s="1657"/>
      <c r="L67" s="370"/>
    </row>
    <row r="68" spans="1:12" ht="5"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31" t="s">
        <v>1258</v>
      </c>
      <c r="B70" s="182"/>
      <c r="C70" s="1620"/>
      <c r="D70" s="1620"/>
      <c r="E70" s="1884"/>
      <c r="F70" s="1935"/>
      <c r="G70" s="1620"/>
      <c r="H70" s="1954"/>
      <c r="I70" s="1935"/>
      <c r="J70" s="1620"/>
      <c r="K70" s="1884"/>
      <c r="L70" s="370"/>
    </row>
    <row r="71" spans="1:12" ht="11.25" customHeight="1">
      <c r="A71" s="1931"/>
      <c r="B71" s="182"/>
      <c r="C71" s="1656"/>
      <c r="D71" s="1656"/>
      <c r="E71" s="1657"/>
      <c r="F71" s="1658"/>
      <c r="G71" s="1656"/>
      <c r="H71" s="1659"/>
      <c r="I71" s="1658"/>
      <c r="J71" s="1656"/>
      <c r="K71" s="1657"/>
      <c r="L71" s="370"/>
    </row>
    <row r="72" spans="1:12" ht="5" customHeight="1">
      <c r="A72" s="273"/>
      <c r="B72" s="182"/>
      <c r="C72" s="203"/>
      <c r="D72" s="203"/>
      <c r="E72" s="204"/>
      <c r="F72" s="205"/>
      <c r="G72" s="203"/>
      <c r="H72" s="202"/>
      <c r="I72" s="205"/>
      <c r="J72" s="203"/>
      <c r="K72" s="204"/>
      <c r="L72" s="370"/>
    </row>
    <row r="73" spans="1:12" ht="17.25" customHeight="1">
      <c r="A73" s="249" t="s">
        <v>883</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973</v>
      </c>
      <c r="B74" s="182"/>
      <c r="C74" s="1620"/>
      <c r="D74" s="1620"/>
      <c r="E74" s="1884"/>
      <c r="F74" s="1935"/>
      <c r="G74" s="1620"/>
      <c r="H74" s="1954"/>
      <c r="I74" s="1935"/>
      <c r="J74" s="1620"/>
      <c r="K74" s="1884"/>
      <c r="L74" s="370"/>
    </row>
    <row r="75" spans="1:12" ht="11.25" customHeight="1">
      <c r="A75" s="1904" t="s">
        <v>616</v>
      </c>
      <c r="B75" s="182"/>
      <c r="C75" s="1656"/>
      <c r="D75" s="1656"/>
      <c r="E75" s="1657"/>
      <c r="F75" s="1658"/>
      <c r="G75" s="1656"/>
      <c r="H75" s="1659"/>
      <c r="I75" s="1658"/>
      <c r="J75" s="1656"/>
      <c r="K75" s="1657"/>
      <c r="L75" s="370"/>
    </row>
    <row r="76" spans="1:12" ht="5" customHeight="1">
      <c r="A76" s="273"/>
      <c r="B76" s="182"/>
      <c r="C76" s="218"/>
      <c r="D76" s="218"/>
      <c r="E76" s="219"/>
      <c r="F76" s="220"/>
      <c r="G76" s="218"/>
      <c r="H76" s="217"/>
      <c r="I76" s="220"/>
      <c r="J76" s="218"/>
      <c r="K76" s="219"/>
      <c r="L76" s="370"/>
    </row>
    <row r="77" spans="1:12">
      <c r="A77" s="281" t="s">
        <v>1232</v>
      </c>
      <c r="B77" s="225">
        <v>1</v>
      </c>
      <c r="C77" s="230">
        <f t="shared" ref="C77:K77" si="14">C6+C27+C43+C47+C51+C73+C65+C69</f>
        <v>121557846.05999999</v>
      </c>
      <c r="D77" s="230">
        <f t="shared" si="14"/>
        <v>307080776.5</v>
      </c>
      <c r="E77" s="228">
        <f t="shared" si="14"/>
        <v>1550000</v>
      </c>
      <c r="F77" s="229">
        <f t="shared" si="14"/>
        <v>430578471</v>
      </c>
      <c r="G77" s="230">
        <f t="shared" si="14"/>
        <v>475732960</v>
      </c>
      <c r="H77" s="231">
        <f t="shared" si="14"/>
        <v>475732960</v>
      </c>
      <c r="I77" s="229">
        <f t="shared" si="14"/>
        <v>1127285761</v>
      </c>
      <c r="J77" s="230">
        <f t="shared" si="14"/>
        <v>955908648</v>
      </c>
      <c r="K77" s="228">
        <f t="shared" si="14"/>
        <v>966694000</v>
      </c>
      <c r="L77" s="370"/>
    </row>
    <row r="78" spans="1:12">
      <c r="A78" s="1560"/>
      <c r="B78" s="652"/>
      <c r="C78" s="217"/>
      <c r="D78" s="217"/>
      <c r="E78" s="217"/>
      <c r="F78" s="217"/>
      <c r="G78" s="217"/>
      <c r="H78" s="217"/>
      <c r="I78" s="217"/>
      <c r="J78" s="217"/>
      <c r="K78" s="217"/>
      <c r="L78" s="370"/>
    </row>
    <row r="79" spans="1:12">
      <c r="A79" s="1561" t="s">
        <v>32</v>
      </c>
      <c r="B79" s="2431"/>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1291</v>
      </c>
      <c r="B80" s="2432"/>
      <c r="C80" s="1617"/>
      <c r="D80" s="1615"/>
      <c r="E80" s="1618"/>
      <c r="F80" s="1617"/>
      <c r="G80" s="1615"/>
      <c r="H80" s="1618"/>
      <c r="I80" s="1617"/>
      <c r="J80" s="1615"/>
      <c r="K80" s="1618"/>
      <c r="L80" s="370"/>
    </row>
    <row r="81" spans="1:12">
      <c r="A81" s="190" t="s">
        <v>1526</v>
      </c>
      <c r="B81" s="2432"/>
      <c r="C81" s="1617"/>
      <c r="D81" s="1615"/>
      <c r="E81" s="1618"/>
      <c r="F81" s="1617"/>
      <c r="G81" s="1615"/>
      <c r="H81" s="1618"/>
      <c r="I81" s="1617"/>
      <c r="J81" s="1615"/>
      <c r="K81" s="1618"/>
      <c r="L81" s="370"/>
    </row>
    <row r="82" spans="1:12">
      <c r="A82" s="190" t="s">
        <v>1723</v>
      </c>
      <c r="B82" s="2432"/>
      <c r="C82" s="1617"/>
      <c r="D82" s="1615"/>
      <c r="E82" s="1618"/>
      <c r="F82" s="1617"/>
      <c r="G82" s="1615"/>
      <c r="H82" s="1618"/>
      <c r="I82" s="1617"/>
      <c r="J82" s="1615"/>
      <c r="K82" s="1618"/>
      <c r="L82" s="370"/>
    </row>
    <row r="83" spans="1:12">
      <c r="A83" s="1315" t="s">
        <v>1724</v>
      </c>
      <c r="B83" s="2433"/>
      <c r="C83" s="1693"/>
      <c r="D83" s="1689"/>
      <c r="E83" s="1961"/>
      <c r="F83" s="1693"/>
      <c r="G83" s="1689"/>
      <c r="H83" s="1961"/>
      <c r="I83" s="1693"/>
      <c r="J83" s="1689"/>
      <c r="K83" s="1961"/>
      <c r="L83" s="370"/>
    </row>
    <row r="84" spans="1:12" s="360" customFormat="1" ht="3.75" customHeight="1">
      <c r="A84" s="325"/>
      <c r="B84" s="430"/>
      <c r="C84" s="1333"/>
      <c r="D84" s="1333"/>
      <c r="E84" s="1333"/>
      <c r="F84" s="1333"/>
      <c r="G84" s="1333"/>
      <c r="H84" s="1333"/>
      <c r="I84" s="1333"/>
      <c r="J84" s="1333"/>
      <c r="K84" s="1333"/>
    </row>
    <row r="85" spans="1:12" s="709" customFormat="1">
      <c r="A85" s="2436" t="s">
        <v>1965</v>
      </c>
      <c r="B85" s="2437"/>
      <c r="C85" s="2438">
        <f>IF(ISERROR(C77/'A9-Asset'!C49),0,(C77/'A9-Asset'!C49))</f>
        <v>0.32784945960648182</v>
      </c>
      <c r="D85" s="2438">
        <f>IF(ISERROR(D77/'A9-Asset'!D49),0,(D77/'A9-Asset'!D49))</f>
        <v>0.56406086125992294</v>
      </c>
      <c r="E85" s="2439">
        <f>IF(ISERROR(E77/'A9-Asset'!E49),0,(E77/'A9-Asset'!E49))</f>
        <v>7.915643063369799E-3</v>
      </c>
      <c r="F85" s="2440">
        <f>IF(ISERROR(F77/'A9-Asset'!F49),0,(F77/'A9-Asset'!F49))</f>
        <v>0.46970519869242983</v>
      </c>
      <c r="G85" s="2438">
        <f>IF(ISERROR(G77/'A9-Asset'!G49),0,(G77/'A9-Asset'!G49))</f>
        <v>0.47868902268244157</v>
      </c>
      <c r="H85" s="2441">
        <f>IF(ISERROR(H77/'A9-Asset'!H49),0,(H77/'A9-Asset'!H49))</f>
        <v>0.47868902268244157</v>
      </c>
      <c r="I85" s="2442">
        <f>IF(ISERROR(I77/'A9-Asset'!I49),0,(I77/'A9-Asset'!I49))</f>
        <v>0.85812671346187497</v>
      </c>
      <c r="J85" s="2438">
        <f>IF(ISERROR(J77/'A9-Asset'!J49),0,(J77/'A9-Asset'!J49))</f>
        <v>0.85316867065745949</v>
      </c>
      <c r="K85" s="2439">
        <f>IF(ISERROR(K77/'A9-Asset'!K49),0,(K77/'A9-Asset'!K49))</f>
        <v>0.92783621914231962</v>
      </c>
      <c r="L85" s="1559"/>
    </row>
    <row r="86" spans="1:12" s="709" customFormat="1" ht="11.25" customHeight="1">
      <c r="A86" s="2424" t="s">
        <v>1434</v>
      </c>
      <c r="B86" s="2425"/>
      <c r="C86" s="2426">
        <f>IF(ISERROR(C77/'A9-Asset'!C68),0,(C77/'A9-Asset'!C68))</f>
        <v>1.1063395952997026</v>
      </c>
      <c r="D86" s="2426">
        <f>IF(ISERROR(D77/'A9-Asset'!D68),0,(D77/'A9-Asset'!D68))</f>
        <v>0.76127274738784856</v>
      </c>
      <c r="E86" s="2427">
        <f>IF(ISERROR(E77/'A9-Asset'!E68),0,(E77/'A9-Asset'!E68))</f>
        <v>3.8389089771152731E-3</v>
      </c>
      <c r="F86" s="2428">
        <f>IF(ISERROR(F77/'A9-Asset'!F68),0,(F77/'A9-Asset'!F68))</f>
        <v>3.4635292445841181</v>
      </c>
      <c r="G86" s="2426">
        <f>IF(ISERROR(G77/'A9-Asset'!G68),0,(G77/'A9-Asset'!G68))</f>
        <v>3.81746783548786</v>
      </c>
      <c r="H86" s="2429">
        <f>IF(ISERROR(H77/'A9-Asset'!H68),0,(H77/'A9-Asset'!H68))</f>
        <v>3.81746783548786</v>
      </c>
      <c r="I86" s="2430">
        <f>IF(ISERROR(I77/'A9-Asset'!I68),0,(I77/'A9-Asset'!I68))</f>
        <v>3.9390145661692659</v>
      </c>
      <c r="J86" s="2426">
        <f>IF(ISERROR(J77/'A9-Asset'!J68),0,(J77/'A9-Asset'!J68))</f>
        <v>3.1500489521878268</v>
      </c>
      <c r="K86" s="2427">
        <f>IF(ISERROR(K77/'A9-Asset'!K68),0,(K77/'A9-Asset'!K68))</f>
        <v>3.0116352807222109</v>
      </c>
      <c r="L86" s="1087"/>
    </row>
    <row r="87" spans="1:12" s="709" customFormat="1" ht="11.25" customHeight="1">
      <c r="A87" s="1262" t="str">
        <f>head27a</f>
        <v>References</v>
      </c>
      <c r="B87" s="1038"/>
      <c r="C87" s="1042"/>
      <c r="D87" s="1042"/>
      <c r="E87" s="1042"/>
      <c r="F87" s="1042"/>
      <c r="G87" s="1042"/>
      <c r="H87" s="1042"/>
      <c r="I87" s="1042"/>
      <c r="J87" s="1042"/>
      <c r="K87" s="1042"/>
    </row>
    <row r="88" spans="1:12" s="709" customFormat="1" ht="11.25" customHeight="1">
      <c r="A88" s="1263" t="s">
        <v>1233</v>
      </c>
      <c r="B88" s="1038"/>
      <c r="C88" s="1041"/>
      <c r="D88" s="1041"/>
      <c r="E88" s="1042"/>
      <c r="F88" s="1042"/>
      <c r="G88" s="1042"/>
      <c r="H88" s="1042"/>
      <c r="I88" s="1042"/>
      <c r="J88" s="1042"/>
      <c r="K88" s="1042"/>
    </row>
    <row r="89" spans="1:12" s="709" customFormat="1" ht="11.25" customHeight="1">
      <c r="A89" s="1263" t="s">
        <v>319</v>
      </c>
      <c r="B89" s="1038"/>
      <c r="C89" s="1041"/>
      <c r="D89" s="1041"/>
      <c r="E89" s="1042"/>
      <c r="F89" s="1042"/>
      <c r="G89" s="1042"/>
      <c r="H89" s="1042"/>
      <c r="I89" s="1042"/>
      <c r="J89" s="1042"/>
      <c r="K89" s="1042"/>
    </row>
    <row r="90" spans="1:12" s="709" customFormat="1" ht="11.25" customHeight="1">
      <c r="A90" s="1263" t="s">
        <v>916</v>
      </c>
      <c r="B90" s="1038"/>
      <c r="C90" s="1041"/>
      <c r="D90" s="1041"/>
      <c r="E90" s="1042"/>
      <c r="F90" s="1042"/>
      <c r="G90" s="1042"/>
      <c r="H90" s="1042"/>
      <c r="I90" s="1042"/>
      <c r="J90" s="1042"/>
      <c r="K90" s="1042"/>
    </row>
    <row r="91" spans="1:12" s="709" customFormat="1" ht="11.25" customHeight="1">
      <c r="A91" s="1263" t="s">
        <v>323</v>
      </c>
      <c r="B91" s="1038"/>
      <c r="C91" s="1041"/>
      <c r="D91" s="1041"/>
      <c r="E91" s="1042"/>
      <c r="F91" s="1042"/>
      <c r="G91" s="1042"/>
      <c r="H91" s="1042"/>
      <c r="I91" s="1042"/>
      <c r="J91" s="1042"/>
      <c r="K91" s="1042"/>
    </row>
    <row r="92" spans="1:12" s="709" customFormat="1" ht="11.25" customHeight="1">
      <c r="A92" s="1263" t="s">
        <v>133</v>
      </c>
      <c r="B92" s="1038"/>
      <c r="C92" s="1041"/>
      <c r="D92" s="1041"/>
      <c r="E92" s="1042"/>
      <c r="F92" s="1042"/>
      <c r="G92" s="1042"/>
      <c r="H92" s="1042"/>
      <c r="I92" s="1042"/>
      <c r="J92" s="1042"/>
      <c r="K92" s="1042"/>
    </row>
    <row r="93" spans="1:12" s="709" customFormat="1" ht="11.25" customHeight="1">
      <c r="A93" s="1263" t="s">
        <v>1664</v>
      </c>
      <c r="B93" s="1038"/>
      <c r="C93" s="1041"/>
      <c r="D93" s="1041"/>
      <c r="E93" s="1042"/>
      <c r="F93" s="1042"/>
      <c r="G93" s="1042"/>
      <c r="H93" s="1042"/>
      <c r="I93" s="1042"/>
      <c r="J93" s="1042"/>
      <c r="K93" s="1042"/>
    </row>
    <row r="94" spans="1:12" s="709" customFormat="1" ht="11.25" customHeight="1">
      <c r="A94" s="1516" t="s">
        <v>33</v>
      </c>
      <c r="B94" s="1038"/>
      <c r="C94" s="1041"/>
      <c r="D94" s="1041"/>
      <c r="E94" s="1042"/>
      <c r="F94" s="1042"/>
      <c r="G94" s="1042"/>
      <c r="H94" s="1042"/>
      <c r="I94" s="1042"/>
      <c r="J94" s="1042"/>
      <c r="K94" s="1042"/>
    </row>
    <row r="95" spans="1:12" s="709" customFormat="1" ht="11.25" customHeight="1">
      <c r="A95" s="1516" t="s">
        <v>1336</v>
      </c>
      <c r="B95" s="1038"/>
      <c r="C95" s="1041"/>
      <c r="D95" s="1041"/>
      <c r="E95" s="1042"/>
      <c r="F95" s="1042"/>
      <c r="G95" s="1042"/>
      <c r="H95" s="1042"/>
      <c r="I95" s="1042"/>
      <c r="J95" s="1042"/>
      <c r="K95" s="1042"/>
    </row>
    <row r="96" spans="1:12" s="709" customFormat="1" ht="11.25" customHeight="1">
      <c r="A96" s="1516" t="s">
        <v>1337</v>
      </c>
      <c r="B96" s="1038"/>
      <c r="C96" s="1041"/>
      <c r="D96" s="1041"/>
      <c r="E96" s="1042"/>
      <c r="F96" s="1042"/>
      <c r="G96" s="1042"/>
      <c r="H96" s="1042"/>
      <c r="I96" s="1042"/>
      <c r="J96" s="1042"/>
      <c r="K96" s="1042"/>
    </row>
    <row r="97" spans="1:11" ht="11.25" customHeight="1">
      <c r="A97" s="1516" t="s">
        <v>388</v>
      </c>
      <c r="B97" s="1038"/>
      <c r="C97" s="1041"/>
      <c r="D97" s="1041"/>
      <c r="E97" s="1042"/>
      <c r="F97" s="1042"/>
      <c r="G97" s="1042"/>
      <c r="H97" s="1042"/>
      <c r="I97" s="1042"/>
      <c r="J97" s="1042"/>
      <c r="K97" s="1042"/>
    </row>
    <row r="98" spans="1:11" ht="11.25" customHeight="1">
      <c r="A98" s="1060"/>
      <c r="B98" s="1038"/>
      <c r="C98" s="1041"/>
      <c r="D98" s="1041"/>
      <c r="E98" s="1042"/>
      <c r="F98" s="1042"/>
      <c r="G98" s="1042"/>
      <c r="H98" s="1042"/>
      <c r="I98" s="1042"/>
      <c r="J98" s="1042"/>
      <c r="K98" s="1042"/>
    </row>
    <row r="99" spans="1:11" ht="11.25" customHeight="1">
      <c r="A99" s="246"/>
      <c r="B99" s="236"/>
      <c r="C99" s="240"/>
      <c r="D99" s="240"/>
      <c r="E99" s="241"/>
      <c r="F99" s="241"/>
      <c r="G99" s="241"/>
      <c r="H99" s="241"/>
      <c r="I99" s="241"/>
      <c r="J99" s="241"/>
      <c r="K99" s="241"/>
    </row>
    <row r="100" spans="1:11" ht="11.25" customHeight="1">
      <c r="A100" s="288" t="s">
        <v>296</v>
      </c>
      <c r="B100" s="243"/>
      <c r="C100" s="447">
        <f>SUM(C77+SA34a!C77)-'A5-Capex'!C40</f>
        <v>128781962.06</v>
      </c>
      <c r="D100" s="447">
        <f>SUM(D77+SA34a!D77)-'A5-Capex'!D40</f>
        <v>335399879.5</v>
      </c>
      <c r="E100" s="447">
        <f>SUM(E77+SA34a!E77)-'A5-Capex'!E40</f>
        <v>-111833127</v>
      </c>
      <c r="F100" s="447">
        <f>SUM(F77+SA34a!F77)-'A5-Capex'!F40</f>
        <v>2026410</v>
      </c>
      <c r="G100" s="447">
        <f>SUM(G77+SA34a!G77)-'A5-Capex'!G40</f>
        <v>18175816</v>
      </c>
      <c r="H100" s="447">
        <f>SUM(H77+SA34a!H77)-'A5-Capex'!H40</f>
        <v>18175816</v>
      </c>
      <c r="I100" s="447">
        <f>SUM(I77+SA34a!I77)-'A5-Capex'!J40</f>
        <v>-320</v>
      </c>
      <c r="J100" s="447">
        <f>SUM(J77+SA34a!J77)-'A5-Capex'!K40</f>
        <v>-690000000</v>
      </c>
      <c r="K100" s="447">
        <f>SUM(K77+SA34a!K77)-'A5-Capex'!L40</f>
        <v>0</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sheetData>
  <sheetProtection sheet="1" objects="1" scenarios="1"/>
  <mergeCells count="2">
    <mergeCell ref="F2:H2"/>
    <mergeCell ref="I2:K2"/>
  </mergeCells>
  <phoneticPr fontId="5" type="noConversion"/>
  <pageMargins left="0.75" right="0.75" top="0.19" bottom="0.24" header="0.19" footer="0.21"/>
  <headerFooter alignWithMargins="0"/>
  <rowBreaks count="1" manualBreakCount="1">
    <brk id="97" max="16383" man="1"/>
  </rowBreaks>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enableFormatConditionsCalculation="0">
    <tabColor indexed="42"/>
  </sheetPr>
  <dimension ref="A1:O135"/>
  <sheetViews>
    <sheetView showGridLines="0" workbookViewId="0">
      <pane xSplit="2" ySplit="3" topLeftCell="C4" activePane="bottomRight" state="frozen"/>
      <selection pane="topRight"/>
      <selection pane="bottomLeft"/>
      <selection pane="bottomRight" activeCell="K64" sqref="K64"/>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66406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"&amp;TableA34c</f>
        <v>NW373 Rustenburg - Supporting Table SA34c Consolidated repairs and maintenance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65" t="str">
        <f>Head2</f>
        <v>Current Year 2012/13</v>
      </c>
      <c r="G2" s="2766"/>
      <c r="H2" s="2766"/>
      <c r="I2" s="2762" t="str">
        <f>Head3</f>
        <v>2013/14 Medium Term Revenue &amp; Expenditure Framework</v>
      </c>
      <c r="J2" s="2763"/>
      <c r="K2" s="2764"/>
    </row>
    <row r="3" spans="1:12" ht="20">
      <c r="A3" s="180" t="s">
        <v>667</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1228</v>
      </c>
      <c r="B4" s="749"/>
      <c r="C4" s="1100"/>
      <c r="D4" s="311"/>
      <c r="E4" s="314"/>
      <c r="F4" s="313"/>
      <c r="G4" s="311"/>
      <c r="H4" s="312"/>
      <c r="I4" s="313"/>
      <c r="J4" s="311"/>
      <c r="K4" s="314"/>
      <c r="L4" s="370"/>
    </row>
    <row r="5" spans="1:12" ht="5" customHeight="1">
      <c r="A5" s="249"/>
      <c r="B5" s="182"/>
      <c r="C5" s="315"/>
      <c r="D5" s="315"/>
      <c r="E5" s="318"/>
      <c r="F5" s="317"/>
      <c r="G5" s="315"/>
      <c r="H5" s="316"/>
      <c r="I5" s="317"/>
      <c r="J5" s="315"/>
      <c r="K5" s="318"/>
      <c r="L5" s="370"/>
    </row>
    <row r="6" spans="1:12" ht="11.25" customHeight="1">
      <c r="A6" s="249" t="s">
        <v>977</v>
      </c>
      <c r="B6" s="182"/>
      <c r="C6" s="394">
        <f>C7+C10+C14+C18+C21</f>
        <v>21413711.519999996</v>
      </c>
      <c r="D6" s="394">
        <f t="shared" ref="D6:K6" si="0">D7+D10+D14+D18+D21</f>
        <v>21475013.190000001</v>
      </c>
      <c r="E6" s="345">
        <f t="shared" si="0"/>
        <v>0</v>
      </c>
      <c r="F6" s="395">
        <f t="shared" si="0"/>
        <v>106141521</v>
      </c>
      <c r="G6" s="394">
        <f t="shared" si="0"/>
        <v>49856808</v>
      </c>
      <c r="H6" s="396">
        <f t="shared" si="0"/>
        <v>49856808</v>
      </c>
      <c r="I6" s="395">
        <f t="shared" si="0"/>
        <v>119761339</v>
      </c>
      <c r="J6" s="394">
        <f t="shared" si="0"/>
        <v>127892285</v>
      </c>
      <c r="K6" s="345">
        <f t="shared" si="0"/>
        <v>136024018</v>
      </c>
      <c r="L6" s="1557"/>
    </row>
    <row r="7" spans="1:12" s="1533" customFormat="1" ht="12">
      <c r="A7" s="250" t="s">
        <v>536</v>
      </c>
      <c r="B7" s="182"/>
      <c r="C7" s="1111">
        <f>SUM(C8:C9)</f>
        <v>6663578.9500000002</v>
      </c>
      <c r="D7" s="1111">
        <f t="shared" ref="D7:K7" si="1">SUM(D8:D9)</f>
        <v>5989156.2000000002</v>
      </c>
      <c r="E7" s="1424">
        <f t="shared" si="1"/>
        <v>0</v>
      </c>
      <c r="F7" s="1112">
        <f t="shared" si="1"/>
        <v>34955071</v>
      </c>
      <c r="G7" s="1111">
        <f t="shared" si="1"/>
        <v>15557000</v>
      </c>
      <c r="H7" s="1148">
        <f t="shared" si="1"/>
        <v>15557000</v>
      </c>
      <c r="I7" s="1425">
        <f t="shared" si="1"/>
        <v>27735000</v>
      </c>
      <c r="J7" s="1111">
        <f t="shared" si="1"/>
        <v>29205500</v>
      </c>
      <c r="K7" s="1148">
        <f t="shared" si="1"/>
        <v>30759080</v>
      </c>
      <c r="L7" s="370"/>
    </row>
    <row r="8" spans="1:12" s="1533" customFormat="1" ht="12">
      <c r="A8" s="1290" t="s">
        <v>537</v>
      </c>
      <c r="B8" s="182"/>
      <c r="C8" s="1615">
        <v>6663578.9500000002</v>
      </c>
      <c r="D8" s="1635">
        <v>5989156.2000000002</v>
      </c>
      <c r="E8" s="1635"/>
      <c r="F8" s="1055">
        <v>34955071</v>
      </c>
      <c r="G8" s="1615">
        <v>15557000</v>
      </c>
      <c r="H8" s="1615">
        <v>15557000</v>
      </c>
      <c r="I8" s="1636">
        <v>27735000</v>
      </c>
      <c r="J8" s="1636">
        <v>29205500</v>
      </c>
      <c r="K8" s="1635">
        <v>30759080</v>
      </c>
      <c r="L8" s="1557"/>
    </row>
    <row r="9" spans="1:12" s="1533" customFormat="1" ht="12">
      <c r="A9" s="1290" t="s">
        <v>538</v>
      </c>
      <c r="B9" s="182"/>
      <c r="C9" s="1615">
        <v>0</v>
      </c>
      <c r="D9" s="1635">
        <v>0</v>
      </c>
      <c r="E9" s="1635"/>
      <c r="F9" s="1055">
        <v>0</v>
      </c>
      <c r="G9" s="1615">
        <v>0</v>
      </c>
      <c r="H9" s="1615">
        <v>0</v>
      </c>
      <c r="I9" s="1636">
        <v>0</v>
      </c>
      <c r="J9" s="1615">
        <v>0</v>
      </c>
      <c r="K9" s="1635">
        <v>0</v>
      </c>
      <c r="L9" s="1558"/>
    </row>
    <row r="10" spans="1:12" s="1533" customFormat="1" ht="12">
      <c r="A10" s="250" t="s">
        <v>21</v>
      </c>
      <c r="B10" s="182"/>
      <c r="C10" s="1064">
        <f>SUM(C11:C13)</f>
        <v>6034585.1799999997</v>
      </c>
      <c r="D10" s="1064">
        <f t="shared" ref="D10:K10" si="2">SUM(D11:D13)</f>
        <v>5382209.6300000008</v>
      </c>
      <c r="E10" s="1426">
        <f t="shared" si="2"/>
        <v>0</v>
      </c>
      <c r="F10" s="1068">
        <f t="shared" si="2"/>
        <v>29472650</v>
      </c>
      <c r="G10" s="1064">
        <f t="shared" si="2"/>
        <v>11987474</v>
      </c>
      <c r="H10" s="1151">
        <f t="shared" si="2"/>
        <v>11987474</v>
      </c>
      <c r="I10" s="1427">
        <f t="shared" si="2"/>
        <v>36372889</v>
      </c>
      <c r="J10" s="1064">
        <f t="shared" si="2"/>
        <v>42657685</v>
      </c>
      <c r="K10" s="1151">
        <f t="shared" si="2"/>
        <v>45088536</v>
      </c>
      <c r="L10" s="1558"/>
    </row>
    <row r="11" spans="1:12" s="1533" customFormat="1" ht="12">
      <c r="A11" s="1290" t="s">
        <v>22</v>
      </c>
      <c r="B11" s="182"/>
      <c r="C11" s="1615">
        <v>0</v>
      </c>
      <c r="D11" s="1616">
        <v>0</v>
      </c>
      <c r="E11" s="1616"/>
      <c r="F11" s="2535">
        <v>0</v>
      </c>
      <c r="G11" s="1615">
        <v>0</v>
      </c>
      <c r="H11" s="1615">
        <v>0</v>
      </c>
      <c r="I11" s="2535">
        <v>0</v>
      </c>
      <c r="J11" s="1615">
        <v>0</v>
      </c>
      <c r="K11" s="1618">
        <v>0</v>
      </c>
      <c r="L11" s="1558"/>
    </row>
    <row r="12" spans="1:12" s="1533" customFormat="1" ht="12">
      <c r="A12" s="1290" t="s">
        <v>23</v>
      </c>
      <c r="B12" s="182"/>
      <c r="C12" s="1615">
        <v>5449265.9100000001</v>
      </c>
      <c r="D12" s="1616">
        <v>4781122.370000001</v>
      </c>
      <c r="E12" s="1616"/>
      <c r="F12" s="2535">
        <v>23072650</v>
      </c>
      <c r="G12" s="1615">
        <v>9523074</v>
      </c>
      <c r="H12" s="1615">
        <v>9523074</v>
      </c>
      <c r="I12" s="2535">
        <v>28922889</v>
      </c>
      <c r="J12" s="1615">
        <v>34857685</v>
      </c>
      <c r="K12" s="1618">
        <v>36807736</v>
      </c>
      <c r="L12" s="1558"/>
    </row>
    <row r="13" spans="1:12" s="1533" customFormat="1" ht="12">
      <c r="A13" s="1290" t="s">
        <v>137</v>
      </c>
      <c r="B13" s="182"/>
      <c r="C13" s="1615">
        <v>585319.27</v>
      </c>
      <c r="D13" s="1616">
        <v>601087.26</v>
      </c>
      <c r="E13" s="1616"/>
      <c r="F13" s="2535">
        <v>6400000</v>
      </c>
      <c r="G13" s="1615">
        <v>2464400</v>
      </c>
      <c r="H13" s="1615">
        <v>2464400</v>
      </c>
      <c r="I13" s="2535">
        <v>7450000</v>
      </c>
      <c r="J13" s="1615">
        <v>7800000</v>
      </c>
      <c r="K13" s="1618">
        <v>8280800</v>
      </c>
      <c r="L13" s="1558"/>
    </row>
    <row r="14" spans="1:12" s="1533" customFormat="1" ht="12">
      <c r="A14" s="254" t="s">
        <v>24</v>
      </c>
      <c r="B14" s="350"/>
      <c r="C14" s="1064">
        <f>SUM(C15:C17)</f>
        <v>4093732.1100000003</v>
      </c>
      <c r="D14" s="1064">
        <f t="shared" ref="D14:K14" si="3">SUM(D15:D17)</f>
        <v>5313245.1199999992</v>
      </c>
      <c r="E14" s="1426">
        <f t="shared" si="3"/>
        <v>0</v>
      </c>
      <c r="F14" s="1068">
        <f t="shared" si="3"/>
        <v>30284600</v>
      </c>
      <c r="G14" s="1064">
        <f t="shared" si="3"/>
        <v>14814230</v>
      </c>
      <c r="H14" s="1151">
        <f t="shared" si="3"/>
        <v>14814230</v>
      </c>
      <c r="I14" s="1427">
        <f t="shared" si="3"/>
        <v>35458450</v>
      </c>
      <c r="J14" s="1064">
        <f t="shared" si="3"/>
        <v>35331700</v>
      </c>
      <c r="K14" s="1151">
        <f t="shared" si="3"/>
        <v>37304472</v>
      </c>
      <c r="L14" s="1558"/>
    </row>
    <row r="15" spans="1:12" s="1533" customFormat="1" ht="12">
      <c r="A15" s="1290" t="s">
        <v>25</v>
      </c>
      <c r="B15" s="182"/>
      <c r="C15" s="1615">
        <v>0</v>
      </c>
      <c r="D15" s="1616">
        <v>0</v>
      </c>
      <c r="E15" s="1616"/>
      <c r="F15" s="2535">
        <v>0</v>
      </c>
      <c r="G15" s="1615">
        <v>0</v>
      </c>
      <c r="H15" s="1615">
        <v>0</v>
      </c>
      <c r="I15" s="2535">
        <v>0</v>
      </c>
      <c r="J15" s="1615">
        <v>0</v>
      </c>
      <c r="K15" s="1618">
        <v>0</v>
      </c>
      <c r="L15" s="1558"/>
    </row>
    <row r="16" spans="1:12" s="1533" customFormat="1" ht="12">
      <c r="A16" s="1290" t="s">
        <v>26</v>
      </c>
      <c r="B16" s="182"/>
      <c r="C16" s="1615">
        <v>0</v>
      </c>
      <c r="D16" s="1616">
        <v>0</v>
      </c>
      <c r="E16" s="1616"/>
      <c r="F16" s="2535">
        <v>0</v>
      </c>
      <c r="G16" s="1615">
        <v>0</v>
      </c>
      <c r="H16" s="1615">
        <v>0</v>
      </c>
      <c r="I16" s="2535">
        <v>0</v>
      </c>
      <c r="J16" s="1615">
        <v>0</v>
      </c>
      <c r="K16" s="1618">
        <v>0</v>
      </c>
      <c r="L16" s="1558"/>
    </row>
    <row r="17" spans="1:12" s="1533" customFormat="1" ht="12">
      <c r="A17" s="1290" t="s">
        <v>27</v>
      </c>
      <c r="B17" s="182"/>
      <c r="C17" s="1615">
        <v>4093732.1100000003</v>
      </c>
      <c r="D17" s="1616">
        <v>5313245.1199999992</v>
      </c>
      <c r="E17" s="1616"/>
      <c r="F17" s="2535">
        <v>30284600</v>
      </c>
      <c r="G17" s="1615">
        <v>14814230</v>
      </c>
      <c r="H17" s="1615">
        <v>14814230</v>
      </c>
      <c r="I17" s="2535">
        <v>35458450</v>
      </c>
      <c r="J17" s="1615">
        <v>35331700</v>
      </c>
      <c r="K17" s="1618">
        <v>37304472</v>
      </c>
      <c r="L17" s="1558"/>
    </row>
    <row r="18" spans="1:12" s="1533" customFormat="1" ht="12">
      <c r="A18" s="254" t="s">
        <v>28</v>
      </c>
      <c r="B18" s="182"/>
      <c r="C18" s="1064">
        <f t="shared" ref="C18:K18" si="4">SUM(C19:C20)</f>
        <v>687188.29</v>
      </c>
      <c r="D18" s="1064">
        <f t="shared" si="4"/>
        <v>823063.75</v>
      </c>
      <c r="E18" s="1426">
        <f t="shared" si="4"/>
        <v>0</v>
      </c>
      <c r="F18" s="1068">
        <f t="shared" si="4"/>
        <v>5779200</v>
      </c>
      <c r="G18" s="1064">
        <f t="shared" si="4"/>
        <v>3248104</v>
      </c>
      <c r="H18" s="1151">
        <f t="shared" si="4"/>
        <v>3248104</v>
      </c>
      <c r="I18" s="1427">
        <f t="shared" si="4"/>
        <v>13385000</v>
      </c>
      <c r="J18" s="1064">
        <f t="shared" si="4"/>
        <v>13500800</v>
      </c>
      <c r="K18" s="1151">
        <f t="shared" si="4"/>
        <v>15256800</v>
      </c>
      <c r="L18" s="1558"/>
    </row>
    <row r="19" spans="1:12" s="1533" customFormat="1" ht="12">
      <c r="A19" s="1290" t="s">
        <v>27</v>
      </c>
      <c r="B19" s="182"/>
      <c r="C19" s="1615">
        <v>0</v>
      </c>
      <c r="D19" s="1616">
        <v>0</v>
      </c>
      <c r="E19" s="1616"/>
      <c r="F19" s="2535">
        <v>5779200</v>
      </c>
      <c r="G19" s="1615">
        <v>3248104</v>
      </c>
      <c r="H19" s="1615">
        <v>3248104</v>
      </c>
      <c r="I19" s="2535">
        <v>13385000</v>
      </c>
      <c r="J19" s="1615">
        <v>13500800</v>
      </c>
      <c r="K19" s="1618">
        <v>15256800</v>
      </c>
      <c r="L19" s="1558"/>
    </row>
    <row r="20" spans="1:12" s="1533" customFormat="1" ht="12">
      <c r="A20" s="1290" t="s">
        <v>29</v>
      </c>
      <c r="B20" s="182"/>
      <c r="C20" s="1615">
        <v>687188.29</v>
      </c>
      <c r="D20" s="1616">
        <v>823063.75</v>
      </c>
      <c r="E20" s="1616"/>
      <c r="F20" s="2535">
        <v>0</v>
      </c>
      <c r="G20" s="1615">
        <v>0</v>
      </c>
      <c r="H20" s="1615">
        <v>0</v>
      </c>
      <c r="I20" s="2535">
        <v>0</v>
      </c>
      <c r="J20" s="1615">
        <v>0</v>
      </c>
      <c r="K20" s="1618">
        <v>0</v>
      </c>
      <c r="L20" s="1558"/>
    </row>
    <row r="21" spans="1:12" s="1533" customFormat="1" ht="12">
      <c r="A21" s="250" t="s">
        <v>30</v>
      </c>
      <c r="B21" s="182"/>
      <c r="C21" s="1064">
        <f>SUM(C22:C25)</f>
        <v>3934626.9899999998</v>
      </c>
      <c r="D21" s="1064">
        <f t="shared" ref="D21:K21" si="5">SUM(D22:D25)</f>
        <v>3967338.4899999998</v>
      </c>
      <c r="E21" s="1064">
        <f t="shared" si="5"/>
        <v>0</v>
      </c>
      <c r="F21" s="1068">
        <f t="shared" si="5"/>
        <v>5650000</v>
      </c>
      <c r="G21" s="1064">
        <f t="shared" si="5"/>
        <v>4250000</v>
      </c>
      <c r="H21" s="1151">
        <f t="shared" si="5"/>
        <v>4250000</v>
      </c>
      <c r="I21" s="1427">
        <f t="shared" si="5"/>
        <v>6810000</v>
      </c>
      <c r="J21" s="1064">
        <f t="shared" si="5"/>
        <v>7196600</v>
      </c>
      <c r="K21" s="1151">
        <f t="shared" si="5"/>
        <v>7615130</v>
      </c>
      <c r="L21" s="1558"/>
    </row>
    <row r="22" spans="1:12" s="1533" customFormat="1" ht="12">
      <c r="A22" s="1290" t="s">
        <v>1088</v>
      </c>
      <c r="B22" s="182"/>
      <c r="C22" s="1615">
        <v>3934626.9899999998</v>
      </c>
      <c r="D22" s="1637">
        <v>3967338.4899999998</v>
      </c>
      <c r="E22" s="1637"/>
      <c r="F22" s="1055">
        <v>5650000</v>
      </c>
      <c r="G22" s="1615">
        <v>4250000</v>
      </c>
      <c r="H22" s="1615">
        <v>4250000</v>
      </c>
      <c r="I22" s="1636">
        <v>6810000</v>
      </c>
      <c r="J22" s="1615">
        <v>7196600</v>
      </c>
      <c r="K22" s="1618">
        <v>7615130</v>
      </c>
      <c r="L22" s="1557"/>
    </row>
    <row r="23" spans="1:12" s="1533" customFormat="1" ht="12">
      <c r="A23" s="1290" t="s">
        <v>320</v>
      </c>
      <c r="B23" s="182">
        <v>2</v>
      </c>
      <c r="C23" s="1615">
        <v>0</v>
      </c>
      <c r="D23" s="1635">
        <v>0</v>
      </c>
      <c r="E23" s="1635"/>
      <c r="F23" s="1055">
        <v>0</v>
      </c>
      <c r="G23" s="1615"/>
      <c r="H23" s="1615"/>
      <c r="I23" s="1636">
        <v>0</v>
      </c>
      <c r="J23" s="1615">
        <v>0</v>
      </c>
      <c r="K23" s="1618">
        <v>0</v>
      </c>
      <c r="L23" s="1558"/>
    </row>
    <row r="24" spans="1:12" s="1533" customFormat="1" ht="12">
      <c r="A24" s="1290" t="s">
        <v>138</v>
      </c>
      <c r="B24" s="182"/>
      <c r="C24" s="1615">
        <v>0</v>
      </c>
      <c r="D24" s="1635">
        <v>0</v>
      </c>
      <c r="E24" s="1635"/>
      <c r="F24" s="1055">
        <v>0</v>
      </c>
      <c r="G24" s="1615"/>
      <c r="H24" s="1615"/>
      <c r="I24" s="1636">
        <v>0</v>
      </c>
      <c r="J24" s="1615">
        <v>0</v>
      </c>
      <c r="K24" s="1635">
        <v>0</v>
      </c>
      <c r="L24" s="1558"/>
    </row>
    <row r="25" spans="1:12" s="1533" customFormat="1" ht="12">
      <c r="A25" s="1290" t="s">
        <v>293</v>
      </c>
      <c r="B25" s="182">
        <v>3</v>
      </c>
      <c r="C25" s="1615">
        <v>0</v>
      </c>
      <c r="D25" s="1635">
        <v>0</v>
      </c>
      <c r="E25" s="1635"/>
      <c r="F25" s="1055">
        <v>0</v>
      </c>
      <c r="G25" s="1615"/>
      <c r="H25" s="1615"/>
      <c r="I25" s="1636">
        <v>0</v>
      </c>
      <c r="J25" s="1615">
        <v>0</v>
      </c>
      <c r="K25" s="1635">
        <v>0</v>
      </c>
      <c r="L25" s="1558"/>
    </row>
    <row r="26" spans="1:12" ht="5" customHeight="1">
      <c r="A26" s="273"/>
      <c r="B26" s="182"/>
      <c r="C26" s="203"/>
      <c r="D26" s="203"/>
      <c r="E26" s="204"/>
      <c r="F26" s="205"/>
      <c r="G26" s="203"/>
      <c r="H26" s="202"/>
      <c r="I26" s="205"/>
      <c r="J26" s="203"/>
      <c r="K26" s="204"/>
      <c r="L26" s="370"/>
    </row>
    <row r="27" spans="1:12" ht="17.25" customHeight="1">
      <c r="A27" s="249" t="s">
        <v>1571</v>
      </c>
      <c r="B27" s="182"/>
      <c r="C27" s="218">
        <f>SUM(C28:C41)</f>
        <v>2591071.2300000004</v>
      </c>
      <c r="D27" s="218">
        <f t="shared" ref="D27:K27" si="6">SUM(D28:D41)</f>
        <v>2857342.73</v>
      </c>
      <c r="E27" s="219">
        <f t="shared" si="6"/>
        <v>0</v>
      </c>
      <c r="F27" s="220">
        <f t="shared" si="6"/>
        <v>11231912</v>
      </c>
      <c r="G27" s="218">
        <f t="shared" si="6"/>
        <v>4644002</v>
      </c>
      <c r="H27" s="217">
        <f t="shared" si="6"/>
        <v>4644002</v>
      </c>
      <c r="I27" s="220">
        <f t="shared" si="6"/>
        <v>10934507</v>
      </c>
      <c r="J27" s="218">
        <f t="shared" si="6"/>
        <v>10658740</v>
      </c>
      <c r="K27" s="219">
        <f t="shared" si="6"/>
        <v>11707040</v>
      </c>
      <c r="L27" s="370"/>
    </row>
    <row r="28" spans="1:12" ht="11.25" customHeight="1">
      <c r="A28" s="250" t="s">
        <v>2</v>
      </c>
      <c r="B28" s="182"/>
      <c r="C28" s="1620">
        <v>0</v>
      </c>
      <c r="D28" s="1884">
        <v>0</v>
      </c>
      <c r="E28" s="1884"/>
      <c r="F28" s="1935">
        <v>307721</v>
      </c>
      <c r="G28" s="1620">
        <v>55400</v>
      </c>
      <c r="H28" s="1620">
        <v>55400</v>
      </c>
      <c r="I28" s="1935">
        <v>422183</v>
      </c>
      <c r="J28" s="1620">
        <v>445477</v>
      </c>
      <c r="K28" s="1884">
        <v>470407</v>
      </c>
      <c r="L28" s="1558"/>
    </row>
    <row r="29" spans="1:12" ht="11.25" customHeight="1">
      <c r="A29" s="250" t="s">
        <v>1591</v>
      </c>
      <c r="B29" s="182"/>
      <c r="C29" s="1615">
        <v>611770.23</v>
      </c>
      <c r="D29" s="1635">
        <v>812180.25</v>
      </c>
      <c r="E29" s="1635"/>
      <c r="F29" s="1055">
        <v>819100</v>
      </c>
      <c r="G29" s="1615">
        <v>580287</v>
      </c>
      <c r="H29" s="1615">
        <v>580287</v>
      </c>
      <c r="I29" s="1636">
        <v>1412797</v>
      </c>
      <c r="J29" s="1615">
        <v>1015775</v>
      </c>
      <c r="K29" s="1635">
        <v>1072305</v>
      </c>
      <c r="L29" s="1558"/>
    </row>
    <row r="30" spans="1:12" ht="11.25" customHeight="1">
      <c r="A30" s="250" t="s">
        <v>505</v>
      </c>
      <c r="B30" s="182"/>
      <c r="C30" s="1615">
        <v>0</v>
      </c>
      <c r="D30" s="1635">
        <v>0</v>
      </c>
      <c r="E30" s="1635"/>
      <c r="F30" s="1055">
        <v>386200</v>
      </c>
      <c r="G30" s="1615">
        <v>599759</v>
      </c>
      <c r="H30" s="1615">
        <v>599759</v>
      </c>
      <c r="I30" s="1636">
        <v>794081</v>
      </c>
      <c r="J30" s="1615">
        <v>647816</v>
      </c>
      <c r="K30" s="1635">
        <v>683997</v>
      </c>
      <c r="L30" s="1558"/>
    </row>
    <row r="31" spans="1:12" ht="11.25" customHeight="1">
      <c r="A31" s="250" t="s">
        <v>1</v>
      </c>
      <c r="B31" s="182"/>
      <c r="C31" s="1615">
        <v>128340.67</v>
      </c>
      <c r="D31" s="1635">
        <v>173549.90000000002</v>
      </c>
      <c r="E31" s="1635"/>
      <c r="F31" s="1055">
        <v>6483011</v>
      </c>
      <c r="G31" s="1615">
        <v>187864</v>
      </c>
      <c r="H31" s="1615">
        <v>187864</v>
      </c>
      <c r="I31" s="1636">
        <v>4317675</v>
      </c>
      <c r="J31" s="1615">
        <v>4299920</v>
      </c>
      <c r="K31" s="1635">
        <v>4728867</v>
      </c>
      <c r="L31" s="1558"/>
    </row>
    <row r="32" spans="1:12" ht="11.25" customHeight="1">
      <c r="A32" s="250" t="s">
        <v>339</v>
      </c>
      <c r="B32" s="182"/>
      <c r="C32" s="1615">
        <v>52005.520000000004</v>
      </c>
      <c r="D32" s="1635">
        <v>40112.230000000003</v>
      </c>
      <c r="E32" s="1635"/>
      <c r="F32" s="1055">
        <v>248129</v>
      </c>
      <c r="G32" s="1615">
        <v>37198</v>
      </c>
      <c r="H32" s="1615">
        <v>37198</v>
      </c>
      <c r="I32" s="1636">
        <v>245422</v>
      </c>
      <c r="J32" s="1615">
        <v>258920</v>
      </c>
      <c r="K32" s="1635">
        <v>273420</v>
      </c>
      <c r="L32" s="1558"/>
    </row>
    <row r="33" spans="1:15" ht="11.25" customHeight="1">
      <c r="A33" s="250" t="s">
        <v>0</v>
      </c>
      <c r="B33" s="182"/>
      <c r="C33" s="1615">
        <v>0</v>
      </c>
      <c r="D33" s="1635">
        <v>0</v>
      </c>
      <c r="E33" s="1635"/>
      <c r="F33" s="1055">
        <v>0</v>
      </c>
      <c r="G33" s="1615">
        <v>0</v>
      </c>
      <c r="H33" s="1615">
        <v>0</v>
      </c>
      <c r="I33" s="1636">
        <v>0</v>
      </c>
      <c r="J33" s="1615">
        <v>0</v>
      </c>
      <c r="K33" s="1635">
        <v>0</v>
      </c>
      <c r="L33" s="1558"/>
    </row>
    <row r="34" spans="1:15" ht="11.25" customHeight="1">
      <c r="A34" s="250" t="s">
        <v>1592</v>
      </c>
      <c r="B34" s="182"/>
      <c r="C34" s="1615">
        <v>17344.55</v>
      </c>
      <c r="D34" s="1635">
        <v>93827.799999999988</v>
      </c>
      <c r="E34" s="1635"/>
      <c r="F34" s="1055">
        <v>154438</v>
      </c>
      <c r="G34" s="1615">
        <v>123348</v>
      </c>
      <c r="H34" s="1615">
        <v>123348</v>
      </c>
      <c r="I34" s="1636">
        <v>366218</v>
      </c>
      <c r="J34" s="1615">
        <v>386360</v>
      </c>
      <c r="K34" s="1635">
        <v>407996</v>
      </c>
      <c r="L34" s="1558"/>
    </row>
    <row r="35" spans="1:15" ht="11.25" customHeight="1">
      <c r="A35" s="250" t="s">
        <v>962</v>
      </c>
      <c r="B35" s="182"/>
      <c r="C35" s="1615">
        <v>1758998.6000000003</v>
      </c>
      <c r="D35" s="1635">
        <v>1704047.47</v>
      </c>
      <c r="E35" s="1635"/>
      <c r="F35" s="1055">
        <v>2490744</v>
      </c>
      <c r="G35" s="1615">
        <v>2923746</v>
      </c>
      <c r="H35" s="1615">
        <v>2923746</v>
      </c>
      <c r="I35" s="1636">
        <v>2363097</v>
      </c>
      <c r="J35" s="1615">
        <v>2495984</v>
      </c>
      <c r="K35" s="1635">
        <v>2869691</v>
      </c>
      <c r="L35" s="1558"/>
    </row>
    <row r="36" spans="1:15" ht="11.25" customHeight="1">
      <c r="A36" s="250" t="s">
        <v>1527</v>
      </c>
      <c r="B36" s="182">
        <v>7</v>
      </c>
      <c r="C36" s="1615">
        <v>0</v>
      </c>
      <c r="D36" s="1635">
        <v>0</v>
      </c>
      <c r="E36" s="1635"/>
      <c r="F36" s="1055">
        <v>0</v>
      </c>
      <c r="G36" s="1615">
        <v>0</v>
      </c>
      <c r="H36" s="1615">
        <v>0</v>
      </c>
      <c r="I36" s="1636">
        <v>0</v>
      </c>
      <c r="J36" s="1615">
        <v>0</v>
      </c>
      <c r="K36" s="1635">
        <v>0</v>
      </c>
      <c r="L36" s="1558"/>
    </row>
    <row r="37" spans="1:15" ht="11.25" customHeight="1">
      <c r="A37" s="250" t="s">
        <v>1285</v>
      </c>
      <c r="B37" s="182"/>
      <c r="C37" s="1615">
        <v>5670.46</v>
      </c>
      <c r="D37" s="1635">
        <v>10414.700000000001</v>
      </c>
      <c r="E37" s="1635"/>
      <c r="F37" s="1055">
        <v>188138</v>
      </c>
      <c r="G37" s="1615">
        <v>110000</v>
      </c>
      <c r="H37" s="1615">
        <v>110000</v>
      </c>
      <c r="I37" s="1636">
        <v>201467</v>
      </c>
      <c r="J37" s="1615">
        <v>212548</v>
      </c>
      <c r="K37" s="1635">
        <v>224450</v>
      </c>
      <c r="L37" s="1558"/>
      <c r="O37" s="370"/>
    </row>
    <row r="38" spans="1:15" ht="11.25" customHeight="1">
      <c r="A38" s="250" t="s">
        <v>724</v>
      </c>
      <c r="B38" s="182"/>
      <c r="C38" s="1615">
        <v>0</v>
      </c>
      <c r="D38" s="1635">
        <v>0</v>
      </c>
      <c r="E38" s="1635"/>
      <c r="F38" s="1055">
        <v>0</v>
      </c>
      <c r="G38" s="1615">
        <v>0</v>
      </c>
      <c r="H38" s="1615">
        <v>0</v>
      </c>
      <c r="I38" s="1636">
        <v>0</v>
      </c>
      <c r="J38" s="1615">
        <v>0</v>
      </c>
      <c r="K38" s="1635">
        <v>0</v>
      </c>
      <c r="L38" s="1558"/>
    </row>
    <row r="39" spans="1:15" ht="11.25" customHeight="1">
      <c r="A39" s="250" t="s">
        <v>503</v>
      </c>
      <c r="B39" s="182"/>
      <c r="C39" s="1615">
        <v>16398.73</v>
      </c>
      <c r="D39" s="1635">
        <v>23210.379999999997</v>
      </c>
      <c r="E39" s="1635"/>
      <c r="F39" s="1055">
        <v>154431</v>
      </c>
      <c r="G39" s="1615">
        <v>26400</v>
      </c>
      <c r="H39" s="1615">
        <v>26400</v>
      </c>
      <c r="I39" s="1636">
        <v>78142</v>
      </c>
      <c r="J39" s="1615">
        <v>82440</v>
      </c>
      <c r="K39" s="1635">
        <v>87057</v>
      </c>
      <c r="L39" s="1558"/>
    </row>
    <row r="40" spans="1:15" ht="11.25" customHeight="1">
      <c r="A40" s="250" t="s">
        <v>31</v>
      </c>
      <c r="B40" s="182">
        <v>8</v>
      </c>
      <c r="C40" s="1615">
        <v>0</v>
      </c>
      <c r="D40" s="1635">
        <v>0</v>
      </c>
      <c r="E40" s="1635"/>
      <c r="F40" s="1055">
        <v>0</v>
      </c>
      <c r="G40" s="1615">
        <v>0</v>
      </c>
      <c r="H40" s="1615">
        <v>0</v>
      </c>
      <c r="I40" s="1636">
        <v>733425</v>
      </c>
      <c r="J40" s="1615">
        <v>813500</v>
      </c>
      <c r="K40" s="1635">
        <v>888850</v>
      </c>
      <c r="L40" s="370"/>
    </row>
    <row r="41" spans="1:15" ht="11.25" customHeight="1">
      <c r="A41" s="250" t="s">
        <v>293</v>
      </c>
      <c r="B41" s="182"/>
      <c r="C41" s="1656">
        <v>542.47</v>
      </c>
      <c r="D41" s="1657">
        <v>0</v>
      </c>
      <c r="E41" s="1657"/>
      <c r="F41" s="1658">
        <v>0</v>
      </c>
      <c r="G41" s="1656">
        <v>0</v>
      </c>
      <c r="H41" s="1656">
        <v>0</v>
      </c>
      <c r="I41" s="1658">
        <v>0</v>
      </c>
      <c r="J41" s="1656">
        <v>0</v>
      </c>
      <c r="K41" s="1657">
        <v>0</v>
      </c>
      <c r="L41" s="1558"/>
    </row>
    <row r="42" spans="1:15" ht="5" customHeight="1">
      <c r="A42" s="273"/>
      <c r="B42" s="182"/>
      <c r="C42" s="203"/>
      <c r="D42" s="203"/>
      <c r="E42" s="204"/>
      <c r="F42" s="205"/>
      <c r="G42" s="203"/>
      <c r="H42" s="202"/>
      <c r="I42" s="205"/>
      <c r="J42" s="203"/>
      <c r="K42" s="204"/>
      <c r="L42" s="370"/>
    </row>
    <row r="43" spans="1:15" ht="17.25" customHeight="1">
      <c r="A43" s="249" t="s">
        <v>965</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1257</v>
      </c>
      <c r="B44" s="182"/>
      <c r="C44" s="1624"/>
      <c r="D44" s="1624"/>
      <c r="E44" s="1955"/>
      <c r="F44" s="1956"/>
      <c r="G44" s="1624"/>
      <c r="H44" s="1957"/>
      <c r="I44" s="1956"/>
      <c r="J44" s="1624"/>
      <c r="K44" s="1955"/>
      <c r="L44" s="370"/>
    </row>
    <row r="45" spans="1:15" ht="11.25" customHeight="1">
      <c r="A45" s="254" t="s">
        <v>293</v>
      </c>
      <c r="B45" s="182">
        <v>9</v>
      </c>
      <c r="C45" s="1652"/>
      <c r="D45" s="1652"/>
      <c r="E45" s="1958"/>
      <c r="F45" s="1959"/>
      <c r="G45" s="1652"/>
      <c r="H45" s="1960"/>
      <c r="I45" s="1959"/>
      <c r="J45" s="1652"/>
      <c r="K45" s="1958"/>
      <c r="L45" s="370"/>
    </row>
    <row r="46" spans="1:15" ht="5" customHeight="1">
      <c r="A46" s="273"/>
      <c r="B46" s="182"/>
      <c r="C46" s="203"/>
      <c r="D46" s="203"/>
      <c r="E46" s="204"/>
      <c r="F46" s="205"/>
      <c r="G46" s="203"/>
      <c r="H46" s="202"/>
      <c r="I46" s="205"/>
      <c r="J46" s="203"/>
      <c r="K46" s="204"/>
      <c r="L46" s="370"/>
    </row>
    <row r="47" spans="1:15" ht="17.25" customHeight="1">
      <c r="A47" s="249" t="s">
        <v>966</v>
      </c>
      <c r="B47" s="182"/>
      <c r="C47" s="218">
        <f>SUM(C48:C49)</f>
        <v>375098.87</v>
      </c>
      <c r="D47" s="218">
        <f t="shared" ref="D47:K47" si="8">SUM(D48:D49)</f>
        <v>393767.25</v>
      </c>
      <c r="E47" s="219">
        <f t="shared" si="8"/>
        <v>0</v>
      </c>
      <c r="F47" s="220">
        <f t="shared" si="8"/>
        <v>733425</v>
      </c>
      <c r="G47" s="218">
        <f t="shared" si="8"/>
        <v>653234</v>
      </c>
      <c r="H47" s="217">
        <f t="shared" si="8"/>
        <v>653234</v>
      </c>
      <c r="I47" s="220">
        <f t="shared" si="8"/>
        <v>1122000</v>
      </c>
      <c r="J47" s="218">
        <f t="shared" si="8"/>
        <v>919450</v>
      </c>
      <c r="K47" s="219">
        <f t="shared" si="8"/>
        <v>931905</v>
      </c>
      <c r="L47" s="370"/>
    </row>
    <row r="48" spans="1:15" ht="11.25" customHeight="1">
      <c r="A48" s="250" t="s">
        <v>504</v>
      </c>
      <c r="B48" s="182"/>
      <c r="C48" s="1620">
        <v>375098.87</v>
      </c>
      <c r="D48" s="1884">
        <v>393767.25</v>
      </c>
      <c r="E48" s="1884"/>
      <c r="F48" s="1935">
        <v>733425</v>
      </c>
      <c r="G48" s="1620">
        <v>653234</v>
      </c>
      <c r="H48" s="1620">
        <v>653234</v>
      </c>
      <c r="I48" s="1935">
        <v>1122000</v>
      </c>
      <c r="J48" s="1620">
        <v>919450</v>
      </c>
      <c r="K48" s="1884">
        <v>931905</v>
      </c>
      <c r="L48" s="1558"/>
    </row>
    <row r="49" spans="1:12" ht="11.25" customHeight="1">
      <c r="A49" s="250" t="s">
        <v>293</v>
      </c>
      <c r="B49" s="182"/>
      <c r="C49" s="1656">
        <v>0</v>
      </c>
      <c r="D49" s="1657">
        <v>0</v>
      </c>
      <c r="E49" s="1657"/>
      <c r="F49" s="1658">
        <v>0</v>
      </c>
      <c r="G49" s="1656"/>
      <c r="H49" s="1659"/>
      <c r="I49" s="1658"/>
      <c r="J49" s="1656"/>
      <c r="K49" s="1657"/>
      <c r="L49" s="370"/>
    </row>
    <row r="50" spans="1:12" ht="5" customHeight="1">
      <c r="A50" s="273"/>
      <c r="B50" s="182"/>
      <c r="C50" s="203"/>
      <c r="D50" s="203"/>
      <c r="E50" s="204"/>
      <c r="F50" s="205"/>
      <c r="G50" s="203"/>
      <c r="H50" s="202"/>
      <c r="I50" s="205"/>
      <c r="J50" s="203"/>
      <c r="K50" s="204"/>
      <c r="L50" s="370"/>
    </row>
    <row r="51" spans="1:12" ht="17.25" customHeight="1">
      <c r="A51" s="249" t="s">
        <v>967</v>
      </c>
      <c r="B51" s="182"/>
      <c r="C51" s="218">
        <f>SUM(C52:C63)</f>
        <v>4046112.54</v>
      </c>
      <c r="D51" s="218">
        <f t="shared" ref="D51:K51" si="9">SUM(D52:D63)</f>
        <v>4144406.2600000002</v>
      </c>
      <c r="E51" s="219">
        <f t="shared" si="9"/>
        <v>0</v>
      </c>
      <c r="F51" s="220">
        <f t="shared" si="9"/>
        <v>17144046</v>
      </c>
      <c r="G51" s="218">
        <f t="shared" si="9"/>
        <v>12244046</v>
      </c>
      <c r="H51" s="217">
        <f t="shared" si="9"/>
        <v>12244046</v>
      </c>
      <c r="I51" s="220">
        <f t="shared" si="9"/>
        <v>23471380</v>
      </c>
      <c r="J51" s="218">
        <f t="shared" si="9"/>
        <v>23728566</v>
      </c>
      <c r="K51" s="219">
        <f t="shared" si="9"/>
        <v>24612930</v>
      </c>
      <c r="L51" s="370"/>
    </row>
    <row r="52" spans="1:12" ht="11.25" customHeight="1">
      <c r="A52" s="254" t="s">
        <v>632</v>
      </c>
      <c r="B52" s="182"/>
      <c r="C52" s="1620">
        <v>0</v>
      </c>
      <c r="D52" s="1620">
        <v>0</v>
      </c>
      <c r="E52" s="1884"/>
      <c r="F52" s="1935">
        <v>0</v>
      </c>
      <c r="G52" s="1620"/>
      <c r="H52" s="1954"/>
      <c r="I52" s="1935">
        <v>0</v>
      </c>
      <c r="J52" s="1620">
        <v>0</v>
      </c>
      <c r="K52" s="1884">
        <v>0</v>
      </c>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1245</v>
      </c>
      <c r="B54" s="182"/>
      <c r="C54" s="1615">
        <v>0</v>
      </c>
      <c r="D54" s="1635">
        <v>0</v>
      </c>
      <c r="E54" s="1635"/>
      <c r="F54" s="1055">
        <v>0</v>
      </c>
      <c r="G54" s="1615">
        <v>0</v>
      </c>
      <c r="H54" s="1615">
        <v>0</v>
      </c>
      <c r="I54" s="1636">
        <v>0</v>
      </c>
      <c r="J54" s="1615">
        <v>0</v>
      </c>
      <c r="K54" s="1635">
        <v>0</v>
      </c>
      <c r="L54" s="1558"/>
    </row>
    <row r="55" spans="1:12" ht="11.25" customHeight="1">
      <c r="A55" s="254" t="s">
        <v>633</v>
      </c>
      <c r="B55" s="182"/>
      <c r="C55" s="1615">
        <v>208145.95</v>
      </c>
      <c r="D55" s="1635">
        <v>245840.54</v>
      </c>
      <c r="E55" s="1635"/>
      <c r="F55" s="1055">
        <v>155000</v>
      </c>
      <c r="G55" s="1615">
        <v>610000</v>
      </c>
      <c r="H55" s="1615">
        <v>610000</v>
      </c>
      <c r="I55" s="1636">
        <v>200000</v>
      </c>
      <c r="J55" s="1615">
        <v>220000</v>
      </c>
      <c r="K55" s="1635">
        <v>234000</v>
      </c>
      <c r="L55" s="1558"/>
    </row>
    <row r="56" spans="1:12" ht="11.25" customHeight="1">
      <c r="A56" s="254" t="s">
        <v>634</v>
      </c>
      <c r="B56" s="182"/>
      <c r="C56" s="1615">
        <v>588038.26</v>
      </c>
      <c r="D56" s="1635">
        <v>493710.37</v>
      </c>
      <c r="E56" s="1635"/>
      <c r="F56" s="1055">
        <v>208847</v>
      </c>
      <c r="G56" s="1615">
        <v>124892</v>
      </c>
      <c r="H56" s="1615">
        <v>124892</v>
      </c>
      <c r="I56" s="1636">
        <v>314591</v>
      </c>
      <c r="J56" s="1615">
        <v>332002</v>
      </c>
      <c r="K56" s="1635">
        <v>355241</v>
      </c>
      <c r="L56" s="1558"/>
    </row>
    <row r="57" spans="1:12" ht="11.25" customHeight="1">
      <c r="A57" s="254" t="s">
        <v>1246</v>
      </c>
      <c r="B57" s="182"/>
      <c r="C57" s="1615">
        <v>0</v>
      </c>
      <c r="D57" s="1635">
        <v>0</v>
      </c>
      <c r="E57" s="1635"/>
      <c r="F57" s="1055">
        <v>0</v>
      </c>
      <c r="G57" s="1615">
        <v>0</v>
      </c>
      <c r="H57" s="1615">
        <v>0</v>
      </c>
      <c r="I57" s="1636">
        <v>0</v>
      </c>
      <c r="J57" s="1615">
        <v>0</v>
      </c>
      <c r="K57" s="1635">
        <v>0</v>
      </c>
      <c r="L57" s="1558"/>
    </row>
    <row r="58" spans="1:12" ht="11.25" customHeight="1">
      <c r="A58" s="254" t="s">
        <v>1247</v>
      </c>
      <c r="B58" s="182"/>
      <c r="C58" s="1615">
        <v>0</v>
      </c>
      <c r="D58" s="1635">
        <v>0</v>
      </c>
      <c r="E58" s="1635"/>
      <c r="F58" s="1055">
        <v>0</v>
      </c>
      <c r="G58" s="1615">
        <v>0</v>
      </c>
      <c r="H58" s="1615">
        <v>0</v>
      </c>
      <c r="I58" s="1636">
        <v>0</v>
      </c>
      <c r="J58" s="1615">
        <v>0</v>
      </c>
      <c r="K58" s="1635">
        <v>0</v>
      </c>
      <c r="L58" s="1557"/>
    </row>
    <row r="59" spans="1:12" ht="11.25" customHeight="1">
      <c r="A59" s="254" t="s">
        <v>1525</v>
      </c>
      <c r="B59" s="182"/>
      <c r="C59" s="1615">
        <v>1912489.9500000002</v>
      </c>
      <c r="D59" s="1635">
        <v>2039147.99</v>
      </c>
      <c r="E59" s="1635"/>
      <c r="F59" s="1055">
        <v>14541000</v>
      </c>
      <c r="G59" s="1615">
        <v>2094460</v>
      </c>
      <c r="H59" s="1615">
        <v>2094460</v>
      </c>
      <c r="I59" s="1636">
        <v>15755000</v>
      </c>
      <c r="J59" s="1615">
        <v>16021350</v>
      </c>
      <c r="K59" s="1635">
        <v>16911200</v>
      </c>
      <c r="L59" s="1558"/>
    </row>
    <row r="60" spans="1:12" ht="11.25" customHeight="1">
      <c r="A60" s="254" t="s">
        <v>322</v>
      </c>
      <c r="B60" s="182"/>
      <c r="C60" s="1615">
        <v>3620.82</v>
      </c>
      <c r="D60" s="1635">
        <v>22390.2</v>
      </c>
      <c r="E60" s="1635"/>
      <c r="F60" s="1055">
        <v>0</v>
      </c>
      <c r="G60" s="1615">
        <v>0</v>
      </c>
      <c r="H60" s="1615">
        <v>0</v>
      </c>
      <c r="I60" s="1636">
        <v>0</v>
      </c>
      <c r="J60" s="1615">
        <v>0</v>
      </c>
      <c r="K60" s="1635">
        <v>0</v>
      </c>
      <c r="L60" s="1558"/>
    </row>
    <row r="61" spans="1:12" ht="11.25" customHeight="1">
      <c r="A61" s="254" t="s">
        <v>321</v>
      </c>
      <c r="B61" s="182"/>
      <c r="C61" s="1615">
        <v>0</v>
      </c>
      <c r="D61" s="1635">
        <v>0</v>
      </c>
      <c r="E61" s="1635"/>
      <c r="F61" s="1055">
        <v>0</v>
      </c>
      <c r="G61" s="1615">
        <v>0</v>
      </c>
      <c r="H61" s="1615">
        <v>0</v>
      </c>
      <c r="I61" s="1636">
        <v>0</v>
      </c>
      <c r="J61" s="1615">
        <v>0</v>
      </c>
      <c r="K61" s="1635">
        <v>0</v>
      </c>
      <c r="L61" s="1558"/>
    </row>
    <row r="62" spans="1:12" ht="11.25" customHeight="1">
      <c r="A62" s="254" t="s">
        <v>635</v>
      </c>
      <c r="B62" s="182"/>
      <c r="C62" s="1615">
        <v>0</v>
      </c>
      <c r="D62" s="1635">
        <v>0</v>
      </c>
      <c r="E62" s="1635"/>
      <c r="F62" s="1055">
        <v>0</v>
      </c>
      <c r="G62" s="1615">
        <v>0</v>
      </c>
      <c r="H62" s="1615">
        <v>0</v>
      </c>
      <c r="I62" s="1636">
        <v>0</v>
      </c>
      <c r="J62" s="1615">
        <v>0</v>
      </c>
      <c r="K62" s="1635">
        <v>0</v>
      </c>
      <c r="L62" s="1558"/>
    </row>
    <row r="63" spans="1:12" ht="11.25" customHeight="1">
      <c r="A63" s="250" t="s">
        <v>293</v>
      </c>
      <c r="B63" s="182"/>
      <c r="C63" s="1656">
        <v>1333817.56</v>
      </c>
      <c r="D63" s="1657">
        <v>1343317.1600000001</v>
      </c>
      <c r="E63" s="1657"/>
      <c r="F63" s="1658">
        <v>2239199</v>
      </c>
      <c r="G63" s="1656">
        <f>4434762+4979932</f>
        <v>9414694</v>
      </c>
      <c r="H63" s="1656">
        <f>4434762+4979932</f>
        <v>9414694</v>
      </c>
      <c r="I63" s="1658">
        <f>7191789+10000</f>
        <v>7201789</v>
      </c>
      <c r="J63" s="1656">
        <f>7140214+15000</f>
        <v>7155214</v>
      </c>
      <c r="K63" s="1657">
        <f>7087489+25000</f>
        <v>7112489</v>
      </c>
      <c r="L63" s="1558"/>
    </row>
    <row r="64" spans="1:12" ht="5" customHeight="1">
      <c r="A64" s="844"/>
      <c r="B64" s="182"/>
      <c r="C64" s="203"/>
      <c r="D64" s="203"/>
      <c r="E64" s="204"/>
      <c r="F64" s="205"/>
      <c r="G64" s="203"/>
      <c r="H64" s="202"/>
      <c r="I64" s="205"/>
      <c r="J64" s="203"/>
      <c r="K64" s="204"/>
      <c r="L64" s="370"/>
    </row>
    <row r="65" spans="1:12" ht="13.5" customHeight="1">
      <c r="A65" s="249" t="s">
        <v>1540</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31" t="s">
        <v>1258</v>
      </c>
      <c r="B66" s="182"/>
      <c r="C66" s="1620"/>
      <c r="D66" s="1620"/>
      <c r="E66" s="1884"/>
      <c r="F66" s="1935"/>
      <c r="G66" s="1620"/>
      <c r="H66" s="1954"/>
      <c r="I66" s="1935"/>
      <c r="J66" s="1620"/>
      <c r="K66" s="1884"/>
      <c r="L66" s="370"/>
    </row>
    <row r="67" spans="1:12" ht="11.25" customHeight="1">
      <c r="A67" s="1931"/>
      <c r="B67" s="182"/>
      <c r="C67" s="1656"/>
      <c r="D67" s="1656"/>
      <c r="E67" s="1657"/>
      <c r="F67" s="1658"/>
      <c r="G67" s="1656"/>
      <c r="H67" s="1659"/>
      <c r="I67" s="1658"/>
      <c r="J67" s="1656"/>
      <c r="K67" s="1657"/>
      <c r="L67" s="370"/>
    </row>
    <row r="68" spans="1:12" ht="5"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31" t="s">
        <v>1258</v>
      </c>
      <c r="B70" s="182"/>
      <c r="C70" s="1620"/>
      <c r="D70" s="1620"/>
      <c r="E70" s="1884"/>
      <c r="F70" s="1935"/>
      <c r="G70" s="1620"/>
      <c r="H70" s="1954"/>
      <c r="I70" s="1935"/>
      <c r="J70" s="1620"/>
      <c r="K70" s="1884"/>
      <c r="L70" s="370"/>
    </row>
    <row r="71" spans="1:12" ht="11.25" customHeight="1">
      <c r="A71" s="1931"/>
      <c r="B71" s="182"/>
      <c r="C71" s="1656"/>
      <c r="D71" s="1656"/>
      <c r="E71" s="1657"/>
      <c r="F71" s="1658"/>
      <c r="G71" s="1656"/>
      <c r="H71" s="1659"/>
      <c r="I71" s="1658"/>
      <c r="J71" s="1656"/>
      <c r="K71" s="1657"/>
      <c r="L71" s="370"/>
    </row>
    <row r="72" spans="1:12" ht="5" customHeight="1">
      <c r="A72" s="273"/>
      <c r="B72" s="182"/>
      <c r="C72" s="203"/>
      <c r="D72" s="203"/>
      <c r="E72" s="204"/>
      <c r="F72" s="205"/>
      <c r="G72" s="203"/>
      <c r="H72" s="202"/>
      <c r="I72" s="205"/>
      <c r="J72" s="203"/>
      <c r="K72" s="204"/>
      <c r="L72" s="370"/>
    </row>
    <row r="73" spans="1:12" ht="17.25" customHeight="1">
      <c r="A73" s="249" t="s">
        <v>883</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973</v>
      </c>
      <c r="B74" s="182"/>
      <c r="C74" s="1620"/>
      <c r="D74" s="1620"/>
      <c r="E74" s="1884"/>
      <c r="F74" s="1935"/>
      <c r="G74" s="1620"/>
      <c r="H74" s="1954"/>
      <c r="I74" s="1935"/>
      <c r="J74" s="1620"/>
      <c r="K74" s="1884"/>
      <c r="L74" s="370"/>
    </row>
    <row r="75" spans="1:12" ht="11.25" customHeight="1">
      <c r="A75" s="1904" t="s">
        <v>616</v>
      </c>
      <c r="B75" s="182"/>
      <c r="C75" s="1656"/>
      <c r="D75" s="1656"/>
      <c r="E75" s="1657"/>
      <c r="F75" s="1658"/>
      <c r="G75" s="1656"/>
      <c r="H75" s="1659"/>
      <c r="I75" s="1658"/>
      <c r="J75" s="1656"/>
      <c r="K75" s="1657"/>
      <c r="L75" s="370"/>
    </row>
    <row r="76" spans="1:12" ht="5" customHeight="1">
      <c r="A76" s="273"/>
      <c r="B76" s="182"/>
      <c r="C76" s="218"/>
      <c r="D76" s="218"/>
      <c r="E76" s="219"/>
      <c r="F76" s="220"/>
      <c r="G76" s="218"/>
      <c r="H76" s="217"/>
      <c r="I76" s="220"/>
      <c r="J76" s="218"/>
      <c r="K76" s="219"/>
      <c r="L76" s="370"/>
    </row>
    <row r="77" spans="1:12">
      <c r="A77" s="281" t="s">
        <v>1229</v>
      </c>
      <c r="B77" s="225">
        <v>1</v>
      </c>
      <c r="C77" s="230">
        <f t="shared" ref="C77:K77" si="14">C6+C27+C43+C47+C51+C73+C65+C69</f>
        <v>28425994.159999996</v>
      </c>
      <c r="D77" s="230">
        <f t="shared" si="14"/>
        <v>28870529.430000003</v>
      </c>
      <c r="E77" s="228">
        <f t="shared" si="14"/>
        <v>0</v>
      </c>
      <c r="F77" s="229">
        <f t="shared" si="14"/>
        <v>135250904</v>
      </c>
      <c r="G77" s="230">
        <f>G6+G27+G43+G47+G51+G73+G65+G69</f>
        <v>67398090</v>
      </c>
      <c r="H77" s="231">
        <f t="shared" si="14"/>
        <v>67398090</v>
      </c>
      <c r="I77" s="229">
        <f t="shared" si="14"/>
        <v>155289226</v>
      </c>
      <c r="J77" s="230">
        <f t="shared" si="14"/>
        <v>163199041</v>
      </c>
      <c r="K77" s="228">
        <f t="shared" si="14"/>
        <v>173275893</v>
      </c>
      <c r="L77" s="370"/>
    </row>
    <row r="78" spans="1:12">
      <c r="A78" s="2434"/>
      <c r="B78" s="2435"/>
      <c r="C78" s="1277"/>
      <c r="D78" s="1277"/>
      <c r="E78" s="1277"/>
      <c r="F78" s="1277"/>
      <c r="G78" s="1277"/>
      <c r="H78" s="1277"/>
      <c r="I78" s="1277"/>
      <c r="J78" s="1277"/>
      <c r="K78" s="1277"/>
      <c r="L78" s="370"/>
    </row>
    <row r="79" spans="1:12">
      <c r="A79" s="1561" t="s">
        <v>32</v>
      </c>
      <c r="B79" s="2431"/>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1291</v>
      </c>
      <c r="B80" s="2432"/>
      <c r="C80" s="1617"/>
      <c r="D80" s="1615"/>
      <c r="E80" s="1618"/>
      <c r="F80" s="1617"/>
      <c r="G80" s="1615"/>
      <c r="H80" s="1618"/>
      <c r="I80" s="1617"/>
      <c r="J80" s="1615"/>
      <c r="K80" s="1618"/>
      <c r="L80" s="370"/>
    </row>
    <row r="81" spans="1:12">
      <c r="A81" s="190" t="s">
        <v>1526</v>
      </c>
      <c r="B81" s="2432"/>
      <c r="C81" s="1617"/>
      <c r="D81" s="1615"/>
      <c r="E81" s="1618"/>
      <c r="F81" s="1617"/>
      <c r="G81" s="1615"/>
      <c r="H81" s="1618"/>
      <c r="I81" s="1617"/>
      <c r="J81" s="1615"/>
      <c r="K81" s="1618"/>
      <c r="L81" s="370"/>
    </row>
    <row r="82" spans="1:12">
      <c r="A82" s="190" t="s">
        <v>1723</v>
      </c>
      <c r="B82" s="2432"/>
      <c r="C82" s="1617"/>
      <c r="D82" s="1615"/>
      <c r="E82" s="1618"/>
      <c r="F82" s="1617"/>
      <c r="G82" s="1615"/>
      <c r="H82" s="1618"/>
      <c r="I82" s="1617"/>
      <c r="J82" s="1615"/>
      <c r="K82" s="1618"/>
      <c r="L82" s="370"/>
    </row>
    <row r="83" spans="1:12">
      <c r="A83" s="1315" t="s">
        <v>1724</v>
      </c>
      <c r="B83" s="2433"/>
      <c r="C83" s="1693"/>
      <c r="D83" s="1689"/>
      <c r="E83" s="1961"/>
      <c r="F83" s="1693"/>
      <c r="G83" s="1689"/>
      <c r="H83" s="1961"/>
      <c r="I83" s="1693"/>
      <c r="J83" s="1689"/>
      <c r="K83" s="1961"/>
      <c r="L83" s="370"/>
    </row>
    <row r="84" spans="1:12" s="360" customFormat="1" ht="4.5" customHeight="1">
      <c r="A84" s="325"/>
      <c r="B84" s="430"/>
      <c r="C84" s="1333"/>
      <c r="D84" s="1333"/>
      <c r="E84" s="1333"/>
      <c r="F84" s="1333"/>
      <c r="G84" s="1333"/>
      <c r="H84" s="1333"/>
      <c r="I84" s="1333"/>
      <c r="J84" s="1333"/>
      <c r="K84" s="1333"/>
    </row>
    <row r="85" spans="1:12">
      <c r="A85" s="2436" t="s">
        <v>930</v>
      </c>
      <c r="B85" s="2437"/>
      <c r="C85" s="2438">
        <f>IF(ISERROR(ROUND(C77/'A6-FinPos'!C19,3)),0,(ROUND(C77/'A6-FinPos'!C19,3)))</f>
        <v>2.4E-2</v>
      </c>
      <c r="D85" s="2438">
        <f>IF(ISERROR(ROUND(D77/'A6-FinPos'!D19,3)),0,(ROUND(D77/'A6-FinPos'!D19,3)))</f>
        <v>5.0000000000000001E-3</v>
      </c>
      <c r="E85" s="2439">
        <f>IF(ISERROR(ROUND(E77/'A6-FinPos'!E19,3)),0,(ROUND(E77/'A6-FinPos'!E19,3)))</f>
        <v>0</v>
      </c>
      <c r="F85" s="2440">
        <f>IF(ISERROR(ROUND(F77/'A6-FinPos'!F19,3)),0,(ROUND(F77/'A6-FinPos'!F19,3)))</f>
        <v>9.9000000000000005E-2</v>
      </c>
      <c r="G85" s="2438">
        <f>IF(ISERROR(ROUND(G77/'A6-FinPos'!G19,3)),0,(ROUND(G77/'A6-FinPos'!G19,3)))</f>
        <v>0.01</v>
      </c>
      <c r="H85" s="2441">
        <f>IF(ISERROR(ROUND(H77/'A6-FinPos'!H19,3)),0,(ROUND(H77/'A6-FinPos'!H19,3)))</f>
        <v>1.0999999999999999E-2</v>
      </c>
      <c r="I85" s="2442">
        <f>IF(ISERROR(ROUND(I77/'A6-FinPos'!J19,3)),0,(ROUND(I77/'A6-FinPos'!J19,3)))</f>
        <v>0.02</v>
      </c>
      <c r="J85" s="2438">
        <f>IF(ISERROR(ROUND(J77/'A6-FinPos'!K19,3)),0,(ROUND(J77/'A6-FinPos'!K19,3)))</f>
        <v>1.9E-2</v>
      </c>
      <c r="K85" s="2439">
        <f>IF(ISERROR(ROUND(K77/'A6-FinPos'!L19,3)),0,(ROUND(K77/'A6-FinPos'!L19,3)))</f>
        <v>1.9E-2</v>
      </c>
      <c r="L85" s="370"/>
    </row>
    <row r="86" spans="1:12">
      <c r="A86" s="2424" t="s">
        <v>2081</v>
      </c>
      <c r="B86" s="2425"/>
      <c r="C86" s="2426">
        <f>IF(ISERROR(ROUND(C77/'A1-Sum'!B18,3)),0,(ROUND(C77/'A1-Sum'!B18,3)))</f>
        <v>1.6E-2</v>
      </c>
      <c r="D86" s="2426">
        <f>IF(ISERROR(ROUND(D77/'A1-Sum'!C18,3)),0,(ROUND(D77/'A1-Sum'!C18,3)))</f>
        <v>1.2999999999999999E-2</v>
      </c>
      <c r="E86" s="2427">
        <f>IF(ISERROR(ROUND(E77/'A1-Sum'!D18,3)),0,(ROUND(E77/'A1-Sum'!D18,3)))</f>
        <v>0</v>
      </c>
      <c r="F86" s="2428">
        <f>IF(ISERROR(ROUND(F77/'A1-Sum'!E18,3)),0,(ROUND(F77/'A1-Sum'!E18,3)))</f>
        <v>0.05</v>
      </c>
      <c r="G86" s="2426">
        <f>IF(ISERROR(ROUND(G77/'A1-Sum'!F18,3)),0,(ROUND(G77/'A1-Sum'!F18,3)))</f>
        <v>2.5000000000000001E-2</v>
      </c>
      <c r="H86" s="2429">
        <f>IF(ISERROR(ROUND(H77/'A1-Sum'!G18,3)),0,(ROUND(H77/'A1-Sum'!G18,3)))</f>
        <v>2.5000000000000001E-2</v>
      </c>
      <c r="I86" s="2430">
        <f>IF(ISERROR(ROUND(I77/'A1-Sum'!I18,3)),0,(ROUND(I77/'A1-Sum'!I18,3)))</f>
        <v>5.7000000000000002E-2</v>
      </c>
      <c r="J86" s="2426">
        <f>IF(ISERROR(ROUND(J77/'A1-Sum'!J18,3)),0,(ROUND(J77/'A1-Sum'!J18,3)))</f>
        <v>5.8000000000000003E-2</v>
      </c>
      <c r="K86" s="2427">
        <f>IF(ISERROR(ROUND(K77/'A1-Sum'!K18,3)),0,(ROUND(K77/'A1-Sum'!K18,3)))</f>
        <v>5.8000000000000003E-2</v>
      </c>
      <c r="L86" s="370"/>
    </row>
    <row r="87" spans="1:12" s="709" customFormat="1">
      <c r="A87" s="1262" t="str">
        <f>head27a</f>
        <v>References</v>
      </c>
      <c r="B87" s="1038"/>
      <c r="C87" s="1042"/>
      <c r="D87" s="1042"/>
      <c r="E87" s="1042"/>
      <c r="F87" s="1042"/>
      <c r="G87" s="1042"/>
      <c r="H87" s="1042"/>
      <c r="I87" s="1042"/>
      <c r="J87" s="1042"/>
      <c r="K87" s="1042"/>
      <c r="L87" s="1559"/>
    </row>
    <row r="88" spans="1:12" s="709" customFormat="1" ht="11.25" customHeight="1">
      <c r="A88" s="1263" t="s">
        <v>1230</v>
      </c>
      <c r="B88" s="1038"/>
      <c r="C88" s="1041"/>
      <c r="D88" s="1041"/>
      <c r="E88" s="1042"/>
      <c r="F88" s="1042"/>
      <c r="G88" s="1042"/>
      <c r="H88" s="1042"/>
      <c r="I88" s="1042"/>
      <c r="J88" s="1042"/>
      <c r="K88" s="1042"/>
    </row>
    <row r="89" spans="1:12" s="709" customFormat="1" ht="11.25" customHeight="1">
      <c r="A89" s="1263" t="s">
        <v>319</v>
      </c>
      <c r="B89" s="1038"/>
      <c r="C89" s="1041"/>
      <c r="D89" s="1041"/>
      <c r="E89" s="1042"/>
      <c r="F89" s="1042"/>
      <c r="G89" s="1042"/>
      <c r="H89" s="1042"/>
      <c r="I89" s="1042"/>
      <c r="J89" s="1042"/>
      <c r="K89" s="1042"/>
    </row>
    <row r="90" spans="1:12" s="709" customFormat="1" ht="11.25" customHeight="1">
      <c r="A90" s="1263" t="s">
        <v>916</v>
      </c>
      <c r="B90" s="1038"/>
      <c r="C90" s="1041"/>
      <c r="D90" s="1041"/>
      <c r="E90" s="1042"/>
      <c r="F90" s="1042"/>
      <c r="G90" s="1042"/>
      <c r="H90" s="1042"/>
      <c r="I90" s="1042"/>
      <c r="J90" s="1042"/>
      <c r="K90" s="1042"/>
    </row>
    <row r="91" spans="1:12" s="709" customFormat="1" ht="11.25" customHeight="1">
      <c r="A91" s="1263" t="s">
        <v>323</v>
      </c>
      <c r="B91" s="1038"/>
      <c r="C91" s="1041"/>
      <c r="D91" s="1041"/>
      <c r="E91" s="1042"/>
      <c r="F91" s="1042"/>
      <c r="G91" s="1042"/>
      <c r="H91" s="1042"/>
      <c r="I91" s="1042"/>
      <c r="J91" s="1042"/>
      <c r="K91" s="1042"/>
    </row>
    <row r="92" spans="1:12" s="709" customFormat="1" ht="11.25" customHeight="1">
      <c r="A92" s="1263" t="s">
        <v>133</v>
      </c>
      <c r="B92" s="1038"/>
      <c r="C92" s="1041"/>
      <c r="D92" s="1041"/>
      <c r="E92" s="1042"/>
      <c r="F92" s="1042"/>
      <c r="G92" s="1042"/>
      <c r="H92" s="1042"/>
      <c r="I92" s="1042"/>
      <c r="J92" s="1042"/>
      <c r="K92" s="1042"/>
    </row>
    <row r="93" spans="1:12" s="709" customFormat="1" ht="11.25" customHeight="1">
      <c r="A93" s="1263" t="s">
        <v>1664</v>
      </c>
      <c r="B93" s="1038"/>
      <c r="C93" s="1041"/>
      <c r="D93" s="1041"/>
      <c r="E93" s="1042"/>
      <c r="F93" s="1042"/>
      <c r="G93" s="1042"/>
      <c r="H93" s="1042"/>
      <c r="I93" s="1042"/>
      <c r="J93" s="1042"/>
      <c r="K93" s="1042"/>
    </row>
    <row r="94" spans="1:12" s="709" customFormat="1" ht="11.25" customHeight="1">
      <c r="A94" s="1516" t="s">
        <v>33</v>
      </c>
      <c r="B94" s="1038"/>
      <c r="C94" s="1041"/>
      <c r="D94" s="1041"/>
      <c r="E94" s="1042"/>
      <c r="F94" s="1042"/>
      <c r="G94" s="1042"/>
      <c r="H94" s="1042"/>
      <c r="I94" s="1042"/>
      <c r="J94" s="1042"/>
      <c r="K94" s="1042"/>
    </row>
    <row r="95" spans="1:12" s="709" customFormat="1" ht="11.25" customHeight="1">
      <c r="A95" s="1516" t="s">
        <v>1336</v>
      </c>
      <c r="B95" s="1038"/>
      <c r="C95" s="1041"/>
      <c r="D95" s="1041"/>
      <c r="E95" s="1042"/>
      <c r="F95" s="1042"/>
      <c r="G95" s="1042"/>
      <c r="H95" s="1042"/>
      <c r="I95" s="1042"/>
      <c r="J95" s="1042"/>
      <c r="K95" s="1042"/>
    </row>
    <row r="96" spans="1:12" s="709" customFormat="1" ht="11.25" customHeight="1">
      <c r="A96" s="1516" t="s">
        <v>1337</v>
      </c>
      <c r="B96" s="1038"/>
      <c r="C96" s="1041"/>
      <c r="D96" s="1041"/>
      <c r="E96" s="1042"/>
      <c r="F96" s="1042"/>
      <c r="G96" s="1042"/>
      <c r="H96" s="1042"/>
      <c r="I96" s="1042"/>
      <c r="J96" s="1042"/>
      <c r="K96" s="1042"/>
    </row>
    <row r="97" spans="1:11" s="709" customFormat="1" ht="11.25" customHeight="1">
      <c r="A97" s="1516" t="s">
        <v>388</v>
      </c>
      <c r="B97" s="1038"/>
      <c r="C97" s="1041"/>
      <c r="D97" s="1041"/>
      <c r="E97" s="1042"/>
      <c r="F97" s="1042"/>
      <c r="G97" s="1042"/>
      <c r="H97" s="1042"/>
      <c r="I97" s="1042"/>
      <c r="J97" s="1042"/>
      <c r="K97" s="1042"/>
    </row>
    <row r="98" spans="1:11" s="709" customFormat="1" ht="11.25" customHeight="1">
      <c r="A98" s="1060"/>
      <c r="B98" s="1038"/>
      <c r="C98" s="1041"/>
      <c r="D98" s="1041"/>
      <c r="E98" s="1042"/>
      <c r="F98" s="1042"/>
      <c r="G98" s="1042"/>
      <c r="H98" s="1042"/>
      <c r="I98" s="1042"/>
      <c r="J98" s="1042"/>
      <c r="K98" s="1042"/>
    </row>
    <row r="99" spans="1:11" ht="11.25" customHeight="1">
      <c r="A99" s="246"/>
      <c r="B99" s="236"/>
      <c r="C99" s="240"/>
      <c r="D99" s="240"/>
      <c r="E99" s="241"/>
      <c r="F99" s="241"/>
      <c r="G99" s="241"/>
      <c r="H99" s="241"/>
      <c r="I99" s="241"/>
      <c r="J99" s="241"/>
      <c r="K99" s="241"/>
    </row>
    <row r="100" spans="1:11" ht="11.25" customHeight="1">
      <c r="A100" s="288" t="s">
        <v>296</v>
      </c>
      <c r="B100" s="243"/>
      <c r="C100" s="255">
        <f>C77-'SA1'!C160</f>
        <v>-1185910.8400000036</v>
      </c>
      <c r="D100" s="255">
        <f>D77-'SA1'!D160</f>
        <v>-1657600.5699999966</v>
      </c>
      <c r="E100" s="255">
        <f>E77-'SA1'!E160</f>
        <v>-68237333</v>
      </c>
      <c r="F100" s="255">
        <f>F77-'SA1'!F160</f>
        <v>7358545</v>
      </c>
      <c r="G100" s="255">
        <f>G77-'SA1'!G160</f>
        <v>-74272664</v>
      </c>
      <c r="H100" s="255">
        <f>H77-'SA1'!H160</f>
        <v>-74272664</v>
      </c>
      <c r="I100" s="255">
        <f>I77-'SA1'!J160</f>
        <v>0</v>
      </c>
      <c r="J100" s="255">
        <f>J77-'SA1'!K160</f>
        <v>0</v>
      </c>
      <c r="K100" s="255">
        <f>K77-'SA1'!L160</f>
        <v>0</v>
      </c>
    </row>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sheetData>
  <sheetProtection sheet="1" objects="1" scenarios="1"/>
  <mergeCells count="2">
    <mergeCell ref="F2:H2"/>
    <mergeCell ref="I2:K2"/>
  </mergeCells>
  <phoneticPr fontId="5" type="noConversion"/>
  <pageMargins left="0.75" right="0.75" top="0.28999999999999998" bottom="0.24" header="0.25" footer="0.22"/>
  <headerFooter alignWithMargins="0"/>
  <rowBreaks count="1" manualBreakCount="1">
    <brk id="78" max="16383" man="1"/>
  </rowBreaks>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enableFormatConditionsCalculation="0">
    <tabColor indexed="42"/>
  </sheetPr>
  <dimension ref="A1:O132"/>
  <sheetViews>
    <sheetView showGridLines="0" workbookViewId="0">
      <pane xSplit="2" ySplit="3" topLeftCell="C64" activePane="bottomRight" state="frozen"/>
      <selection pane="topRight"/>
      <selection pane="bottomLeft"/>
      <selection pane="bottomRight" activeCell="I77" sqref="I77:K77"/>
    </sheetView>
  </sheetViews>
  <sheetFormatPr baseColWidth="10" defaultColWidth="8.83203125" defaultRowHeight="10" x14ac:dyDescent="0"/>
  <cols>
    <col min="1" max="1" width="30.6640625" style="149" customWidth="1"/>
    <col min="2" max="2" width="3" style="247" customWidth="1"/>
    <col min="3" max="11" width="9.33203125" style="149" customWidth="1"/>
    <col min="12" max="12" width="9.6640625" style="149" customWidth="1"/>
    <col min="13" max="13" width="9.5" style="149" customWidth="1"/>
    <col min="14" max="14" width="9.83203125" style="149" customWidth="1"/>
    <col min="15" max="17" width="9.5" style="149" customWidth="1"/>
    <col min="18" max="18" width="9.83203125" style="149" customWidth="1"/>
    <col min="19" max="21" width="9.5" style="149" customWidth="1"/>
    <col min="22" max="23" width="9.83203125" style="149" customWidth="1"/>
    <col min="24" max="16384" width="8.83203125" style="149"/>
  </cols>
  <sheetData>
    <row r="1" spans="1:12" ht="13.5" customHeight="1">
      <c r="A1" s="147" t="str">
        <f>muni&amp;" - "&amp;TableA34d</f>
        <v>NW373 Rustenburg - Supporting Table SA34d Consolidated Depreciation by asset class</v>
      </c>
      <c r="B1" s="147"/>
      <c r="C1" s="147"/>
      <c r="D1" s="147"/>
      <c r="E1" s="147"/>
      <c r="F1" s="147"/>
      <c r="G1" s="147"/>
      <c r="H1" s="147"/>
      <c r="I1" s="147"/>
      <c r="J1" s="147"/>
      <c r="K1" s="147"/>
    </row>
    <row r="2" spans="1:12" ht="28.5" customHeight="1">
      <c r="A2" s="985" t="str">
        <f>desc</f>
        <v>Description</v>
      </c>
      <c r="B2" s="419" t="str">
        <f>head27</f>
        <v>Ref</v>
      </c>
      <c r="C2" s="150" t="str">
        <f>head1b</f>
        <v>2009/10</v>
      </c>
      <c r="D2" s="756" t="str">
        <f>head1A</f>
        <v>2010/11</v>
      </c>
      <c r="E2" s="146" t="str">
        <f>Head1</f>
        <v>2011/12</v>
      </c>
      <c r="F2" s="2765" t="str">
        <f>Head2</f>
        <v>Current Year 2012/13</v>
      </c>
      <c r="G2" s="2766"/>
      <c r="H2" s="2766"/>
      <c r="I2" s="2762" t="str">
        <f>Head3</f>
        <v>2013/14 Medium Term Revenue &amp; Expenditure Framework</v>
      </c>
      <c r="J2" s="2763"/>
      <c r="K2" s="2764"/>
    </row>
    <row r="3" spans="1:12" ht="20">
      <c r="A3" s="180" t="s">
        <v>667</v>
      </c>
      <c r="B3" s="986">
        <v>1</v>
      </c>
      <c r="C3" s="390" t="str">
        <f>Head5</f>
        <v>Audited Outcome</v>
      </c>
      <c r="D3" s="999" t="str">
        <f>Head5</f>
        <v>Audited Outcome</v>
      </c>
      <c r="E3" s="391" t="str">
        <f>Head5</f>
        <v>Audited Outcome</v>
      </c>
      <c r="F3" s="299" t="str">
        <f>Head6</f>
        <v>Original Budget</v>
      </c>
      <c r="G3" s="390" t="str">
        <f>Head7</f>
        <v>Adjusted Budget</v>
      </c>
      <c r="H3" s="389" t="str">
        <f>Head8</f>
        <v>Full Year Forecast</v>
      </c>
      <c r="I3" s="299" t="str">
        <f>Head9</f>
        <v>Budget Year 2013/14</v>
      </c>
      <c r="J3" s="390" t="str">
        <f>Head10</f>
        <v>Budget Year +1 2014/15</v>
      </c>
      <c r="K3" s="391" t="str">
        <f>Head11</f>
        <v>Budget Year +2 2015/16</v>
      </c>
    </row>
    <row r="4" spans="1:12" ht="11.25" customHeight="1">
      <c r="A4" s="861" t="s">
        <v>2053</v>
      </c>
      <c r="B4" s="749"/>
      <c r="C4" s="1100"/>
      <c r="D4" s="311"/>
      <c r="E4" s="314"/>
      <c r="F4" s="313"/>
      <c r="G4" s="311"/>
      <c r="H4" s="312"/>
      <c r="I4" s="313"/>
      <c r="J4" s="311"/>
      <c r="K4" s="314"/>
      <c r="L4" s="370"/>
    </row>
    <row r="5" spans="1:12" ht="5" customHeight="1">
      <c r="A5" s="249"/>
      <c r="B5" s="182"/>
      <c r="C5" s="315"/>
      <c r="D5" s="315"/>
      <c r="E5" s="318"/>
      <c r="F5" s="317"/>
      <c r="G5" s="315"/>
      <c r="H5" s="316"/>
      <c r="I5" s="317"/>
      <c r="J5" s="315"/>
      <c r="K5" s="318"/>
      <c r="L5" s="370"/>
    </row>
    <row r="6" spans="1:12" ht="11.25" customHeight="1">
      <c r="A6" s="249" t="s">
        <v>977</v>
      </c>
      <c r="B6" s="182"/>
      <c r="C6" s="394">
        <f>C7+C10+C14+C18+C21</f>
        <v>68195973</v>
      </c>
      <c r="D6" s="394">
        <f t="shared" ref="D6:K6" si="0">D7+D10+D14+D18+D21</f>
        <v>359311478.17000002</v>
      </c>
      <c r="E6" s="345">
        <f t="shared" si="0"/>
        <v>369113236</v>
      </c>
      <c r="F6" s="395">
        <f t="shared" si="0"/>
        <v>90092522</v>
      </c>
      <c r="G6" s="394">
        <f t="shared" si="0"/>
        <v>95860581</v>
      </c>
      <c r="H6" s="396">
        <f t="shared" si="0"/>
        <v>95860581</v>
      </c>
      <c r="I6" s="395">
        <f t="shared" si="0"/>
        <v>161977118</v>
      </c>
      <c r="J6" s="394">
        <f t="shared" si="0"/>
        <v>174371647</v>
      </c>
      <c r="K6" s="345">
        <f t="shared" si="0"/>
        <v>186643474</v>
      </c>
      <c r="L6" s="1557"/>
    </row>
    <row r="7" spans="1:12" s="1533" customFormat="1" ht="12">
      <c r="A7" s="250" t="s">
        <v>536</v>
      </c>
      <c r="B7" s="182"/>
      <c r="C7" s="1111">
        <f>SUM(C8:C9)</f>
        <v>19936080</v>
      </c>
      <c r="D7" s="1111">
        <f t="shared" ref="D7:K7" si="1">SUM(D8:D9)</f>
        <v>310106012</v>
      </c>
      <c r="E7" s="1424">
        <f t="shared" si="1"/>
        <v>323348443</v>
      </c>
      <c r="F7" s="1112">
        <f t="shared" si="1"/>
        <v>20819009</v>
      </c>
      <c r="G7" s="1111">
        <f t="shared" si="1"/>
        <v>31185733</v>
      </c>
      <c r="H7" s="1148">
        <f t="shared" si="1"/>
        <v>31185733</v>
      </c>
      <c r="I7" s="1425">
        <f t="shared" si="1"/>
        <v>83142273</v>
      </c>
      <c r="J7" s="1111">
        <f t="shared" si="1"/>
        <v>90761964</v>
      </c>
      <c r="K7" s="1148">
        <f t="shared" si="1"/>
        <v>98294843</v>
      </c>
      <c r="L7" s="370"/>
    </row>
    <row r="8" spans="1:12" s="1533" customFormat="1" ht="12">
      <c r="A8" s="1290" t="s">
        <v>537</v>
      </c>
      <c r="B8" s="182"/>
      <c r="C8" s="1615">
        <v>19936080</v>
      </c>
      <c r="D8" s="1615">
        <v>310106012</v>
      </c>
      <c r="E8" s="1635">
        <v>323348443</v>
      </c>
      <c r="F8" s="1636">
        <v>20819009</v>
      </c>
      <c r="G8" s="2715">
        <v>31185733</v>
      </c>
      <c r="H8" s="2716">
        <v>31185733</v>
      </c>
      <c r="I8" s="2717">
        <f>183142273-100000000</f>
        <v>83142273</v>
      </c>
      <c r="J8" s="2718">
        <f>190761964-100000000</f>
        <v>90761964</v>
      </c>
      <c r="K8" s="2719">
        <f>198294843-100000000</f>
        <v>98294843</v>
      </c>
      <c r="L8" s="1557"/>
    </row>
    <row r="9" spans="1:12" s="1533" customFormat="1" ht="12">
      <c r="A9" s="1290" t="s">
        <v>538</v>
      </c>
      <c r="B9" s="182"/>
      <c r="C9" s="1615"/>
      <c r="D9" s="1615"/>
      <c r="E9" s="1635"/>
      <c r="F9" s="1636"/>
      <c r="G9" s="1615"/>
      <c r="H9" s="1637"/>
      <c r="I9" s="1636"/>
      <c r="J9" s="1615"/>
      <c r="K9" s="1635"/>
      <c r="L9" s="1558"/>
    </row>
    <row r="10" spans="1:12" s="1533" customFormat="1" ht="12">
      <c r="A10" s="250" t="s">
        <v>21</v>
      </c>
      <c r="B10" s="182"/>
      <c r="C10" s="1064">
        <f>SUM(C11:C13)</f>
        <v>21610798</v>
      </c>
      <c r="D10" s="1064">
        <f t="shared" ref="D10:K10" si="2">SUM(D11:D13)</f>
        <v>24635302.890000001</v>
      </c>
      <c r="E10" s="1426">
        <f t="shared" si="2"/>
        <v>22388666</v>
      </c>
      <c r="F10" s="1068">
        <f t="shared" si="2"/>
        <v>26553287</v>
      </c>
      <c r="G10" s="1064">
        <f t="shared" si="2"/>
        <v>22080394</v>
      </c>
      <c r="H10" s="1151">
        <f t="shared" si="2"/>
        <v>22080394</v>
      </c>
      <c r="I10" s="1427">
        <f t="shared" si="2"/>
        <v>7487659</v>
      </c>
      <c r="J10" s="1064">
        <f t="shared" si="2"/>
        <v>7786366</v>
      </c>
      <c r="K10" s="1151">
        <f t="shared" si="2"/>
        <v>8098652</v>
      </c>
      <c r="L10" s="1558"/>
    </row>
    <row r="11" spans="1:12" s="1533" customFormat="1" ht="12">
      <c r="A11" s="1290" t="s">
        <v>22</v>
      </c>
      <c r="B11" s="182"/>
      <c r="C11" s="1615"/>
      <c r="D11" s="1616"/>
      <c r="E11" s="1616"/>
      <c r="F11" s="2534"/>
      <c r="G11" s="1615"/>
      <c r="H11" s="1618"/>
      <c r="I11" s="2535"/>
      <c r="J11" s="1615"/>
      <c r="K11" s="1618"/>
      <c r="L11" s="1558"/>
    </row>
    <row r="12" spans="1:12" s="1533" customFormat="1" ht="12">
      <c r="A12" s="1290" t="s">
        <v>23</v>
      </c>
      <c r="B12" s="182"/>
      <c r="C12" s="1615">
        <v>19183558</v>
      </c>
      <c r="D12" s="1616">
        <v>22521710.629999999</v>
      </c>
      <c r="E12" s="2720">
        <v>19915254</v>
      </c>
      <c r="F12" s="2535">
        <v>24323447</v>
      </c>
      <c r="G12" s="1615">
        <v>19945515</v>
      </c>
      <c r="H12" s="1615">
        <v>19945515</v>
      </c>
      <c r="I12" s="2535">
        <v>6794443</v>
      </c>
      <c r="J12" s="1615">
        <v>7066221</v>
      </c>
      <c r="K12" s="1618">
        <v>7348870</v>
      </c>
      <c r="L12" s="1558"/>
    </row>
    <row r="13" spans="1:12" s="1533" customFormat="1" ht="12">
      <c r="A13" s="1290" t="s">
        <v>137</v>
      </c>
      <c r="B13" s="182"/>
      <c r="C13" s="1615">
        <v>2427240</v>
      </c>
      <c r="D13" s="1616">
        <v>2113592.2599999998</v>
      </c>
      <c r="E13" s="2720">
        <v>2473412</v>
      </c>
      <c r="F13" s="2535">
        <v>2229840</v>
      </c>
      <c r="G13" s="2534">
        <v>2134879</v>
      </c>
      <c r="H13" s="2534">
        <v>2134879</v>
      </c>
      <c r="I13" s="2535">
        <v>693216</v>
      </c>
      <c r="J13" s="1615">
        <v>720145</v>
      </c>
      <c r="K13" s="1618">
        <v>749782</v>
      </c>
      <c r="L13" s="1558"/>
    </row>
    <row r="14" spans="1:12" s="1533" customFormat="1" ht="12">
      <c r="A14" s="254" t="s">
        <v>24</v>
      </c>
      <c r="B14" s="350"/>
      <c r="C14" s="1064">
        <f>SUM(C15:C17)</f>
        <v>10245739</v>
      </c>
      <c r="D14" s="1064">
        <f t="shared" ref="D14:K14" si="3">SUM(D15:D17)</f>
        <v>13214102.26</v>
      </c>
      <c r="E14" s="1426">
        <f t="shared" si="3"/>
        <v>11728374</v>
      </c>
      <c r="F14" s="1068">
        <f t="shared" si="3"/>
        <v>17604179</v>
      </c>
      <c r="G14" s="1064">
        <f t="shared" si="3"/>
        <v>16692487</v>
      </c>
      <c r="H14" s="1151">
        <f t="shared" si="3"/>
        <v>16692487</v>
      </c>
      <c r="I14" s="1427">
        <f t="shared" si="3"/>
        <v>28315890</v>
      </c>
      <c r="J14" s="1064">
        <f t="shared" si="3"/>
        <v>30638350</v>
      </c>
      <c r="K14" s="1151">
        <f t="shared" si="3"/>
        <v>32949709</v>
      </c>
      <c r="L14" s="1558"/>
    </row>
    <row r="15" spans="1:12" s="1533" customFormat="1" ht="12">
      <c r="A15" s="1290" t="s">
        <v>25</v>
      </c>
      <c r="B15" s="182"/>
      <c r="C15" s="1615"/>
      <c r="D15" s="1615"/>
      <c r="E15" s="1616"/>
      <c r="F15" s="2534"/>
      <c r="G15" s="1615"/>
      <c r="H15" s="1618"/>
      <c r="I15" s="2535"/>
      <c r="J15" s="1615"/>
      <c r="K15" s="1618"/>
      <c r="L15" s="1558"/>
    </row>
    <row r="16" spans="1:12" s="1533" customFormat="1" ht="12">
      <c r="A16" s="1290" t="s">
        <v>26</v>
      </c>
      <c r="B16" s="182"/>
      <c r="C16" s="1615"/>
      <c r="D16" s="1615"/>
      <c r="E16" s="1616"/>
      <c r="F16" s="2534"/>
      <c r="G16" s="1615"/>
      <c r="H16" s="1618"/>
      <c r="I16" s="2535"/>
      <c r="J16" s="1615"/>
      <c r="K16" s="1618"/>
      <c r="L16" s="1558"/>
    </row>
    <row r="17" spans="1:12" s="1533" customFormat="1" ht="12">
      <c r="A17" s="1290" t="s">
        <v>27</v>
      </c>
      <c r="B17" s="182"/>
      <c r="C17" s="1615">
        <v>10245739</v>
      </c>
      <c r="D17" s="1616">
        <v>13214102.26</v>
      </c>
      <c r="E17" s="2721">
        <v>11728374</v>
      </c>
      <c r="F17" s="2535">
        <f>14799795+2804384</f>
        <v>17604179</v>
      </c>
      <c r="G17" s="2534">
        <f>13888103+2804384</f>
        <v>16692487</v>
      </c>
      <c r="H17" s="2534">
        <f>13888103+2804384</f>
        <v>16692487</v>
      </c>
      <c r="I17" s="2535">
        <f>55511506+2804384-30000000</f>
        <v>28315890</v>
      </c>
      <c r="J17" s="1615">
        <f>57833966+2804384-30000000</f>
        <v>30638350</v>
      </c>
      <c r="K17" s="1618">
        <f>60145325+2804384-30000000</f>
        <v>32949709</v>
      </c>
      <c r="L17" s="1558"/>
    </row>
    <row r="18" spans="1:12" s="1533" customFormat="1" ht="12">
      <c r="A18" s="254" t="s">
        <v>28</v>
      </c>
      <c r="B18" s="182"/>
      <c r="C18" s="1064">
        <f t="shared" ref="C18:K18" si="4">SUM(C19:C20)</f>
        <v>6532771</v>
      </c>
      <c r="D18" s="1064">
        <f t="shared" si="4"/>
        <v>4792404.2300000004</v>
      </c>
      <c r="E18" s="1426">
        <f t="shared" si="4"/>
        <v>7664217</v>
      </c>
      <c r="F18" s="1068">
        <f t="shared" si="4"/>
        <v>17951325</v>
      </c>
      <c r="G18" s="1064">
        <f t="shared" si="4"/>
        <v>20397444</v>
      </c>
      <c r="H18" s="1151">
        <f t="shared" si="4"/>
        <v>20397444</v>
      </c>
      <c r="I18" s="1427">
        <f t="shared" si="4"/>
        <v>26847027</v>
      </c>
      <c r="J18" s="1064">
        <f t="shared" si="4"/>
        <v>27953327</v>
      </c>
      <c r="K18" s="1151">
        <f t="shared" si="4"/>
        <v>28979365</v>
      </c>
      <c r="L18" s="1558"/>
    </row>
    <row r="19" spans="1:12" s="1533" customFormat="1" ht="12">
      <c r="A19" s="1290" t="s">
        <v>27</v>
      </c>
      <c r="B19" s="182"/>
      <c r="C19" s="1615">
        <v>6532771</v>
      </c>
      <c r="D19" s="1616">
        <v>4792404.2300000004</v>
      </c>
      <c r="E19" s="2722">
        <v>7664217</v>
      </c>
      <c r="F19" s="2535">
        <f>5175797+12775528</f>
        <v>17951325</v>
      </c>
      <c r="G19" s="1615">
        <f>7621916+12775528</f>
        <v>20397444</v>
      </c>
      <c r="H19" s="1615">
        <f>7621916+12775528</f>
        <v>20397444</v>
      </c>
      <c r="I19" s="2535">
        <f>24071499+12775528-10000000</f>
        <v>26847027</v>
      </c>
      <c r="J19" s="1615">
        <f>25177799+12775528-10000000</f>
        <v>27953327</v>
      </c>
      <c r="K19" s="1618">
        <f>26203837+12775528-10000000</f>
        <v>28979365</v>
      </c>
      <c r="L19" s="1558"/>
    </row>
    <row r="20" spans="1:12" s="1533" customFormat="1" ht="12">
      <c r="A20" s="1290" t="s">
        <v>29</v>
      </c>
      <c r="B20" s="182"/>
      <c r="C20" s="1615"/>
      <c r="D20" s="1615"/>
      <c r="E20" s="1616"/>
      <c r="F20" s="2534"/>
      <c r="G20" s="1615"/>
      <c r="H20" s="1618"/>
      <c r="I20" s="2535"/>
      <c r="J20" s="1615"/>
      <c r="K20" s="1618"/>
      <c r="L20" s="1558"/>
    </row>
    <row r="21" spans="1:12" s="1533" customFormat="1" ht="12">
      <c r="A21" s="250" t="s">
        <v>30</v>
      </c>
      <c r="B21" s="182"/>
      <c r="C21" s="1064">
        <f>SUM(C22:C25)</f>
        <v>9870585</v>
      </c>
      <c r="D21" s="1064">
        <f t="shared" ref="D21:K21" si="5">SUM(D22:D25)</f>
        <v>6563656.79</v>
      </c>
      <c r="E21" s="1064">
        <f t="shared" si="5"/>
        <v>3983536</v>
      </c>
      <c r="F21" s="1068">
        <f t="shared" si="5"/>
        <v>7164722</v>
      </c>
      <c r="G21" s="1064">
        <f t="shared" si="5"/>
        <v>5504523</v>
      </c>
      <c r="H21" s="1151">
        <f t="shared" si="5"/>
        <v>5504523</v>
      </c>
      <c r="I21" s="1427">
        <f t="shared" si="5"/>
        <v>16184269</v>
      </c>
      <c r="J21" s="1064">
        <f t="shared" si="5"/>
        <v>17231640</v>
      </c>
      <c r="K21" s="1151">
        <f t="shared" si="5"/>
        <v>18320905</v>
      </c>
      <c r="L21" s="1558"/>
    </row>
    <row r="22" spans="1:12" s="1533" customFormat="1" ht="12">
      <c r="A22" s="1290" t="s">
        <v>1088</v>
      </c>
      <c r="B22" s="182"/>
      <c r="C22" s="1615">
        <v>3386945</v>
      </c>
      <c r="D22" s="1637">
        <v>4983652.96</v>
      </c>
      <c r="E22" s="2723">
        <v>2585658</v>
      </c>
      <c r="F22" s="1636">
        <v>5482018</v>
      </c>
      <c r="G22" s="1636">
        <v>3670431</v>
      </c>
      <c r="H22" s="1636">
        <v>3670431</v>
      </c>
      <c r="I22" s="1636">
        <f>26008961-10000000</f>
        <v>16008961</v>
      </c>
      <c r="J22" s="1615">
        <f>27049320-10000000</f>
        <v>17049320</v>
      </c>
      <c r="K22" s="1618">
        <f>28131292-10000000</f>
        <v>18131292</v>
      </c>
      <c r="L22" s="1557"/>
    </row>
    <row r="23" spans="1:12" s="1533" customFormat="1" ht="12">
      <c r="A23" s="1290" t="s">
        <v>320</v>
      </c>
      <c r="B23" s="182">
        <v>2</v>
      </c>
      <c r="C23" s="1615"/>
      <c r="D23" s="1615"/>
      <c r="E23" s="1635"/>
      <c r="F23" s="1636"/>
      <c r="G23" s="1615"/>
      <c r="H23" s="1637"/>
      <c r="I23" s="1636"/>
      <c r="J23" s="1615"/>
      <c r="K23" s="1618"/>
      <c r="L23" s="1558"/>
    </row>
    <row r="24" spans="1:12" s="1533" customFormat="1" ht="12">
      <c r="A24" s="1290" t="s">
        <v>138</v>
      </c>
      <c r="B24" s="182"/>
      <c r="C24" s="1615"/>
      <c r="D24" s="1615"/>
      <c r="E24" s="1635"/>
      <c r="F24" s="1636"/>
      <c r="G24" s="1615"/>
      <c r="H24" s="1637"/>
      <c r="I24" s="1636"/>
      <c r="J24" s="1615"/>
      <c r="K24" s="1635"/>
      <c r="L24" s="1558"/>
    </row>
    <row r="25" spans="1:12" s="1533" customFormat="1" ht="12">
      <c r="A25" s="1290" t="s">
        <v>293</v>
      </c>
      <c r="B25" s="182">
        <v>3</v>
      </c>
      <c r="C25" s="1615">
        <v>6483640</v>
      </c>
      <c r="D25" s="1635">
        <v>1580003.83</v>
      </c>
      <c r="E25" s="1635">
        <v>1397878</v>
      </c>
      <c r="F25" s="1636">
        <v>1682704</v>
      </c>
      <c r="G25" s="1636">
        <v>1834092</v>
      </c>
      <c r="H25" s="1636">
        <v>1834092</v>
      </c>
      <c r="I25" s="1636">
        <v>175308</v>
      </c>
      <c r="J25" s="1615">
        <v>182320</v>
      </c>
      <c r="K25" s="1635">
        <v>189613</v>
      </c>
      <c r="L25" s="1558"/>
    </row>
    <row r="26" spans="1:12" ht="5" customHeight="1">
      <c r="A26" s="273"/>
      <c r="B26" s="182"/>
      <c r="C26" s="203"/>
      <c r="D26" s="203"/>
      <c r="E26" s="204"/>
      <c r="F26" s="205"/>
      <c r="G26" s="203"/>
      <c r="H26" s="202"/>
      <c r="I26" s="205"/>
      <c r="J26" s="203"/>
      <c r="K26" s="204"/>
      <c r="L26" s="370"/>
    </row>
    <row r="27" spans="1:12" ht="17.25" customHeight="1">
      <c r="A27" s="249" t="s">
        <v>1571</v>
      </c>
      <c r="B27" s="182"/>
      <c r="C27" s="218">
        <f>SUM(C28:C41)</f>
        <v>15685175.629999997</v>
      </c>
      <c r="D27" s="218">
        <f t="shared" ref="D27:K27" si="6">SUM(D28:D41)</f>
        <v>19423077.300000001</v>
      </c>
      <c r="E27" s="219">
        <f t="shared" si="6"/>
        <v>10862301</v>
      </c>
      <c r="F27" s="220">
        <f t="shared" si="6"/>
        <v>20528111</v>
      </c>
      <c r="G27" s="218">
        <f t="shared" si="6"/>
        <v>17103269</v>
      </c>
      <c r="H27" s="217">
        <f t="shared" si="6"/>
        <v>17103269</v>
      </c>
      <c r="I27" s="220">
        <f t="shared" si="6"/>
        <v>67799737</v>
      </c>
      <c r="J27" s="218">
        <f t="shared" si="6"/>
        <v>70511727</v>
      </c>
      <c r="K27" s="219">
        <f t="shared" si="6"/>
        <v>73332196</v>
      </c>
      <c r="L27" s="370"/>
    </row>
    <row r="28" spans="1:12" ht="11.25" customHeight="1">
      <c r="A28" s="250" t="s">
        <v>2</v>
      </c>
      <c r="B28" s="182"/>
      <c r="C28" s="1620">
        <v>2171076</v>
      </c>
      <c r="D28" s="1884">
        <v>2516934</v>
      </c>
      <c r="E28" s="2724">
        <v>2108496</v>
      </c>
      <c r="F28" s="1935">
        <v>2655366</v>
      </c>
      <c r="G28" s="1935">
        <v>2618946</v>
      </c>
      <c r="H28" s="1935">
        <v>2618946</v>
      </c>
      <c r="I28" s="2725">
        <v>3386873</v>
      </c>
      <c r="J28" s="2726">
        <v>3522347</v>
      </c>
      <c r="K28" s="2727">
        <v>3663241</v>
      </c>
      <c r="L28" s="1558"/>
    </row>
    <row r="29" spans="1:12" ht="11.25" customHeight="1">
      <c r="A29" s="250" t="s">
        <v>1591</v>
      </c>
      <c r="B29" s="182"/>
      <c r="C29" s="1615">
        <v>3052514.69</v>
      </c>
      <c r="D29" s="1635">
        <v>3136650.59</v>
      </c>
      <c r="E29" s="2728">
        <v>2451080</v>
      </c>
      <c r="F29" s="1636">
        <v>3309166</v>
      </c>
      <c r="G29" s="1636">
        <v>3347034</v>
      </c>
      <c r="H29" s="1636">
        <v>3347034</v>
      </c>
      <c r="I29" s="2729">
        <v>40815217</v>
      </c>
      <c r="J29" s="2730">
        <v>42447826</v>
      </c>
      <c r="K29" s="2731">
        <v>44145739</v>
      </c>
      <c r="L29" s="1558"/>
    </row>
    <row r="30" spans="1:12" ht="11.25" customHeight="1">
      <c r="A30" s="250" t="s">
        <v>505</v>
      </c>
      <c r="B30" s="182"/>
      <c r="C30" s="1615">
        <v>237602.71</v>
      </c>
      <c r="D30" s="1635">
        <v>268607.34000000003</v>
      </c>
      <c r="E30" s="2728">
        <v>245360</v>
      </c>
      <c r="F30" s="1636">
        <v>283381</v>
      </c>
      <c r="G30" s="1636">
        <v>242941</v>
      </c>
      <c r="H30" s="1636">
        <v>242941</v>
      </c>
      <c r="I30" s="2729">
        <v>2459032</v>
      </c>
      <c r="J30" s="2730">
        <v>2557393</v>
      </c>
      <c r="K30" s="2731">
        <v>2659689</v>
      </c>
      <c r="L30" s="1558"/>
    </row>
    <row r="31" spans="1:12" ht="11.25" customHeight="1">
      <c r="A31" s="250" t="s">
        <v>1</v>
      </c>
      <c r="B31" s="182"/>
      <c r="C31" s="1615">
        <v>2587396.3199999998</v>
      </c>
      <c r="D31" s="1635">
        <v>2887795.89</v>
      </c>
      <c r="E31" s="2728">
        <v>2466131</v>
      </c>
      <c r="F31" s="1636">
        <v>3075503</v>
      </c>
      <c r="G31" s="1636">
        <v>2852407</v>
      </c>
      <c r="H31" s="1636">
        <v>2852407</v>
      </c>
      <c r="I31" s="2729">
        <v>6579166</v>
      </c>
      <c r="J31" s="2730">
        <v>6842332</v>
      </c>
      <c r="K31" s="2731">
        <v>7116026</v>
      </c>
      <c r="L31" s="1558"/>
    </row>
    <row r="32" spans="1:12" ht="11.25" customHeight="1">
      <c r="A32" s="250" t="s">
        <v>339</v>
      </c>
      <c r="B32" s="182"/>
      <c r="C32" s="1615">
        <v>959683.58</v>
      </c>
      <c r="D32" s="1635">
        <v>1585094.19</v>
      </c>
      <c r="E32" s="2728">
        <v>915421</v>
      </c>
      <c r="F32" s="1636">
        <v>1672274</v>
      </c>
      <c r="G32" s="1636">
        <v>1027712</v>
      </c>
      <c r="H32" s="1636">
        <v>1027712</v>
      </c>
      <c r="I32" s="2729">
        <v>3170774</v>
      </c>
      <c r="J32" s="2730">
        <v>3297605</v>
      </c>
      <c r="K32" s="2731">
        <v>3429509</v>
      </c>
      <c r="L32" s="1558"/>
    </row>
    <row r="33" spans="1:15" ht="11.25" customHeight="1">
      <c r="A33" s="250" t="s">
        <v>0</v>
      </c>
      <c r="B33" s="182"/>
      <c r="C33" s="1615"/>
      <c r="D33" s="1635"/>
      <c r="E33" s="2728"/>
      <c r="F33" s="1636"/>
      <c r="G33" s="1615"/>
      <c r="H33" s="1637"/>
      <c r="I33" s="1636"/>
      <c r="J33" s="1615"/>
      <c r="K33" s="1635"/>
      <c r="L33" s="1558"/>
    </row>
    <row r="34" spans="1:15" ht="11.25" customHeight="1">
      <c r="A34" s="250" t="s">
        <v>1592</v>
      </c>
      <c r="B34" s="182"/>
      <c r="C34" s="1615">
        <v>1643853.35</v>
      </c>
      <c r="D34" s="1635">
        <v>4218465.9000000004</v>
      </c>
      <c r="E34" s="2728"/>
      <c r="F34" s="1636">
        <v>4450482</v>
      </c>
      <c r="G34" s="1636">
        <v>2121446</v>
      </c>
      <c r="H34" s="1636">
        <v>2121446</v>
      </c>
      <c r="I34" s="1636"/>
      <c r="J34" s="1615"/>
      <c r="K34" s="1635"/>
      <c r="L34" s="1558"/>
    </row>
    <row r="35" spans="1:15" ht="11.25" customHeight="1">
      <c r="A35" s="250" t="s">
        <v>962</v>
      </c>
      <c r="B35" s="182"/>
      <c r="C35" s="1615">
        <v>2354508.6</v>
      </c>
      <c r="D35" s="1635">
        <v>3317612.41</v>
      </c>
      <c r="E35" s="2728"/>
      <c r="F35" s="1636">
        <v>3500081</v>
      </c>
      <c r="G35" s="1636">
        <v>3151447</v>
      </c>
      <c r="H35" s="1636">
        <v>3151447</v>
      </c>
      <c r="I35" s="1636"/>
      <c r="J35" s="1615"/>
      <c r="K35" s="1635"/>
      <c r="L35" s="1558"/>
    </row>
    <row r="36" spans="1:15" ht="11.25" customHeight="1">
      <c r="A36" s="250" t="s">
        <v>1527</v>
      </c>
      <c r="B36" s="182">
        <v>7</v>
      </c>
      <c r="C36" s="1615"/>
      <c r="D36" s="1635"/>
      <c r="E36" s="2728"/>
      <c r="F36" s="1636"/>
      <c r="G36" s="1615"/>
      <c r="H36" s="1637"/>
      <c r="I36" s="1636"/>
      <c r="J36" s="1615"/>
      <c r="K36" s="1635"/>
      <c r="L36" s="1558"/>
    </row>
    <row r="37" spans="1:15" ht="11.25" customHeight="1">
      <c r="A37" s="250" t="s">
        <v>1285</v>
      </c>
      <c r="B37" s="182"/>
      <c r="C37" s="1615">
        <v>344490</v>
      </c>
      <c r="D37" s="1635">
        <v>646778</v>
      </c>
      <c r="E37" s="2728">
        <v>330983</v>
      </c>
      <c r="F37" s="1636">
        <v>682351</v>
      </c>
      <c r="G37" s="1636">
        <v>390309</v>
      </c>
      <c r="H37" s="1636">
        <v>390309</v>
      </c>
      <c r="I37" s="1636">
        <v>988657</v>
      </c>
      <c r="J37" s="1615">
        <v>1028204</v>
      </c>
      <c r="K37" s="1635">
        <v>1069332</v>
      </c>
      <c r="L37" s="1558"/>
      <c r="O37" s="370"/>
    </row>
    <row r="38" spans="1:15" ht="11.25" customHeight="1">
      <c r="A38" s="250" t="s">
        <v>724</v>
      </c>
      <c r="B38" s="182"/>
      <c r="C38" s="1615"/>
      <c r="D38" s="1635"/>
      <c r="E38" s="2728"/>
      <c r="F38" s="1636"/>
      <c r="G38" s="1615"/>
      <c r="H38" s="1637"/>
      <c r="I38" s="1636"/>
      <c r="J38" s="1615"/>
      <c r="K38" s="1635"/>
      <c r="L38" s="1558"/>
    </row>
    <row r="39" spans="1:15" ht="11.25" customHeight="1">
      <c r="A39" s="250" t="s">
        <v>503</v>
      </c>
      <c r="B39" s="182"/>
      <c r="C39" s="1615">
        <v>2294458.71</v>
      </c>
      <c r="D39" s="1635">
        <v>788533.1</v>
      </c>
      <c r="E39" s="2728">
        <v>2227967</v>
      </c>
      <c r="F39" s="1636">
        <v>839788</v>
      </c>
      <c r="G39" s="1636">
        <v>1294538</v>
      </c>
      <c r="H39" s="1636">
        <v>1294538</v>
      </c>
      <c r="I39" s="1636">
        <v>36533</v>
      </c>
      <c r="J39" s="1615">
        <v>37994</v>
      </c>
      <c r="K39" s="1635">
        <v>39514</v>
      </c>
      <c r="L39" s="1558"/>
    </row>
    <row r="40" spans="1:15" ht="11.25" customHeight="1">
      <c r="A40" s="250" t="s">
        <v>31</v>
      </c>
      <c r="B40" s="182">
        <v>8</v>
      </c>
      <c r="C40" s="1615"/>
      <c r="D40" s="1635"/>
      <c r="E40" s="2728" t="s">
        <v>4426</v>
      </c>
      <c r="F40" s="1636"/>
      <c r="G40" s="1615"/>
      <c r="H40" s="1637"/>
      <c r="I40" s="1636"/>
      <c r="J40" s="1615"/>
      <c r="K40" s="1635"/>
      <c r="L40" s="370"/>
    </row>
    <row r="41" spans="1:15" ht="11.25" customHeight="1">
      <c r="A41" s="250" t="s">
        <v>293</v>
      </c>
      <c r="B41" s="182"/>
      <c r="C41" s="1656">
        <v>39591.67</v>
      </c>
      <c r="D41" s="1657">
        <v>56605.88</v>
      </c>
      <c r="E41" s="2732">
        <v>116863</v>
      </c>
      <c r="F41" s="1658">
        <v>59719</v>
      </c>
      <c r="G41" s="1658">
        <v>56489</v>
      </c>
      <c r="H41" s="1658">
        <v>56489</v>
      </c>
      <c r="I41" s="1658">
        <v>10363485</v>
      </c>
      <c r="J41" s="1656">
        <v>10778026</v>
      </c>
      <c r="K41" s="1657">
        <v>11209146</v>
      </c>
      <c r="L41" s="1558"/>
    </row>
    <row r="42" spans="1:15" ht="5" customHeight="1">
      <c r="A42" s="273"/>
      <c r="B42" s="182"/>
      <c r="C42" s="203"/>
      <c r="D42" s="203"/>
      <c r="E42" s="204"/>
      <c r="F42" s="205"/>
      <c r="G42" s="203"/>
      <c r="H42" s="202"/>
      <c r="I42" s="205"/>
      <c r="J42" s="203"/>
      <c r="K42" s="204"/>
      <c r="L42" s="370"/>
    </row>
    <row r="43" spans="1:15" ht="17.25" customHeight="1">
      <c r="A43" s="249" t="s">
        <v>965</v>
      </c>
      <c r="B43" s="182"/>
      <c r="C43" s="203">
        <f>SUM(C44:C45)</f>
        <v>0</v>
      </c>
      <c r="D43" s="203">
        <f t="shared" ref="D43:K43" si="7">SUM(D44:D45)</f>
        <v>0</v>
      </c>
      <c r="E43" s="204">
        <f t="shared" si="7"/>
        <v>0</v>
      </c>
      <c r="F43" s="205">
        <f t="shared" si="7"/>
        <v>0</v>
      </c>
      <c r="G43" s="203">
        <f t="shared" si="7"/>
        <v>0</v>
      </c>
      <c r="H43" s="202">
        <f t="shared" si="7"/>
        <v>0</v>
      </c>
      <c r="I43" s="205">
        <f t="shared" si="7"/>
        <v>0</v>
      </c>
      <c r="J43" s="203">
        <f t="shared" si="7"/>
        <v>0</v>
      </c>
      <c r="K43" s="204">
        <f t="shared" si="7"/>
        <v>0</v>
      </c>
      <c r="L43" s="370"/>
    </row>
    <row r="44" spans="1:15" ht="11.25" customHeight="1">
      <c r="A44" s="250" t="s">
        <v>1257</v>
      </c>
      <c r="B44" s="182"/>
      <c r="C44" s="1624"/>
      <c r="D44" s="1624"/>
      <c r="E44" s="1955"/>
      <c r="F44" s="1956"/>
      <c r="G44" s="1624"/>
      <c r="H44" s="1957"/>
      <c r="I44" s="1956"/>
      <c r="J44" s="1624"/>
      <c r="K44" s="1955"/>
      <c r="L44" s="370"/>
    </row>
    <row r="45" spans="1:15" ht="11.25" customHeight="1">
      <c r="A45" s="254" t="s">
        <v>293</v>
      </c>
      <c r="B45" s="182">
        <v>9</v>
      </c>
      <c r="C45" s="1652"/>
      <c r="D45" s="1652"/>
      <c r="E45" s="1958"/>
      <c r="F45" s="1959"/>
      <c r="G45" s="1652"/>
      <c r="H45" s="1960"/>
      <c r="I45" s="1959"/>
      <c r="J45" s="1652"/>
      <c r="K45" s="1958"/>
      <c r="L45" s="370"/>
    </row>
    <row r="46" spans="1:15" ht="5" customHeight="1">
      <c r="A46" s="273"/>
      <c r="B46" s="182"/>
      <c r="C46" s="203"/>
      <c r="D46" s="203"/>
      <c r="E46" s="204"/>
      <c r="F46" s="205"/>
      <c r="G46" s="203"/>
      <c r="H46" s="202"/>
      <c r="I46" s="205"/>
      <c r="J46" s="203"/>
      <c r="K46" s="204"/>
      <c r="L46" s="370"/>
    </row>
    <row r="47" spans="1:15" ht="17.25" customHeight="1">
      <c r="A47" s="249" t="s">
        <v>966</v>
      </c>
      <c r="B47" s="182"/>
      <c r="C47" s="218">
        <f>SUM(C48:C49)</f>
        <v>0</v>
      </c>
      <c r="D47" s="218">
        <f t="shared" ref="D47:K47" si="8">SUM(D48:D49)</f>
        <v>0</v>
      </c>
      <c r="E47" s="219">
        <f t="shared" si="8"/>
        <v>0</v>
      </c>
      <c r="F47" s="220">
        <f t="shared" si="8"/>
        <v>0</v>
      </c>
      <c r="G47" s="218">
        <f t="shared" si="8"/>
        <v>0</v>
      </c>
      <c r="H47" s="217">
        <f t="shared" si="8"/>
        <v>0</v>
      </c>
      <c r="I47" s="220">
        <f t="shared" si="8"/>
        <v>0</v>
      </c>
      <c r="J47" s="218">
        <f t="shared" si="8"/>
        <v>0</v>
      </c>
      <c r="K47" s="219">
        <f t="shared" si="8"/>
        <v>0</v>
      </c>
      <c r="L47" s="370"/>
    </row>
    <row r="48" spans="1:15" ht="11.25" customHeight="1">
      <c r="A48" s="250" t="s">
        <v>504</v>
      </c>
      <c r="B48" s="182"/>
      <c r="C48" s="1620"/>
      <c r="D48" s="1620"/>
      <c r="E48" s="1884"/>
      <c r="F48" s="1935"/>
      <c r="G48" s="1620"/>
      <c r="H48" s="1954"/>
      <c r="I48" s="1935"/>
      <c r="J48" s="1620"/>
      <c r="K48" s="1884"/>
      <c r="L48" s="1558"/>
    </row>
    <row r="49" spans="1:12" ht="11.25" customHeight="1">
      <c r="A49" s="250" t="s">
        <v>293</v>
      </c>
      <c r="B49" s="182"/>
      <c r="C49" s="1656"/>
      <c r="D49" s="1656"/>
      <c r="E49" s="1657"/>
      <c r="F49" s="1658"/>
      <c r="G49" s="1656"/>
      <c r="H49" s="1659"/>
      <c r="I49" s="1658"/>
      <c r="J49" s="1656"/>
      <c r="K49" s="1657"/>
      <c r="L49" s="370"/>
    </row>
    <row r="50" spans="1:12" ht="5" customHeight="1">
      <c r="A50" s="273"/>
      <c r="B50" s="182"/>
      <c r="C50" s="203"/>
      <c r="D50" s="203"/>
      <c r="E50" s="204"/>
      <c r="F50" s="205"/>
      <c r="G50" s="203"/>
      <c r="H50" s="202"/>
      <c r="I50" s="205"/>
      <c r="J50" s="203"/>
      <c r="K50" s="204"/>
      <c r="L50" s="370"/>
    </row>
    <row r="51" spans="1:12" ht="17.25" customHeight="1">
      <c r="A51" s="249" t="s">
        <v>967</v>
      </c>
      <c r="B51" s="182"/>
      <c r="C51" s="218">
        <f>SUM(C52:C63)</f>
        <v>8995812.0500000007</v>
      </c>
      <c r="D51" s="218">
        <f t="shared" ref="D51:K51" si="9">SUM(D52:D63)</f>
        <v>12968920.17</v>
      </c>
      <c r="E51" s="219">
        <f t="shared" si="9"/>
        <v>12943779</v>
      </c>
      <c r="F51" s="220">
        <f t="shared" si="9"/>
        <v>13697206</v>
      </c>
      <c r="G51" s="218">
        <f t="shared" si="9"/>
        <v>11655850</v>
      </c>
      <c r="H51" s="217">
        <f t="shared" si="9"/>
        <v>11655850</v>
      </c>
      <c r="I51" s="220">
        <f t="shared" si="9"/>
        <v>56407861</v>
      </c>
      <c r="J51" s="218">
        <f t="shared" si="9"/>
        <v>58575174</v>
      </c>
      <c r="K51" s="219">
        <f t="shared" si="9"/>
        <v>61010741</v>
      </c>
      <c r="L51" s="370"/>
    </row>
    <row r="52" spans="1:12" ht="11.25" customHeight="1">
      <c r="A52" s="254" t="s">
        <v>632</v>
      </c>
      <c r="B52" s="182"/>
      <c r="C52" s="1620">
        <v>388314.34</v>
      </c>
      <c r="D52" s="1884">
        <v>666804.80000000005</v>
      </c>
      <c r="E52" s="1884">
        <v>376072</v>
      </c>
      <c r="F52" s="1935">
        <v>703479</v>
      </c>
      <c r="G52" s="1935">
        <v>400752</v>
      </c>
      <c r="H52" s="1935">
        <v>400752</v>
      </c>
      <c r="I52" s="1935">
        <v>1465742</v>
      </c>
      <c r="J52" s="1620">
        <v>1524372</v>
      </c>
      <c r="K52" s="1884">
        <v>1585346</v>
      </c>
      <c r="L52" s="1558"/>
    </row>
    <row r="53" spans="1:12" ht="11.25" customHeight="1">
      <c r="A53" s="254" t="s">
        <v>32</v>
      </c>
      <c r="B53" s="182">
        <v>10</v>
      </c>
      <c r="C53" s="1064">
        <f>C79</f>
        <v>0</v>
      </c>
      <c r="D53" s="1064">
        <f t="shared" ref="D53:K53" si="10">D79</f>
        <v>0</v>
      </c>
      <c r="E53" s="1065">
        <f t="shared" si="10"/>
        <v>0</v>
      </c>
      <c r="F53" s="1066">
        <f t="shared" si="10"/>
        <v>0</v>
      </c>
      <c r="G53" s="1064">
        <f t="shared" si="10"/>
        <v>0</v>
      </c>
      <c r="H53" s="1067">
        <f t="shared" si="10"/>
        <v>0</v>
      </c>
      <c r="I53" s="1066">
        <f t="shared" si="10"/>
        <v>0</v>
      </c>
      <c r="J53" s="1064">
        <f t="shared" si="10"/>
        <v>0</v>
      </c>
      <c r="K53" s="1065">
        <f t="shared" si="10"/>
        <v>0</v>
      </c>
      <c r="L53" s="370"/>
    </row>
    <row r="54" spans="1:12" ht="11.25" customHeight="1">
      <c r="A54" s="254" t="s">
        <v>1245</v>
      </c>
      <c r="B54" s="182"/>
      <c r="C54" s="1615"/>
      <c r="D54" s="1615"/>
      <c r="E54" s="1635"/>
      <c r="F54" s="1636"/>
      <c r="G54" s="1615"/>
      <c r="H54" s="1637"/>
      <c r="I54" s="1636"/>
      <c r="J54" s="1615"/>
      <c r="K54" s="1635"/>
      <c r="L54" s="1558"/>
    </row>
    <row r="55" spans="1:12" ht="11.25" customHeight="1">
      <c r="A55" s="254" t="s">
        <v>633</v>
      </c>
      <c r="B55" s="182"/>
      <c r="C55" s="1615"/>
      <c r="D55" s="1615"/>
      <c r="E55" s="1635"/>
      <c r="F55" s="1636"/>
      <c r="G55" s="1615"/>
      <c r="H55" s="1637"/>
      <c r="I55" s="1636"/>
      <c r="J55" s="1615"/>
      <c r="K55" s="1635"/>
      <c r="L55" s="1558"/>
    </row>
    <row r="56" spans="1:12" ht="11.25" customHeight="1">
      <c r="A56" s="254" t="s">
        <v>634</v>
      </c>
      <c r="B56" s="182"/>
      <c r="C56" s="1615"/>
      <c r="D56" s="1615"/>
      <c r="E56" s="1635"/>
      <c r="F56" s="1636"/>
      <c r="G56" s="1615"/>
      <c r="H56" s="1637"/>
      <c r="I56" s="1636"/>
      <c r="J56" s="1615"/>
      <c r="K56" s="1635"/>
      <c r="L56" s="1558"/>
    </row>
    <row r="57" spans="1:12" ht="11.25" customHeight="1">
      <c r="A57" s="254" t="s">
        <v>1246</v>
      </c>
      <c r="B57" s="182"/>
      <c r="C57" s="1615"/>
      <c r="D57" s="1615"/>
      <c r="E57" s="1635"/>
      <c r="F57" s="1636"/>
      <c r="G57" s="1615"/>
      <c r="H57" s="1637"/>
      <c r="I57" s="1636"/>
      <c r="J57" s="1615"/>
      <c r="K57" s="1635"/>
      <c r="L57" s="1558"/>
    </row>
    <row r="58" spans="1:12" ht="11.25" customHeight="1">
      <c r="A58" s="254" t="s">
        <v>1247</v>
      </c>
      <c r="B58" s="182"/>
      <c r="C58" s="1615"/>
      <c r="D58" s="1615"/>
      <c r="E58" s="1635"/>
      <c r="F58" s="1636"/>
      <c r="G58" s="1615"/>
      <c r="H58" s="1637"/>
      <c r="I58" s="1636"/>
      <c r="J58" s="1615"/>
      <c r="K58" s="1635"/>
      <c r="L58" s="1557"/>
    </row>
    <row r="59" spans="1:12" ht="11.25" customHeight="1">
      <c r="A59" s="254" t="s">
        <v>1525</v>
      </c>
      <c r="B59" s="182"/>
      <c r="C59" s="1615">
        <v>429710.71</v>
      </c>
      <c r="D59" s="1635">
        <v>945383.37</v>
      </c>
      <c r="E59" s="1635">
        <v>434975</v>
      </c>
      <c r="F59" s="1636">
        <v>997379</v>
      </c>
      <c r="G59" s="1636">
        <v>477662</v>
      </c>
      <c r="H59" s="1636">
        <v>477662</v>
      </c>
      <c r="I59" s="1636">
        <v>14037840</v>
      </c>
      <c r="J59" s="1615">
        <v>14599353</v>
      </c>
      <c r="K59" s="1635">
        <v>15183327</v>
      </c>
      <c r="L59" s="1558"/>
    </row>
    <row r="60" spans="1:12" ht="11.25" customHeight="1">
      <c r="A60" s="254" t="s">
        <v>322</v>
      </c>
      <c r="B60" s="182"/>
      <c r="C60" s="1615"/>
      <c r="D60" s="1635"/>
      <c r="E60" s="1635"/>
      <c r="F60" s="1636"/>
      <c r="G60" s="1615"/>
      <c r="H60" s="1637"/>
      <c r="I60" s="1636"/>
      <c r="J60" s="1615"/>
      <c r="K60" s="1635"/>
      <c r="L60" s="1558"/>
    </row>
    <row r="61" spans="1:12" ht="11.25" customHeight="1">
      <c r="A61" s="254" t="s">
        <v>321</v>
      </c>
      <c r="B61" s="182"/>
      <c r="C61" s="1615"/>
      <c r="D61" s="1635"/>
      <c r="E61" s="1635"/>
      <c r="F61" s="1636"/>
      <c r="G61" s="1615"/>
      <c r="H61" s="1637"/>
      <c r="I61" s="1636"/>
      <c r="J61" s="1615"/>
      <c r="K61" s="1635"/>
      <c r="L61" s="1558"/>
    </row>
    <row r="62" spans="1:12" ht="11.25" customHeight="1">
      <c r="A62" s="254" t="s">
        <v>635</v>
      </c>
      <c r="B62" s="182"/>
      <c r="C62" s="1615"/>
      <c r="D62" s="1635"/>
      <c r="E62" s="1635"/>
      <c r="F62" s="1636"/>
      <c r="G62" s="1615"/>
      <c r="H62" s="1637"/>
      <c r="I62" s="1636"/>
      <c r="J62" s="1615"/>
      <c r="K62" s="1635"/>
      <c r="L62" s="1558"/>
    </row>
    <row r="63" spans="1:12" ht="11.25" customHeight="1">
      <c r="A63" s="250" t="s">
        <v>293</v>
      </c>
      <c r="B63" s="182"/>
      <c r="C63" s="1656">
        <v>8177787</v>
      </c>
      <c r="D63" s="1657">
        <v>11356732</v>
      </c>
      <c r="E63" s="1657">
        <v>12132732</v>
      </c>
      <c r="F63" s="1658">
        <v>11996348</v>
      </c>
      <c r="G63" s="1658">
        <v>10777436</v>
      </c>
      <c r="H63" s="1658">
        <v>10777436</v>
      </c>
      <c r="I63" s="1658">
        <v>40904279</v>
      </c>
      <c r="J63" s="1656">
        <f>42540449-89000</f>
        <v>42451449</v>
      </c>
      <c r="K63" s="1657">
        <v>44242068</v>
      </c>
      <c r="L63" s="1558"/>
    </row>
    <row r="64" spans="1:12" ht="5" customHeight="1">
      <c r="A64" s="844"/>
      <c r="B64" s="182"/>
      <c r="C64" s="203"/>
      <c r="D64" s="203"/>
      <c r="E64" s="204"/>
      <c r="F64" s="205"/>
      <c r="G64" s="203"/>
      <c r="H64" s="202"/>
      <c r="I64" s="205"/>
      <c r="J64" s="203"/>
      <c r="K64" s="204"/>
      <c r="L64" s="370"/>
    </row>
    <row r="65" spans="1:12" ht="13.5" customHeight="1">
      <c r="A65" s="249" t="s">
        <v>1540</v>
      </c>
      <c r="B65" s="182"/>
      <c r="C65" s="203">
        <f>SUM(C66:C67)</f>
        <v>0</v>
      </c>
      <c r="D65" s="203">
        <f t="shared" ref="D65:K65" si="11">SUM(D66:D67)</f>
        <v>0</v>
      </c>
      <c r="E65" s="204">
        <f t="shared" si="11"/>
        <v>0</v>
      </c>
      <c r="F65" s="205">
        <f t="shared" si="11"/>
        <v>0</v>
      </c>
      <c r="G65" s="203">
        <f t="shared" si="11"/>
        <v>0</v>
      </c>
      <c r="H65" s="202">
        <f t="shared" si="11"/>
        <v>0</v>
      </c>
      <c r="I65" s="205">
        <f t="shared" si="11"/>
        <v>0</v>
      </c>
      <c r="J65" s="203">
        <f t="shared" si="11"/>
        <v>0</v>
      </c>
      <c r="K65" s="204">
        <f t="shared" si="11"/>
        <v>0</v>
      </c>
      <c r="L65" s="370"/>
    </row>
    <row r="66" spans="1:12" ht="11.25" customHeight="1">
      <c r="A66" s="1931" t="s">
        <v>1258</v>
      </c>
      <c r="B66" s="182"/>
      <c r="C66" s="1620"/>
      <c r="D66" s="1620"/>
      <c r="E66" s="1884"/>
      <c r="F66" s="1935"/>
      <c r="G66" s="1620"/>
      <c r="H66" s="1954"/>
      <c r="I66" s="1935"/>
      <c r="J66" s="1620"/>
      <c r="K66" s="1884"/>
      <c r="L66" s="370"/>
    </row>
    <row r="67" spans="1:12" ht="11.25" customHeight="1">
      <c r="A67" s="1931"/>
      <c r="B67" s="182"/>
      <c r="C67" s="1656"/>
      <c r="D67" s="1656"/>
      <c r="E67" s="1657"/>
      <c r="F67" s="1658"/>
      <c r="G67" s="1656"/>
      <c r="H67" s="1659"/>
      <c r="I67" s="1658"/>
      <c r="J67" s="1656"/>
      <c r="K67" s="1657"/>
      <c r="L67" s="370"/>
    </row>
    <row r="68" spans="1:12" ht="5" customHeight="1">
      <c r="A68" s="844"/>
      <c r="B68" s="182"/>
      <c r="C68" s="203"/>
      <c r="D68" s="203"/>
      <c r="E68" s="204"/>
      <c r="F68" s="205"/>
      <c r="G68" s="203"/>
      <c r="H68" s="202"/>
      <c r="I68" s="205"/>
      <c r="J68" s="203"/>
      <c r="K68" s="204"/>
      <c r="L68" s="370"/>
    </row>
    <row r="69" spans="1:12" ht="13.5" customHeight="1">
      <c r="A69" s="249" t="s">
        <v>136</v>
      </c>
      <c r="B69" s="182"/>
      <c r="C69" s="203">
        <f>SUM(C70:C71)</f>
        <v>0</v>
      </c>
      <c r="D69" s="203">
        <f t="shared" ref="D69:K69" si="12">SUM(D70:D71)</f>
        <v>0</v>
      </c>
      <c r="E69" s="204">
        <f t="shared" si="12"/>
        <v>0</v>
      </c>
      <c r="F69" s="205">
        <f t="shared" si="12"/>
        <v>0</v>
      </c>
      <c r="G69" s="203">
        <f t="shared" si="12"/>
        <v>0</v>
      </c>
      <c r="H69" s="202">
        <f t="shared" si="12"/>
        <v>0</v>
      </c>
      <c r="I69" s="205">
        <f t="shared" si="12"/>
        <v>0</v>
      </c>
      <c r="J69" s="203">
        <f t="shared" si="12"/>
        <v>0</v>
      </c>
      <c r="K69" s="204">
        <f t="shared" si="12"/>
        <v>0</v>
      </c>
      <c r="L69" s="370"/>
    </row>
    <row r="70" spans="1:12" ht="11.25" customHeight="1">
      <c r="A70" s="1931" t="s">
        <v>1258</v>
      </c>
      <c r="B70" s="182"/>
      <c r="C70" s="1620"/>
      <c r="D70" s="1620"/>
      <c r="E70" s="1884"/>
      <c r="F70" s="1935"/>
      <c r="G70" s="1620"/>
      <c r="H70" s="1954"/>
      <c r="I70" s="1935"/>
      <c r="J70" s="1620"/>
      <c r="K70" s="1884"/>
      <c r="L70" s="370"/>
    </row>
    <row r="71" spans="1:12" ht="11.25" customHeight="1">
      <c r="A71" s="1931"/>
      <c r="B71" s="182"/>
      <c r="C71" s="1656"/>
      <c r="D71" s="1656"/>
      <c r="E71" s="1657"/>
      <c r="F71" s="1658"/>
      <c r="G71" s="1656"/>
      <c r="H71" s="1659"/>
      <c r="I71" s="1658"/>
      <c r="J71" s="1656"/>
      <c r="K71" s="1657"/>
      <c r="L71" s="370"/>
    </row>
    <row r="72" spans="1:12" ht="5" customHeight="1">
      <c r="A72" s="273"/>
      <c r="B72" s="182"/>
      <c r="C72" s="203"/>
      <c r="D72" s="203"/>
      <c r="E72" s="204"/>
      <c r="F72" s="205"/>
      <c r="G72" s="203"/>
      <c r="H72" s="202"/>
      <c r="I72" s="205"/>
      <c r="J72" s="203"/>
      <c r="K72" s="204"/>
      <c r="L72" s="370"/>
    </row>
    <row r="73" spans="1:12" ht="17.25" customHeight="1">
      <c r="A73" s="249" t="s">
        <v>883</v>
      </c>
      <c r="B73" s="182"/>
      <c r="C73" s="203">
        <f>SUM(C74:C75)</f>
        <v>0</v>
      </c>
      <c r="D73" s="203">
        <f t="shared" ref="D73:K73" si="13">SUM(D74:D75)</f>
        <v>0</v>
      </c>
      <c r="E73" s="204">
        <f t="shared" si="13"/>
        <v>0</v>
      </c>
      <c r="F73" s="205">
        <f t="shared" si="13"/>
        <v>0</v>
      </c>
      <c r="G73" s="203">
        <f t="shared" si="13"/>
        <v>0</v>
      </c>
      <c r="H73" s="202">
        <f t="shared" si="13"/>
        <v>0</v>
      </c>
      <c r="I73" s="205">
        <f t="shared" si="13"/>
        <v>0</v>
      </c>
      <c r="J73" s="203">
        <f t="shared" si="13"/>
        <v>0</v>
      </c>
      <c r="K73" s="204">
        <f t="shared" si="13"/>
        <v>0</v>
      </c>
      <c r="L73" s="370"/>
    </row>
    <row r="74" spans="1:12" ht="11.25" customHeight="1">
      <c r="A74" s="254" t="s">
        <v>973</v>
      </c>
      <c r="B74" s="182"/>
      <c r="C74" s="1620"/>
      <c r="D74" s="1620"/>
      <c r="E74" s="1884"/>
      <c r="F74" s="1935"/>
      <c r="G74" s="1620"/>
      <c r="H74" s="1954"/>
      <c r="I74" s="1935"/>
      <c r="J74" s="1620"/>
      <c r="K74" s="1884"/>
      <c r="L74" s="370"/>
    </row>
    <row r="75" spans="1:12" ht="11.25" customHeight="1">
      <c r="A75" s="1904" t="s">
        <v>616</v>
      </c>
      <c r="B75" s="182"/>
      <c r="C75" s="1656"/>
      <c r="D75" s="1656"/>
      <c r="E75" s="1657"/>
      <c r="F75" s="1658"/>
      <c r="G75" s="1656"/>
      <c r="H75" s="1659"/>
      <c r="I75" s="1658"/>
      <c r="J75" s="1656"/>
      <c r="K75" s="1657"/>
      <c r="L75" s="370"/>
    </row>
    <row r="76" spans="1:12" ht="5" customHeight="1">
      <c r="A76" s="273"/>
      <c r="B76" s="182"/>
      <c r="C76" s="218"/>
      <c r="D76" s="218"/>
      <c r="E76" s="219"/>
      <c r="F76" s="220"/>
      <c r="G76" s="218"/>
      <c r="H76" s="217"/>
      <c r="I76" s="220"/>
      <c r="J76" s="218"/>
      <c r="K76" s="219"/>
      <c r="L76" s="370"/>
    </row>
    <row r="77" spans="1:12">
      <c r="A77" s="281" t="s">
        <v>2054</v>
      </c>
      <c r="B77" s="225">
        <v>1</v>
      </c>
      <c r="C77" s="230">
        <f t="shared" ref="C77:K77" si="14">C6+C27+C43+C47+C51+C73+C65+C69</f>
        <v>92876960.679999992</v>
      </c>
      <c r="D77" s="230">
        <f t="shared" si="14"/>
        <v>391703475.64000005</v>
      </c>
      <c r="E77" s="228">
        <f t="shared" si="14"/>
        <v>392919316</v>
      </c>
      <c r="F77" s="229">
        <f t="shared" si="14"/>
        <v>124317839</v>
      </c>
      <c r="G77" s="230">
        <f>G6+G27+G43+G47+G51+G73+G65+G69</f>
        <v>124619700</v>
      </c>
      <c r="H77" s="231">
        <f t="shared" si="14"/>
        <v>124619700</v>
      </c>
      <c r="I77" s="229">
        <f t="shared" si="14"/>
        <v>286184716</v>
      </c>
      <c r="J77" s="230">
        <f t="shared" si="14"/>
        <v>303458548</v>
      </c>
      <c r="K77" s="228">
        <f t="shared" si="14"/>
        <v>320986411</v>
      </c>
      <c r="L77" s="370"/>
    </row>
    <row r="78" spans="1:12">
      <c r="A78" s="1560"/>
      <c r="B78" s="652"/>
      <c r="C78" s="217"/>
      <c r="D78" s="217"/>
      <c r="E78" s="217"/>
      <c r="F78" s="217"/>
      <c r="G78" s="217"/>
      <c r="H78" s="217"/>
      <c r="I78" s="217"/>
      <c r="J78" s="217"/>
      <c r="K78" s="217"/>
      <c r="L78" s="370"/>
    </row>
    <row r="79" spans="1:12">
      <c r="A79" s="1561" t="s">
        <v>32</v>
      </c>
      <c r="B79" s="1562"/>
      <c r="C79" s="1302">
        <f t="shared" ref="C79:K79" si="15">SUM(C80:C83)</f>
        <v>0</v>
      </c>
      <c r="D79" s="1298">
        <f t="shared" si="15"/>
        <v>0</v>
      </c>
      <c r="E79" s="1563">
        <f t="shared" si="15"/>
        <v>0</v>
      </c>
      <c r="F79" s="1302">
        <f t="shared" si="15"/>
        <v>0</v>
      </c>
      <c r="G79" s="1298">
        <f t="shared" si="15"/>
        <v>0</v>
      </c>
      <c r="H79" s="1563">
        <f t="shared" si="15"/>
        <v>0</v>
      </c>
      <c r="I79" s="1302">
        <f t="shared" si="15"/>
        <v>0</v>
      </c>
      <c r="J79" s="1298">
        <f t="shared" si="15"/>
        <v>0</v>
      </c>
      <c r="K79" s="1563">
        <f t="shared" si="15"/>
        <v>0</v>
      </c>
      <c r="L79" s="370"/>
    </row>
    <row r="80" spans="1:12">
      <c r="A80" s="190" t="s">
        <v>1291</v>
      </c>
      <c r="B80" s="1564"/>
      <c r="C80" s="1617"/>
      <c r="D80" s="1615"/>
      <c r="E80" s="1618"/>
      <c r="F80" s="1617"/>
      <c r="G80" s="1615"/>
      <c r="H80" s="1618"/>
      <c r="I80" s="1617"/>
      <c r="J80" s="1615"/>
      <c r="K80" s="1618"/>
      <c r="L80" s="370"/>
    </row>
    <row r="81" spans="1:12">
      <c r="A81" s="190" t="s">
        <v>1526</v>
      </c>
      <c r="B81" s="1564"/>
      <c r="C81" s="1617"/>
      <c r="D81" s="1615"/>
      <c r="E81" s="1618"/>
      <c r="F81" s="1617"/>
      <c r="G81" s="1615"/>
      <c r="H81" s="1618"/>
      <c r="I81" s="1617"/>
      <c r="J81" s="1615"/>
      <c r="K81" s="1618"/>
      <c r="L81" s="370"/>
    </row>
    <row r="82" spans="1:12">
      <c r="A82" s="190" t="s">
        <v>1723</v>
      </c>
      <c r="B82" s="1564"/>
      <c r="C82" s="1617"/>
      <c r="D82" s="1615"/>
      <c r="E82" s="1618"/>
      <c r="F82" s="1617"/>
      <c r="G82" s="1615"/>
      <c r="H82" s="1618"/>
      <c r="I82" s="1617"/>
      <c r="J82" s="1615"/>
      <c r="K82" s="1618"/>
      <c r="L82" s="370"/>
    </row>
    <row r="83" spans="1:12">
      <c r="A83" s="1315" t="s">
        <v>1724</v>
      </c>
      <c r="B83" s="1565"/>
      <c r="C83" s="1693"/>
      <c r="D83" s="1689"/>
      <c r="E83" s="1961"/>
      <c r="F83" s="1693"/>
      <c r="G83" s="1689"/>
      <c r="H83" s="1961"/>
      <c r="I83" s="1693"/>
      <c r="J83" s="1689"/>
      <c r="K83" s="1961"/>
      <c r="L83" s="370"/>
    </row>
    <row r="84" spans="1:12" s="709" customFormat="1">
      <c r="A84" s="1262" t="str">
        <f>head27a</f>
        <v>References</v>
      </c>
      <c r="B84" s="1038"/>
      <c r="C84" s="1042"/>
      <c r="D84" s="1042"/>
      <c r="E84" s="1042"/>
      <c r="F84" s="1042"/>
      <c r="G84" s="1042"/>
      <c r="H84" s="1042"/>
      <c r="I84" s="1042"/>
      <c r="J84" s="1042"/>
      <c r="K84" s="1042"/>
      <c r="L84" s="1559"/>
    </row>
    <row r="85" spans="1:12" s="709" customFormat="1" ht="11.25" customHeight="1">
      <c r="A85" s="1263" t="s">
        <v>2229</v>
      </c>
      <c r="B85" s="1038"/>
      <c r="C85" s="1041"/>
      <c r="D85" s="1041"/>
      <c r="E85" s="1042"/>
      <c r="F85" s="1042"/>
      <c r="G85" s="1042"/>
      <c r="H85" s="1042"/>
      <c r="I85" s="1042"/>
      <c r="J85" s="1042"/>
      <c r="K85" s="1042"/>
    </row>
    <row r="86" spans="1:12" s="709" customFormat="1" ht="11.25" customHeight="1">
      <c r="A86" s="1263" t="s">
        <v>319</v>
      </c>
      <c r="B86" s="1038"/>
      <c r="C86" s="1041"/>
      <c r="D86" s="1041"/>
      <c r="E86" s="1042"/>
      <c r="F86" s="1042"/>
      <c r="G86" s="1042"/>
      <c r="H86" s="1042"/>
      <c r="I86" s="1042"/>
      <c r="J86" s="1042"/>
      <c r="K86" s="1042"/>
    </row>
    <row r="87" spans="1:12" s="709" customFormat="1" ht="11.25" customHeight="1">
      <c r="A87" s="1263" t="s">
        <v>916</v>
      </c>
      <c r="B87" s="1038"/>
      <c r="C87" s="1041"/>
      <c r="D87" s="1041"/>
      <c r="E87" s="1042"/>
      <c r="F87" s="1042"/>
      <c r="G87" s="1042"/>
      <c r="H87" s="1042"/>
      <c r="I87" s="1042"/>
      <c r="J87" s="1042"/>
      <c r="K87" s="1042"/>
    </row>
    <row r="88" spans="1:12" s="709" customFormat="1" ht="11.25" customHeight="1">
      <c r="A88" s="1263" t="s">
        <v>323</v>
      </c>
      <c r="B88" s="1038"/>
      <c r="C88" s="1041"/>
      <c r="D88" s="1041"/>
      <c r="E88" s="1042"/>
      <c r="F88" s="1042"/>
      <c r="G88" s="1042"/>
      <c r="H88" s="1042"/>
      <c r="I88" s="1042"/>
      <c r="J88" s="1042"/>
      <c r="K88" s="1042"/>
    </row>
    <row r="89" spans="1:12" s="709" customFormat="1" ht="11.25" customHeight="1">
      <c r="A89" s="1263" t="s">
        <v>133</v>
      </c>
      <c r="B89" s="1038"/>
      <c r="C89" s="1041"/>
      <c r="D89" s="1041"/>
      <c r="E89" s="1042"/>
      <c r="F89" s="1042"/>
      <c r="G89" s="1042"/>
      <c r="H89" s="1042"/>
      <c r="I89" s="1042"/>
      <c r="J89" s="1042"/>
      <c r="K89" s="1042"/>
    </row>
    <row r="90" spans="1:12" s="709" customFormat="1" ht="11.25" customHeight="1">
      <c r="A90" s="1263" t="s">
        <v>1664</v>
      </c>
      <c r="B90" s="1038"/>
      <c r="C90" s="1041"/>
      <c r="D90" s="1041"/>
      <c r="E90" s="1042"/>
      <c r="F90" s="1042"/>
      <c r="G90" s="1042"/>
      <c r="H90" s="1042"/>
      <c r="I90" s="1042"/>
      <c r="J90" s="1042"/>
      <c r="K90" s="1042"/>
    </row>
    <row r="91" spans="1:12" s="709" customFormat="1" ht="11.25" customHeight="1">
      <c r="A91" s="1516" t="s">
        <v>33</v>
      </c>
      <c r="B91" s="1038"/>
      <c r="C91" s="1041"/>
      <c r="D91" s="1041"/>
      <c r="E91" s="1042"/>
      <c r="F91" s="1042"/>
      <c r="G91" s="1042"/>
      <c r="H91" s="1042"/>
      <c r="I91" s="1042"/>
      <c r="J91" s="1042"/>
      <c r="K91" s="1042"/>
    </row>
    <row r="92" spans="1:12" s="709" customFormat="1" ht="11.25" customHeight="1">
      <c r="A92" s="1516" t="s">
        <v>1336</v>
      </c>
      <c r="B92" s="1038"/>
      <c r="C92" s="1041"/>
      <c r="D92" s="1041"/>
      <c r="E92" s="1042"/>
      <c r="F92" s="1042"/>
      <c r="G92" s="1042"/>
      <c r="H92" s="1042"/>
      <c r="I92" s="1042"/>
      <c r="J92" s="1042"/>
      <c r="K92" s="1042"/>
    </row>
    <row r="93" spans="1:12" s="709" customFormat="1" ht="11.25" customHeight="1">
      <c r="A93" s="1516" t="s">
        <v>1337</v>
      </c>
      <c r="B93" s="1038"/>
      <c r="C93" s="1041"/>
      <c r="D93" s="1041"/>
      <c r="E93" s="1042"/>
      <c r="F93" s="1042"/>
      <c r="G93" s="1042"/>
      <c r="H93" s="1042"/>
      <c r="I93" s="1042"/>
      <c r="J93" s="1042"/>
      <c r="K93" s="1042"/>
    </row>
    <row r="94" spans="1:12" s="709" customFormat="1" ht="11.25" customHeight="1">
      <c r="A94" s="1516" t="s">
        <v>388</v>
      </c>
      <c r="B94" s="1038"/>
      <c r="C94" s="1041"/>
      <c r="D94" s="1041"/>
      <c r="E94" s="1042"/>
      <c r="F94" s="1042"/>
      <c r="G94" s="1042"/>
      <c r="H94" s="1042"/>
      <c r="I94" s="1042"/>
      <c r="J94" s="1042"/>
      <c r="K94" s="1042"/>
    </row>
    <row r="95" spans="1:12" s="709" customFormat="1" ht="11.25" customHeight="1">
      <c r="A95" s="1060"/>
      <c r="B95" s="1038"/>
      <c r="C95" s="1041"/>
      <c r="D95" s="1041"/>
      <c r="E95" s="1042"/>
      <c r="F95" s="1042"/>
      <c r="G95" s="1042"/>
      <c r="H95" s="1042"/>
      <c r="I95" s="1042"/>
      <c r="J95" s="1042"/>
      <c r="K95" s="1042"/>
    </row>
    <row r="96" spans="1:12" ht="11.25" customHeight="1">
      <c r="A96" s="246"/>
      <c r="B96" s="236"/>
      <c r="C96" s="240"/>
      <c r="D96" s="240"/>
      <c r="E96" s="241"/>
      <c r="F96" s="241"/>
      <c r="G96" s="241"/>
      <c r="H96" s="241"/>
      <c r="I96" s="241"/>
      <c r="J96" s="241"/>
      <c r="K96" s="241"/>
    </row>
    <row r="97" spans="1:11" ht="11.25" customHeight="1">
      <c r="A97" s="288" t="s">
        <v>549</v>
      </c>
      <c r="B97" s="243"/>
      <c r="C97" s="255">
        <f>C77-'A4-FinPerf RE'!C28</f>
        <v>-16996939.320000008</v>
      </c>
      <c r="D97" s="255">
        <f>D77-'A4-FinPerf RE'!D28</f>
        <v>-11674653.359999955</v>
      </c>
      <c r="E97" s="255">
        <f>E77-'A4-FinPerf RE'!E28</f>
        <v>-10841234</v>
      </c>
      <c r="F97" s="255">
        <f>F77-'A4-FinPerf RE'!F28</f>
        <v>0</v>
      </c>
      <c r="G97" s="255">
        <f>G77-'A4-FinPerf RE'!G28</f>
        <v>-331</v>
      </c>
      <c r="H97" s="255">
        <f>H77-'A4-FinPerf RE'!H28</f>
        <v>-331</v>
      </c>
      <c r="I97" s="255">
        <f>I77-'A4-FinPerf RE'!J28</f>
        <v>1</v>
      </c>
      <c r="J97" s="255">
        <f>J77-'A4-FinPerf RE'!K28</f>
        <v>201</v>
      </c>
      <c r="K97" s="255">
        <f>K77-'A4-FinPerf RE'!L28</f>
        <v>0</v>
      </c>
    </row>
    <row r="98" spans="1:11" ht="11.25" customHeight="1"/>
    <row r="99" spans="1:11" ht="11.25" customHeight="1"/>
    <row r="100" spans="1:11" ht="11.25" customHeight="1"/>
    <row r="101" spans="1:11" ht="11.25" customHeight="1"/>
    <row r="102" spans="1:11" ht="11.25" customHeight="1"/>
    <row r="103" spans="1:11" ht="11.25" customHeight="1"/>
    <row r="104" spans="1:11" ht="11.25" customHeight="1"/>
    <row r="105" spans="1:11" ht="11.25" customHeight="1"/>
    <row r="106" spans="1:11" ht="11.25" customHeight="1"/>
    <row r="107" spans="1:11" ht="11.25" customHeight="1"/>
    <row r="108" spans="1:11" ht="11.25" customHeight="1"/>
    <row r="109" spans="1:11" ht="11.25" customHeight="1"/>
    <row r="110" spans="1:11" ht="11.25" customHeight="1"/>
    <row r="111" spans="1:11" ht="11.25" customHeight="1"/>
    <row r="112" spans="1:11"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sheetData>
  <sheetProtection sheet="1" objects="1" scenarios="1"/>
  <mergeCells count="2">
    <mergeCell ref="F2:H2"/>
    <mergeCell ref="I2:K2"/>
  </mergeCells>
  <pageMargins left="0.75" right="0.75" top="0.37" bottom="0.3" header="0.31" footer="0.22"/>
  <headerFooter alignWithMargins="0"/>
  <rowBreaks count="1" manualBreakCount="1">
    <brk id="78" max="10" man="1"/>
  </rowBreaks>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enableFormatConditionsCalculation="0">
    <tabColor indexed="42"/>
  </sheetPr>
  <dimension ref="A1:O147"/>
  <sheetViews>
    <sheetView showGridLines="0" workbookViewId="0">
      <pane xSplit="2" ySplit="3" topLeftCell="C55" activePane="bottomRight" state="frozen"/>
      <selection pane="topRight"/>
      <selection pane="bottomLeft"/>
      <selection pane="bottomRight" activeCell="C10" sqref="C10"/>
    </sheetView>
  </sheetViews>
  <sheetFormatPr baseColWidth="10" defaultColWidth="8.83203125" defaultRowHeight="10" x14ac:dyDescent="0"/>
  <cols>
    <col min="1" max="1" width="30.6640625" style="149" customWidth="1"/>
    <col min="2" max="2" width="3" style="247" customWidth="1"/>
    <col min="3" max="9" width="9.33203125" style="149" customWidth="1"/>
    <col min="10" max="10" width="9.5" style="149" customWidth="1"/>
    <col min="11" max="11" width="9.83203125" style="149" customWidth="1"/>
    <col min="12" max="14" width="9.5" style="149" customWidth="1"/>
    <col min="15" max="15" width="9.83203125" style="149" customWidth="1"/>
    <col min="16" max="18" width="9.5" style="149" customWidth="1"/>
    <col min="19" max="20" width="9.83203125" style="149" customWidth="1"/>
    <col min="21" max="16384" width="8.83203125" style="149"/>
  </cols>
  <sheetData>
    <row r="1" spans="1:10" ht="13.5" customHeight="1">
      <c r="A1" s="935" t="str">
        <f>muni&amp;" - "&amp;TableA35</f>
        <v>NW373 Rustenburg - Supporting Table SA35 Consolidated future financial implications of the capital budget</v>
      </c>
      <c r="B1" s="935"/>
      <c r="C1" s="935"/>
      <c r="D1" s="935"/>
      <c r="E1" s="935"/>
      <c r="F1" s="935"/>
      <c r="G1" s="935"/>
      <c r="H1" s="935"/>
      <c r="I1" s="935"/>
    </row>
    <row r="2" spans="1:10" ht="33.75" customHeight="1">
      <c r="A2" s="985" t="str">
        <f>Vdesc</f>
        <v>Vote Description</v>
      </c>
      <c r="B2" s="419" t="str">
        <f>head27</f>
        <v>Ref</v>
      </c>
      <c r="C2" s="2818" t="str">
        <f>Head3</f>
        <v>2013/14 Medium Term Revenue &amp; Expenditure Framework</v>
      </c>
      <c r="D2" s="2763"/>
      <c r="E2" s="2763"/>
      <c r="F2" s="2800" t="s">
        <v>879</v>
      </c>
      <c r="G2" s="2825"/>
      <c r="H2" s="2825"/>
      <c r="I2" s="2826"/>
    </row>
    <row r="3" spans="1:10" ht="20">
      <c r="A3" s="180" t="s">
        <v>667</v>
      </c>
      <c r="B3" s="990"/>
      <c r="C3" s="987" t="str">
        <f>Head9</f>
        <v>Budget Year 2013/14</v>
      </c>
      <c r="D3" s="390" t="str">
        <f>Head10</f>
        <v>Budget Year +1 2014/15</v>
      </c>
      <c r="E3" s="389" t="str">
        <f>Head11</f>
        <v>Budget Year +2 2015/16</v>
      </c>
      <c r="F3" s="1004" t="str">
        <f>Head12</f>
        <v>Forecast 2016/17</v>
      </c>
      <c r="G3" s="1005" t="str">
        <f>Head13</f>
        <v>Forecast 2017/18</v>
      </c>
      <c r="H3" s="1005" t="str">
        <f>Head14</f>
        <v>Forecast 2018/19</v>
      </c>
      <c r="I3" s="1006" t="str">
        <f>Head48</f>
        <v>Present value</v>
      </c>
    </row>
    <row r="4" spans="1:10">
      <c r="A4" s="249" t="s">
        <v>1512</v>
      </c>
      <c r="B4" s="749">
        <v>1</v>
      </c>
      <c r="C4" s="936"/>
      <c r="D4" s="936"/>
      <c r="E4" s="937"/>
      <c r="F4" s="313"/>
      <c r="G4" s="311"/>
      <c r="H4" s="311"/>
      <c r="I4" s="314"/>
      <c r="J4" s="370"/>
    </row>
    <row r="5" spans="1:10" ht="11.25" customHeight="1">
      <c r="A5" s="1174" t="str">
        <f>'A5-Capex'!A6</f>
        <v>Vote 1 - EXECUTIVE MAYOR</v>
      </c>
      <c r="B5" s="182"/>
      <c r="C5" s="1473">
        <f>'A5-Capex'!J6+'A5-Capex'!J24</f>
        <v>211000</v>
      </c>
      <c r="D5" s="1473">
        <f>'A5-Capex'!K6+'A5-Capex'!K24</f>
        <v>100000</v>
      </c>
      <c r="E5" s="1474">
        <f>'A5-Capex'!L6+'A5-Capex'!L24</f>
        <v>100000</v>
      </c>
      <c r="F5" s="1630">
        <v>2948250</v>
      </c>
      <c r="G5" s="1628">
        <v>3095663</v>
      </c>
      <c r="H5" s="1628">
        <v>3250446</v>
      </c>
      <c r="I5" s="1629">
        <v>3412968</v>
      </c>
      <c r="J5" s="370"/>
    </row>
    <row r="6" spans="1:10" ht="11.25" customHeight="1">
      <c r="A6" s="1174" t="str">
        <f>'A5-Capex'!A7</f>
        <v>Vote 2 - MUNICIPAL MANAGER</v>
      </c>
      <c r="B6" s="182"/>
      <c r="C6" s="1473">
        <f>'A5-Capex'!J7+'A5-Capex'!J25</f>
        <v>452650</v>
      </c>
      <c r="D6" s="1473">
        <f>'A5-Capex'!K7+'A5-Capex'!K25</f>
        <v>142200</v>
      </c>
      <c r="E6" s="1474">
        <f>'A5-Capex'!L7+'A5-Capex'!L25</f>
        <v>100000</v>
      </c>
      <c r="F6" s="1630">
        <v>629279942</v>
      </c>
      <c r="G6" s="1628">
        <v>660743939</v>
      </c>
      <c r="H6" s="1628">
        <v>693781136</v>
      </c>
      <c r="I6" s="1629">
        <v>728470193</v>
      </c>
      <c r="J6" s="370"/>
    </row>
    <row r="7" spans="1:10" ht="11.25" customHeight="1">
      <c r="A7" s="1174" t="str">
        <f>'A5-Capex'!A8</f>
        <v>Vote 3 - CORPORATE SUPPORT SERVICES</v>
      </c>
      <c r="B7" s="182"/>
      <c r="C7" s="1473">
        <f>'A5-Capex'!J8+'A5-Capex'!J26</f>
        <v>4785431</v>
      </c>
      <c r="D7" s="1473">
        <f>'A5-Capex'!K8+'A5-Capex'!K26</f>
        <v>4333648</v>
      </c>
      <c r="E7" s="1474">
        <f>'A5-Capex'!L8+'A5-Capex'!L26</f>
        <v>2525000</v>
      </c>
      <c r="F7" s="1630">
        <v>537600</v>
      </c>
      <c r="G7" s="1628">
        <v>564480</v>
      </c>
      <c r="H7" s="1628">
        <v>592704</v>
      </c>
      <c r="I7" s="1629">
        <v>622339</v>
      </c>
      <c r="J7" s="370"/>
    </row>
    <row r="8" spans="1:10" ht="11.25" customHeight="1">
      <c r="A8" s="1174" t="str">
        <f>'A5-Capex'!A9</f>
        <v>Vote 4 - BUDGET AND TREASURY OFFICE</v>
      </c>
      <c r="B8" s="182"/>
      <c r="C8" s="1473">
        <f>'A5-Capex'!J9+'A5-Capex'!J27</f>
        <v>380730</v>
      </c>
      <c r="D8" s="1473">
        <f>'A5-Capex'!K9+'A5-Capex'!K27</f>
        <v>320000</v>
      </c>
      <c r="E8" s="1474">
        <f>'A5-Capex'!L9+'A5-Capex'!L27</f>
        <v>310000</v>
      </c>
      <c r="F8" s="1630">
        <v>268800</v>
      </c>
      <c r="G8" s="1628">
        <v>282240</v>
      </c>
      <c r="H8" s="1628">
        <v>296352</v>
      </c>
      <c r="I8" s="1629">
        <v>311170</v>
      </c>
      <c r="J8" s="370"/>
    </row>
    <row r="9" spans="1:10" ht="11.25" customHeight="1">
      <c r="A9" s="1174" t="str">
        <f>'A5-Capex'!A10</f>
        <v>Vote 5 - PUBLIC SAFETY</v>
      </c>
      <c r="B9" s="182"/>
      <c r="C9" s="1473">
        <f>'A5-Capex'!J10+'A5-Capex'!J28</f>
        <v>9342550</v>
      </c>
      <c r="D9" s="1473">
        <f>'A5-Capex'!K10+'A5-Capex'!K28</f>
        <v>5854300</v>
      </c>
      <c r="E9" s="1474">
        <f>'A5-Capex'!L10+'A5-Capex'!L28</f>
        <v>374000</v>
      </c>
      <c r="F9" s="1630">
        <v>6521400</v>
      </c>
      <c r="G9" s="1628">
        <v>9997470</v>
      </c>
      <c r="H9" s="1628">
        <v>10497344</v>
      </c>
      <c r="I9" s="1629">
        <v>11022211</v>
      </c>
      <c r="J9" s="370"/>
    </row>
    <row r="10" spans="1:10" ht="11.25" customHeight="1">
      <c r="A10" s="1174" t="str">
        <f>'A5-Capex'!A11</f>
        <v>Vote 6 - PLANNING &amp; HUMAN SETTLEMENT</v>
      </c>
      <c r="B10" s="182"/>
      <c r="C10" s="1473">
        <f>'A5-Capex'!J11+'A5-Capex'!J29</f>
        <v>77080000</v>
      </c>
      <c r="D10" s="1473">
        <f>'A5-Capex'!K11+'A5-Capex'!K29</f>
        <v>36000000</v>
      </c>
      <c r="E10" s="1474">
        <f>'A5-Capex'!L11+'A5-Capex'!L29</f>
        <v>16000000</v>
      </c>
      <c r="F10" s="1630">
        <v>23520000</v>
      </c>
      <c r="G10" s="1628">
        <v>24696000</v>
      </c>
      <c r="H10" s="1628">
        <v>25930800</v>
      </c>
      <c r="I10" s="1629">
        <v>27227340</v>
      </c>
      <c r="J10" s="370"/>
    </row>
    <row r="11" spans="1:10" ht="11.25" customHeight="1">
      <c r="A11" s="1174" t="str">
        <f>'A5-Capex'!A12</f>
        <v xml:space="preserve">Vote 7 - LOCAL ECONOMIC DEVELOPMENT </v>
      </c>
      <c r="B11" s="182"/>
      <c r="C11" s="1473">
        <f>'A5-Capex'!J12+'A5-Capex'!J30</f>
        <v>5164000</v>
      </c>
      <c r="D11" s="1473">
        <f>'A5-Capex'!K12+'A5-Capex'!K30</f>
        <v>4080000</v>
      </c>
      <c r="E11" s="1474">
        <f>'A5-Capex'!L12+'A5-Capex'!L30</f>
        <v>4515000</v>
      </c>
      <c r="F11" s="1630">
        <v>1134853</v>
      </c>
      <c r="G11" s="1628">
        <v>1251176</v>
      </c>
      <c r="H11" s="1628">
        <v>1313735</v>
      </c>
      <c r="I11" s="1629">
        <v>1379422</v>
      </c>
      <c r="J11" s="370"/>
    </row>
    <row r="12" spans="1:10" ht="11.25" customHeight="1">
      <c r="A12" s="1174" t="str">
        <f>'A5-Capex'!A13</f>
        <v>Vote 8 - COMMUNITY DEVELOPMENT</v>
      </c>
      <c r="B12" s="182"/>
      <c r="C12" s="1473">
        <f>'A5-Capex'!J13+'A5-Capex'!J31</f>
        <v>12293500</v>
      </c>
      <c r="D12" s="1473">
        <f>'A5-Capex'!K13+'A5-Capex'!K31</f>
        <v>3938500</v>
      </c>
      <c r="E12" s="1474">
        <f>'A5-Capex'!L13+'A5-Capex'!L31</f>
        <v>3683000</v>
      </c>
      <c r="F12" s="1630">
        <v>5222175</v>
      </c>
      <c r="G12" s="1628">
        <v>5483284</v>
      </c>
      <c r="H12" s="1628">
        <v>5757448</v>
      </c>
      <c r="I12" s="1629">
        <v>6045320</v>
      </c>
      <c r="J12" s="370"/>
    </row>
    <row r="13" spans="1:10" ht="11.25" customHeight="1">
      <c r="A13" s="1174" t="str">
        <f>'A5-Capex'!A14</f>
        <v>Vote 9 - TECHNICAL AND INFRASTRUCTURE</v>
      </c>
      <c r="B13" s="182"/>
      <c r="C13" s="1473">
        <f>'A5-Capex'!J14+'A5-Capex'!J32</f>
        <v>1103949320</v>
      </c>
      <c r="D13" s="1473">
        <f>'A5-Capex'!K14+'A5-Capex'!K32</f>
        <v>1065653000</v>
      </c>
      <c r="E13" s="1474">
        <f>'A5-Capex'!L14+'A5-Capex'!L32</f>
        <v>1014273000</v>
      </c>
      <c r="F13" s="1630">
        <v>401273276</v>
      </c>
      <c r="G13" s="1628">
        <v>421336940</v>
      </c>
      <c r="H13" s="1628">
        <v>442403787</v>
      </c>
      <c r="I13" s="1629">
        <v>464523976</v>
      </c>
      <c r="J13" s="370"/>
    </row>
    <row r="14" spans="1:10" ht="11.25" customHeight="1">
      <c r="A14" s="1174" t="str">
        <f>'A5-Capex'!A15</f>
        <v>Vote 10 - RUSTENBURG WATER SERVICE TRUST</v>
      </c>
      <c r="B14" s="182"/>
      <c r="C14" s="1473">
        <f>'A5-Capex'!J15+'A5-Capex'!J33</f>
        <v>100000000</v>
      </c>
      <c r="D14" s="1473">
        <f>'A5-Capex'!K15+'A5-Capex'!K33</f>
        <v>690000000</v>
      </c>
      <c r="E14" s="1474">
        <f>'A5-Capex'!L15+'A5-Capex'!L33</f>
        <v>0</v>
      </c>
      <c r="F14" s="1630"/>
      <c r="G14" s="1628"/>
      <c r="H14" s="1628"/>
      <c r="I14" s="1629"/>
      <c r="J14" s="370"/>
    </row>
    <row r="15" spans="1:10" ht="11.25" customHeight="1">
      <c r="A15" s="1174" t="str">
        <f>'A5-Capex'!A16</f>
        <v>Vote 11 - [NAME OF VOTE 11]</v>
      </c>
      <c r="B15" s="182"/>
      <c r="C15" s="1473">
        <f>'A5-Capex'!J16+'A5-Capex'!J34</f>
        <v>0</v>
      </c>
      <c r="D15" s="1473">
        <f>'A5-Capex'!K16+'A5-Capex'!K34</f>
        <v>0</v>
      </c>
      <c r="E15" s="1474">
        <f>'A5-Capex'!L16+'A5-Capex'!L34</f>
        <v>0</v>
      </c>
      <c r="F15" s="1630"/>
      <c r="G15" s="1628"/>
      <c r="H15" s="1628"/>
      <c r="I15" s="1629"/>
      <c r="J15" s="370"/>
    </row>
    <row r="16" spans="1:10" ht="11.25" customHeight="1">
      <c r="A16" s="1174" t="str">
        <f>'A5-Capex'!A17</f>
        <v>Vote 12 - [NAME OF VOTE 12]</v>
      </c>
      <c r="B16" s="182"/>
      <c r="C16" s="1473">
        <f>'A5-Capex'!J17+'A5-Capex'!J35</f>
        <v>0</v>
      </c>
      <c r="D16" s="1473">
        <f>'A5-Capex'!K17+'A5-Capex'!K35</f>
        <v>0</v>
      </c>
      <c r="E16" s="1474">
        <f>'A5-Capex'!L17+'A5-Capex'!L35</f>
        <v>0</v>
      </c>
      <c r="F16" s="1630"/>
      <c r="G16" s="1628"/>
      <c r="H16" s="1628"/>
      <c r="I16" s="1629"/>
      <c r="J16" s="370"/>
    </row>
    <row r="17" spans="1:10" ht="11.25" customHeight="1">
      <c r="A17" s="1174" t="str">
        <f>'A5-Capex'!A18</f>
        <v>Vote 13 - [NAME OF VOTE 13]</v>
      </c>
      <c r="B17" s="182"/>
      <c r="C17" s="1473">
        <f>'A5-Capex'!J18+'A5-Capex'!J36</f>
        <v>0</v>
      </c>
      <c r="D17" s="1473">
        <f>'A5-Capex'!K18+'A5-Capex'!K36</f>
        <v>0</v>
      </c>
      <c r="E17" s="1474">
        <f>'A5-Capex'!L18+'A5-Capex'!L36</f>
        <v>0</v>
      </c>
      <c r="F17" s="1630"/>
      <c r="G17" s="1628"/>
      <c r="H17" s="1628"/>
      <c r="I17" s="1629"/>
      <c r="J17" s="370"/>
    </row>
    <row r="18" spans="1:10" ht="11.25" customHeight="1">
      <c r="A18" s="1174" t="str">
        <f>'A5-Capex'!A19</f>
        <v>Vote 14 - [NAME OF VOTE 14]</v>
      </c>
      <c r="B18" s="182"/>
      <c r="C18" s="1473">
        <f>'A5-Capex'!J19+'A5-Capex'!J37</f>
        <v>0</v>
      </c>
      <c r="D18" s="1473">
        <f>'A5-Capex'!K19+'A5-Capex'!K37</f>
        <v>0</v>
      </c>
      <c r="E18" s="1474">
        <f>'A5-Capex'!L19+'A5-Capex'!L37</f>
        <v>0</v>
      </c>
      <c r="F18" s="1630"/>
      <c r="G18" s="1628"/>
      <c r="H18" s="1628"/>
      <c r="I18" s="1629"/>
      <c r="J18" s="370"/>
    </row>
    <row r="19" spans="1:10" ht="11.25" customHeight="1">
      <c r="A19" s="1174" t="str">
        <f>'A5-Capex'!A20</f>
        <v>Vote 15 - [NAME OF VOTE 15]</v>
      </c>
      <c r="B19" s="182"/>
      <c r="C19" s="1473">
        <f>'A5-Capex'!J20+'A5-Capex'!J38</f>
        <v>0</v>
      </c>
      <c r="D19" s="1473">
        <f>'A5-Capex'!K20+'A5-Capex'!K38</f>
        <v>0</v>
      </c>
      <c r="E19" s="1474">
        <f>'A5-Capex'!L20+'A5-Capex'!L38</f>
        <v>0</v>
      </c>
      <c r="F19" s="1630"/>
      <c r="G19" s="1628"/>
      <c r="H19" s="1628"/>
      <c r="I19" s="1629"/>
      <c r="J19" s="370"/>
    </row>
    <row r="20" spans="1:10" ht="11.25" customHeight="1">
      <c r="A20" s="1931" t="s">
        <v>1490</v>
      </c>
      <c r="B20" s="182"/>
      <c r="C20" s="1628"/>
      <c r="D20" s="1628"/>
      <c r="E20" s="1631"/>
      <c r="F20" s="1630"/>
      <c r="G20" s="1628"/>
      <c r="H20" s="1628"/>
      <c r="I20" s="1629"/>
      <c r="J20" s="370"/>
    </row>
    <row r="21" spans="1:10" ht="11.25" customHeight="1">
      <c r="A21" s="1289" t="s">
        <v>38</v>
      </c>
      <c r="B21" s="182"/>
      <c r="C21" s="1353">
        <f>SUM(C5:C20)</f>
        <v>1313659181</v>
      </c>
      <c r="D21" s="1353">
        <f t="shared" ref="D21:I21" si="0">SUM(D5:D20)</f>
        <v>1810421648</v>
      </c>
      <c r="E21" s="1354">
        <f t="shared" si="0"/>
        <v>1041880000</v>
      </c>
      <c r="F21" s="1352">
        <f t="shared" si="0"/>
        <v>1070706296</v>
      </c>
      <c r="G21" s="1353">
        <f t="shared" si="0"/>
        <v>1127451192</v>
      </c>
      <c r="H21" s="1353">
        <f t="shared" si="0"/>
        <v>1183823752</v>
      </c>
      <c r="I21" s="1351">
        <f t="shared" si="0"/>
        <v>1243014939</v>
      </c>
      <c r="J21" s="370"/>
    </row>
    <row r="22" spans="1:10" ht="4.5" customHeight="1">
      <c r="A22" s="273"/>
      <c r="B22" s="182"/>
      <c r="C22" s="942"/>
      <c r="D22" s="942"/>
      <c r="E22" s="943"/>
      <c r="F22" s="944"/>
      <c r="G22" s="942"/>
      <c r="H22" s="942"/>
      <c r="I22" s="945"/>
      <c r="J22" s="370"/>
    </row>
    <row r="23" spans="1:10" ht="11.25" customHeight="1">
      <c r="A23" s="249" t="s">
        <v>880</v>
      </c>
      <c r="B23" s="182">
        <v>2</v>
      </c>
      <c r="C23" s="938"/>
      <c r="D23" s="938"/>
      <c r="E23" s="939"/>
      <c r="F23" s="940"/>
      <c r="G23" s="938"/>
      <c r="H23" s="938"/>
      <c r="I23" s="941"/>
      <c r="J23" s="370"/>
    </row>
    <row r="24" spans="1:10" ht="11.25" customHeight="1">
      <c r="A24" s="1174" t="str">
        <f>A5</f>
        <v>Vote 1 - EXECUTIVE MAYOR</v>
      </c>
      <c r="B24" s="182"/>
      <c r="C24" s="1628">
        <v>121263819.11200002</v>
      </c>
      <c r="D24" s="1628">
        <v>125807081.46895199</v>
      </c>
      <c r="E24" s="2537">
        <v>130584039.96624762</v>
      </c>
      <c r="F24" s="1630">
        <v>137113242</v>
      </c>
      <c r="G24" s="1628">
        <v>143968904</v>
      </c>
      <c r="H24" s="1628">
        <v>151167349</v>
      </c>
      <c r="I24" s="1629">
        <v>158725716</v>
      </c>
      <c r="J24" s="370"/>
    </row>
    <row r="25" spans="1:10" ht="11.25" customHeight="1">
      <c r="A25" s="1174" t="str">
        <f t="shared" ref="A25:A38" si="1">A6</f>
        <v>Vote 2 - MUNICIPAL MANAGER</v>
      </c>
      <c r="B25" s="182"/>
      <c r="C25" s="1628">
        <v>71699881.214000002</v>
      </c>
      <c r="D25" s="1628">
        <v>46250282.549194001</v>
      </c>
      <c r="E25" s="2537">
        <v>45248350.466186777</v>
      </c>
      <c r="F25" s="1630">
        <v>47510769</v>
      </c>
      <c r="G25" s="1628">
        <v>49886307</v>
      </c>
      <c r="H25" s="1628">
        <v>52380622</v>
      </c>
      <c r="I25" s="1629">
        <v>54999653</v>
      </c>
      <c r="J25" s="370"/>
    </row>
    <row r="26" spans="1:10" ht="11.25" customHeight="1">
      <c r="A26" s="1174" t="str">
        <f t="shared" si="1"/>
        <v>Vote 3 - CORPORATE SUPPORT SERVICES</v>
      </c>
      <c r="B26" s="182"/>
      <c r="C26" s="1628">
        <v>49100473.204000004</v>
      </c>
      <c r="D26" s="1628">
        <v>52169907.335484006</v>
      </c>
      <c r="E26" s="2537">
        <v>54774832.730303362</v>
      </c>
      <c r="F26" s="1630">
        <v>57513575</v>
      </c>
      <c r="G26" s="1628">
        <v>60389254</v>
      </c>
      <c r="H26" s="1628">
        <v>66579153</v>
      </c>
      <c r="I26" s="1629">
        <v>69908111</v>
      </c>
      <c r="J26" s="370"/>
    </row>
    <row r="27" spans="1:10" ht="11.25" customHeight="1">
      <c r="A27" s="1174" t="str">
        <f t="shared" si="1"/>
        <v>Vote 4 - BUDGET AND TREASURY OFFICE</v>
      </c>
      <c r="B27" s="182"/>
      <c r="C27" s="1628">
        <v>116709879.56999999</v>
      </c>
      <c r="D27" s="1628">
        <v>113703204.56747001</v>
      </c>
      <c r="E27" s="2537">
        <v>114696779.93976036</v>
      </c>
      <c r="F27" s="1630">
        <v>120431619</v>
      </c>
      <c r="G27" s="1628">
        <v>126453200</v>
      </c>
      <c r="H27" s="1628">
        <v>132775860</v>
      </c>
      <c r="I27" s="1629">
        <v>139414653</v>
      </c>
      <c r="J27" s="370"/>
    </row>
    <row r="28" spans="1:10" ht="11.25" customHeight="1">
      <c r="A28" s="1174" t="str">
        <f t="shared" si="1"/>
        <v>Vote 5 - PUBLIC SAFETY</v>
      </c>
      <c r="B28" s="182"/>
      <c r="C28" s="1628">
        <v>103924051.31800002</v>
      </c>
      <c r="D28" s="1628">
        <v>107874367.49657801</v>
      </c>
      <c r="E28" s="2537">
        <v>115063157.82883504</v>
      </c>
      <c r="F28" s="1630">
        <v>120816316</v>
      </c>
      <c r="G28" s="1628">
        <v>126857132</v>
      </c>
      <c r="H28" s="1628">
        <v>133199987</v>
      </c>
      <c r="I28" s="1629">
        <v>139859986</v>
      </c>
      <c r="J28" s="370"/>
    </row>
    <row r="29" spans="1:10" ht="11.25" customHeight="1">
      <c r="A29" s="1174" t="str">
        <f t="shared" si="1"/>
        <v>Vote 6 - PLANNING &amp; HUMAN SETTLEMENT</v>
      </c>
      <c r="B29" s="182"/>
      <c r="C29" s="1628">
        <v>39459781.755999997</v>
      </c>
      <c r="D29" s="1628">
        <v>39994175.356675997</v>
      </c>
      <c r="E29" s="2537">
        <v>42743638.845999993</v>
      </c>
      <c r="F29" s="1630">
        <v>44880821</v>
      </c>
      <c r="G29" s="1628">
        <v>47124862</v>
      </c>
      <c r="H29" s="1628">
        <v>49481105</v>
      </c>
      <c r="I29" s="1629">
        <v>51955160</v>
      </c>
      <c r="J29" s="370"/>
    </row>
    <row r="30" spans="1:10" ht="11.25" customHeight="1">
      <c r="A30" s="1174" t="str">
        <f t="shared" si="1"/>
        <v xml:space="preserve">Vote 7 - LOCAL ECONOMIC DEVELOPMENT </v>
      </c>
      <c r="B30" s="182"/>
      <c r="C30" s="1628">
        <v>23555900.052000001</v>
      </c>
      <c r="D30" s="1628">
        <v>16790268.773328003</v>
      </c>
      <c r="E30" s="2537">
        <v>16448042.979234288</v>
      </c>
      <c r="F30" s="1630">
        <v>17270445</v>
      </c>
      <c r="G30" s="1628">
        <v>18133967</v>
      </c>
      <c r="H30" s="1628">
        <v>19040665</v>
      </c>
      <c r="I30" s="1629">
        <v>19992698</v>
      </c>
      <c r="J30" s="370"/>
    </row>
    <row r="31" spans="1:10" ht="11.25" customHeight="1">
      <c r="A31" s="1174" t="str">
        <f t="shared" si="1"/>
        <v>Vote 8 - COMMUNITY DEVELOPMENT</v>
      </c>
      <c r="B31" s="182"/>
      <c r="C31" s="1628">
        <v>96347805.797999993</v>
      </c>
      <c r="D31" s="1628">
        <v>96919064.935657993</v>
      </c>
      <c r="E31" s="2537">
        <v>104153772.40608971</v>
      </c>
      <c r="F31" s="1630">
        <v>109361461</v>
      </c>
      <c r="G31" s="1628">
        <v>114829534</v>
      </c>
      <c r="H31" s="1628">
        <v>120571011</v>
      </c>
      <c r="I31" s="1629">
        <v>126599562</v>
      </c>
      <c r="J31" s="370"/>
    </row>
    <row r="32" spans="1:10" ht="11.25" customHeight="1">
      <c r="A32" s="1174" t="str">
        <f t="shared" si="1"/>
        <v>Vote 9 - TECHNICAL AND INFRASTRUCTURE</v>
      </c>
      <c r="B32" s="182"/>
      <c r="C32" s="1628">
        <v>1965084045.9319999</v>
      </c>
      <c r="D32" s="1628">
        <v>2251147522.436172</v>
      </c>
      <c r="E32" s="2537">
        <v>2571831891.6721401</v>
      </c>
      <c r="F32" s="1630">
        <v>2700423486</v>
      </c>
      <c r="G32" s="1628">
        <v>2835444661</v>
      </c>
      <c r="H32" s="1628">
        <v>2977216894</v>
      </c>
      <c r="I32" s="1629">
        <v>3126077739</v>
      </c>
      <c r="J32" s="370"/>
    </row>
    <row r="33" spans="1:15" ht="11.25" customHeight="1">
      <c r="A33" s="1174" t="str">
        <f t="shared" si="1"/>
        <v>Vote 10 - RUSTENBURG WATER SERVICE TRUST</v>
      </c>
      <c r="B33" s="182"/>
      <c r="C33" s="1628"/>
      <c r="D33" s="1628"/>
      <c r="E33" s="1631"/>
      <c r="F33" s="1630"/>
      <c r="G33" s="1628"/>
      <c r="H33" s="1628"/>
      <c r="I33" s="1629"/>
      <c r="J33" s="370"/>
    </row>
    <row r="34" spans="1:15" ht="11.25" customHeight="1">
      <c r="A34" s="1174" t="str">
        <f t="shared" si="1"/>
        <v>Vote 11 - [NAME OF VOTE 11]</v>
      </c>
      <c r="B34" s="182"/>
      <c r="C34" s="1628"/>
      <c r="D34" s="1628"/>
      <c r="E34" s="1631"/>
      <c r="F34" s="1630"/>
      <c r="G34" s="1628"/>
      <c r="H34" s="1628"/>
      <c r="I34" s="1629"/>
      <c r="J34" s="370"/>
    </row>
    <row r="35" spans="1:15" ht="11.25" customHeight="1">
      <c r="A35" s="1174" t="str">
        <f t="shared" si="1"/>
        <v>Vote 12 - [NAME OF VOTE 12]</v>
      </c>
      <c r="B35" s="182"/>
      <c r="C35" s="1628"/>
      <c r="D35" s="1628"/>
      <c r="E35" s="1631"/>
      <c r="F35" s="1630"/>
      <c r="G35" s="1628"/>
      <c r="H35" s="1628"/>
      <c r="I35" s="1629"/>
      <c r="J35" s="370"/>
    </row>
    <row r="36" spans="1:15" ht="11.25" customHeight="1">
      <c r="A36" s="1174" t="str">
        <f t="shared" si="1"/>
        <v>Vote 13 - [NAME OF VOTE 13]</v>
      </c>
      <c r="B36" s="182"/>
      <c r="C36" s="1628"/>
      <c r="D36" s="1628"/>
      <c r="E36" s="1631"/>
      <c r="F36" s="1630"/>
      <c r="G36" s="1628"/>
      <c r="H36" s="1628"/>
      <c r="I36" s="1629"/>
      <c r="J36" s="370"/>
    </row>
    <row r="37" spans="1:15" ht="11.25" customHeight="1">
      <c r="A37" s="1174" t="str">
        <f t="shared" si="1"/>
        <v>Vote 14 - [NAME OF VOTE 14]</v>
      </c>
      <c r="B37" s="182"/>
      <c r="C37" s="1628"/>
      <c r="D37" s="1628"/>
      <c r="E37" s="1631"/>
      <c r="F37" s="1630"/>
      <c r="G37" s="1628"/>
      <c r="H37" s="1628"/>
      <c r="I37" s="1629"/>
      <c r="J37" s="370"/>
      <c r="O37" s="370"/>
    </row>
    <row r="38" spans="1:15" ht="11.25" customHeight="1">
      <c r="A38" s="1174" t="str">
        <f t="shared" si="1"/>
        <v>Vote 15 - [NAME OF VOTE 15]</v>
      </c>
      <c r="B38" s="182"/>
      <c r="C38" s="1628"/>
      <c r="D38" s="1628"/>
      <c r="E38" s="1631"/>
      <c r="F38" s="1630"/>
      <c r="G38" s="1628"/>
      <c r="H38" s="1628"/>
      <c r="I38" s="1629"/>
      <c r="J38" s="370"/>
    </row>
    <row r="39" spans="1:15" ht="11.25" customHeight="1">
      <c r="A39" s="1931" t="s">
        <v>1490</v>
      </c>
      <c r="B39" s="182"/>
      <c r="C39" s="1628"/>
      <c r="D39" s="1628"/>
      <c r="E39" s="1631"/>
      <c r="F39" s="1630"/>
      <c r="G39" s="1628"/>
      <c r="H39" s="1628"/>
      <c r="I39" s="1629"/>
      <c r="J39" s="370"/>
    </row>
    <row r="40" spans="1:15">
      <c r="A40" s="265" t="s">
        <v>14</v>
      </c>
      <c r="B40" s="182"/>
      <c r="C40" s="1475">
        <f>SUM(C24:C39)</f>
        <v>2587145637.9559999</v>
      </c>
      <c r="D40" s="1475">
        <f t="shared" ref="D40:I40" si="2">SUM(D24:D39)</f>
        <v>2850655874.9195118</v>
      </c>
      <c r="E40" s="1476">
        <f t="shared" si="2"/>
        <v>3195544506.8347969</v>
      </c>
      <c r="F40" s="1477">
        <f t="shared" si="2"/>
        <v>3355321734</v>
      </c>
      <c r="G40" s="1475">
        <f t="shared" si="2"/>
        <v>3523087821</v>
      </c>
      <c r="H40" s="1475">
        <f t="shared" si="2"/>
        <v>3702412646</v>
      </c>
      <c r="I40" s="1478">
        <f t="shared" si="2"/>
        <v>3887533278</v>
      </c>
      <c r="J40" s="370"/>
    </row>
    <row r="41" spans="1:15" ht="4.5" customHeight="1">
      <c r="A41" s="273"/>
      <c r="B41" s="182"/>
      <c r="C41" s="938"/>
      <c r="D41" s="938"/>
      <c r="E41" s="939"/>
      <c r="F41" s="940"/>
      <c r="G41" s="938"/>
      <c r="H41" s="938"/>
      <c r="I41" s="941"/>
      <c r="J41" s="370"/>
    </row>
    <row r="42" spans="1:15" ht="11.25" customHeight="1">
      <c r="A42" s="249" t="s">
        <v>881</v>
      </c>
      <c r="B42" s="182">
        <v>3</v>
      </c>
      <c r="C42" s="938"/>
      <c r="D42" s="938"/>
      <c r="E42" s="939"/>
      <c r="F42" s="940"/>
      <c r="G42" s="938"/>
      <c r="H42" s="938"/>
      <c r="I42" s="941"/>
      <c r="J42" s="370"/>
    </row>
    <row r="43" spans="1:15" ht="11.25" customHeight="1">
      <c r="A43" s="1174" t="str">
        <f>'A4-FinPerf RE'!A5</f>
        <v>Property rates</v>
      </c>
      <c r="B43" s="182"/>
      <c r="C43" s="1628">
        <v>179459232</v>
      </c>
      <c r="D43" s="1628">
        <v>199813267</v>
      </c>
      <c r="E43" s="2537">
        <v>218444891</v>
      </c>
      <c r="F43" s="1630">
        <v>229367136</v>
      </c>
      <c r="G43" s="1628">
        <v>240835493</v>
      </c>
      <c r="H43" s="1628">
        <v>252877268</v>
      </c>
      <c r="I43" s="1629">
        <v>265521131</v>
      </c>
      <c r="J43" s="370"/>
    </row>
    <row r="44" spans="1:15" ht="11.25" customHeight="1">
      <c r="A44" s="1174" t="str">
        <f>'A4-FinPerf RE'!A6</f>
        <v>Property rates - penalties &amp; collection charges</v>
      </c>
      <c r="B44" s="182"/>
      <c r="C44" s="1628">
        <v>0</v>
      </c>
      <c r="D44" s="1628">
        <v>0</v>
      </c>
      <c r="E44" s="2537">
        <v>0</v>
      </c>
      <c r="F44" s="1630">
        <v>0</v>
      </c>
      <c r="G44" s="1628">
        <v>0</v>
      </c>
      <c r="H44" s="1628">
        <v>0</v>
      </c>
      <c r="I44" s="1629">
        <v>0</v>
      </c>
      <c r="J44" s="370"/>
    </row>
    <row r="45" spans="1:15" ht="11.25" customHeight="1">
      <c r="A45" s="1174" t="str">
        <f>'A4-FinPerf RE'!A7</f>
        <v>Service charges - electricity revenue</v>
      </c>
      <c r="B45" s="182"/>
      <c r="C45" s="1628">
        <v>1437891033</v>
      </c>
      <c r="D45" s="1628">
        <v>1636200102</v>
      </c>
      <c r="E45" s="2537">
        <v>1890595567</v>
      </c>
      <c r="F45" s="1630">
        <v>1985125345</v>
      </c>
      <c r="G45" s="1628">
        <v>2084381612</v>
      </c>
      <c r="H45" s="1628">
        <v>2188600693</v>
      </c>
      <c r="I45" s="1629">
        <v>2298030728</v>
      </c>
      <c r="J45" s="370"/>
    </row>
    <row r="46" spans="1:15" ht="11.25" customHeight="1">
      <c r="A46" s="1174" t="str">
        <f>'A4-FinPerf RE'!A8</f>
        <v>Service charges - water revenue</v>
      </c>
      <c r="B46" s="182"/>
      <c r="C46" s="1628">
        <v>294981689</v>
      </c>
      <c r="D46" s="1628">
        <v>323438692</v>
      </c>
      <c r="E46" s="2537">
        <v>354491802</v>
      </c>
      <c r="F46" s="1630">
        <v>372216392</v>
      </c>
      <c r="G46" s="1628">
        <v>390827212</v>
      </c>
      <c r="H46" s="1628">
        <v>410368573</v>
      </c>
      <c r="I46" s="1629">
        <v>430887002</v>
      </c>
      <c r="J46" s="370"/>
    </row>
    <row r="47" spans="1:15" ht="11.25" customHeight="1">
      <c r="A47" s="1174" t="str">
        <f>'A4-FinPerf RE'!A9</f>
        <v>Service charges - sanitation revenue</v>
      </c>
      <c r="B47" s="182"/>
      <c r="C47" s="1628">
        <v>70591584</v>
      </c>
      <c r="D47" s="1628">
        <v>79109795</v>
      </c>
      <c r="E47" s="2537">
        <v>88145161</v>
      </c>
      <c r="F47" s="1630">
        <v>92552419</v>
      </c>
      <c r="G47" s="1628">
        <v>97180040</v>
      </c>
      <c r="H47" s="1628">
        <v>102039042</v>
      </c>
      <c r="I47" s="1629">
        <v>107140994</v>
      </c>
      <c r="J47" s="370"/>
    </row>
    <row r="48" spans="1:15" ht="11.25" customHeight="1">
      <c r="A48" s="1174" t="str">
        <f>'A4-FinPerf RE'!A10</f>
        <v>Service charges - refuse revenue</v>
      </c>
      <c r="B48" s="182"/>
      <c r="C48" s="1628">
        <v>73781553</v>
      </c>
      <c r="D48" s="1628">
        <v>81961474</v>
      </c>
      <c r="E48" s="2537">
        <v>90669021</v>
      </c>
      <c r="F48" s="1630">
        <v>95202472</v>
      </c>
      <c r="G48" s="1628">
        <v>99962596</v>
      </c>
      <c r="H48" s="1628">
        <v>104960726</v>
      </c>
      <c r="I48" s="1629">
        <v>110208762</v>
      </c>
      <c r="J48" s="370"/>
    </row>
    <row r="49" spans="1:10" ht="11.25" customHeight="1">
      <c r="A49" s="1174" t="str">
        <f>'A4-FinPerf RE'!A11</f>
        <v>Service charges - other</v>
      </c>
      <c r="B49" s="182"/>
      <c r="C49" s="1628">
        <v>1056934</v>
      </c>
      <c r="D49" s="1628">
        <v>1109781</v>
      </c>
      <c r="E49" s="2537">
        <v>1165270</v>
      </c>
      <c r="F49" s="1630">
        <v>1223534</v>
      </c>
      <c r="G49" s="1628">
        <v>1284711</v>
      </c>
      <c r="H49" s="1628">
        <v>1348947</v>
      </c>
      <c r="I49" s="1629">
        <v>1416394</v>
      </c>
      <c r="J49" s="370"/>
    </row>
    <row r="50" spans="1:10" ht="11.25" customHeight="1">
      <c r="A50" s="1174" t="str">
        <f>'A4-FinPerf RE'!A12</f>
        <v>Rental of facilities and equipment</v>
      </c>
      <c r="B50" s="182"/>
      <c r="C50" s="1628">
        <v>10108888</v>
      </c>
      <c r="D50" s="1628">
        <v>10432274</v>
      </c>
      <c r="E50" s="2537">
        <v>10769957</v>
      </c>
      <c r="F50" s="1630">
        <v>11308455</v>
      </c>
      <c r="G50" s="1628">
        <v>11873878</v>
      </c>
      <c r="H50" s="1628">
        <v>12467572</v>
      </c>
      <c r="I50" s="1629">
        <v>13090951</v>
      </c>
      <c r="J50" s="370"/>
    </row>
    <row r="51" spans="1:10" ht="11.25" customHeight="1">
      <c r="A51" s="1931" t="s">
        <v>3950</v>
      </c>
      <c r="B51" s="182"/>
      <c r="C51" s="1628">
        <v>617901946</v>
      </c>
      <c r="D51" s="1628">
        <v>612833214</v>
      </c>
      <c r="E51" s="2537">
        <v>549128874</v>
      </c>
      <c r="F51" s="1630">
        <v>576585318</v>
      </c>
      <c r="G51" s="1628">
        <v>605414584</v>
      </c>
      <c r="H51" s="1628">
        <v>635685313</v>
      </c>
      <c r="I51" s="1629">
        <v>667469579</v>
      </c>
      <c r="J51" s="370"/>
    </row>
    <row r="52" spans="1:10" ht="11.25" customHeight="1">
      <c r="A52" s="1931" t="s">
        <v>1490</v>
      </c>
      <c r="B52" s="182"/>
      <c r="C52" s="1628"/>
      <c r="D52" s="1628"/>
      <c r="E52" s="1631"/>
      <c r="F52" s="1630"/>
      <c r="G52" s="1628"/>
      <c r="H52" s="1628"/>
      <c r="I52" s="1629"/>
      <c r="J52" s="370"/>
    </row>
    <row r="53" spans="1:10">
      <c r="A53" s="265" t="s">
        <v>124</v>
      </c>
      <c r="B53" s="182"/>
      <c r="C53" s="1475">
        <f>SUM(C43:C52)</f>
        <v>2685772859</v>
      </c>
      <c r="D53" s="1475">
        <f t="shared" ref="D53:I53" si="3">SUM(D43:D52)</f>
        <v>2944898599</v>
      </c>
      <c r="E53" s="1476">
        <f t="shared" si="3"/>
        <v>3203410543</v>
      </c>
      <c r="F53" s="1477">
        <f t="shared" si="3"/>
        <v>3363581071</v>
      </c>
      <c r="G53" s="1475">
        <f t="shared" si="3"/>
        <v>3531760126</v>
      </c>
      <c r="H53" s="1475">
        <f t="shared" si="3"/>
        <v>3708348134</v>
      </c>
      <c r="I53" s="1478">
        <f t="shared" si="3"/>
        <v>3893765541</v>
      </c>
      <c r="J53" s="370"/>
    </row>
    <row r="54" spans="1:10">
      <c r="A54" s="281" t="s">
        <v>882</v>
      </c>
      <c r="B54" s="225"/>
      <c r="C54" s="227">
        <f t="shared" ref="C54:I54" si="4">C21+C40-C53</f>
        <v>1215031959.9559999</v>
      </c>
      <c r="D54" s="227">
        <f t="shared" si="4"/>
        <v>1716178923.9195118</v>
      </c>
      <c r="E54" s="226">
        <f t="shared" si="4"/>
        <v>1034013963.8347969</v>
      </c>
      <c r="F54" s="353">
        <f t="shared" si="4"/>
        <v>1062446959</v>
      </c>
      <c r="G54" s="227">
        <f t="shared" si="4"/>
        <v>1118778887</v>
      </c>
      <c r="H54" s="227">
        <f t="shared" si="4"/>
        <v>1177888264</v>
      </c>
      <c r="I54" s="352">
        <f t="shared" si="4"/>
        <v>1236782676</v>
      </c>
      <c r="J54" s="370"/>
    </row>
    <row r="55" spans="1:10" s="709" customFormat="1" ht="11.25" customHeight="1">
      <c r="A55" s="1262" t="str">
        <f>head27a</f>
        <v>References</v>
      </c>
      <c r="B55" s="1083"/>
      <c r="C55" s="1079"/>
      <c r="D55" s="1079"/>
      <c r="E55" s="1079"/>
      <c r="F55" s="1079"/>
      <c r="G55" s="1079"/>
      <c r="H55" s="1079"/>
      <c r="I55" s="1079"/>
    </row>
    <row r="56" spans="1:10" s="709" customFormat="1" ht="11.25" customHeight="1">
      <c r="A56" s="1263" t="s">
        <v>19</v>
      </c>
      <c r="B56" s="1079"/>
      <c r="C56" s="1079"/>
      <c r="D56" s="1079"/>
      <c r="E56" s="1079"/>
      <c r="F56" s="1079"/>
      <c r="G56" s="1079"/>
      <c r="H56" s="1079"/>
      <c r="I56" s="1079"/>
    </row>
    <row r="57" spans="1:10" s="709" customFormat="1" ht="11.25" customHeight="1">
      <c r="A57" s="1263" t="s">
        <v>20</v>
      </c>
      <c r="B57" s="1079"/>
      <c r="C57" s="1079"/>
      <c r="D57" s="1079"/>
      <c r="E57" s="1079"/>
      <c r="F57" s="1079"/>
      <c r="G57" s="1079"/>
      <c r="H57" s="1079"/>
      <c r="I57" s="1079"/>
    </row>
    <row r="58" spans="1:10" s="709" customFormat="1" ht="11.25" customHeight="1">
      <c r="A58" s="1428" t="s">
        <v>1489</v>
      </c>
      <c r="B58" s="1089"/>
      <c r="C58" s="1089"/>
      <c r="D58" s="1089"/>
      <c r="E58" s="1089"/>
      <c r="F58" s="1089"/>
      <c r="G58" s="1089"/>
      <c r="H58" s="1089"/>
      <c r="I58" s="1089"/>
    </row>
    <row r="59" spans="1:10" ht="11.25" customHeight="1">
      <c r="B59" s="149"/>
    </row>
    <row r="60" spans="1:10">
      <c r="A60" s="437" t="s">
        <v>1524</v>
      </c>
      <c r="B60" s="149"/>
      <c r="C60" s="939">
        <f>C21-('A5-Capex'!J21+'A5-Capex'!J39)</f>
        <v>0</v>
      </c>
      <c r="D60" s="939">
        <f>D21-('A5-Capex'!K21+'A5-Capex'!K39)</f>
        <v>0</v>
      </c>
      <c r="E60" s="939">
        <f>E21-('A5-Capex'!L21+'A5-Capex'!L39)</f>
        <v>0</v>
      </c>
      <c r="F60" s="370"/>
    </row>
    <row r="61" spans="1:10" ht="11.25" customHeight="1">
      <c r="B61" s="149"/>
    </row>
    <row r="62" spans="1:10" ht="11.25" customHeight="1">
      <c r="B62" s="149"/>
    </row>
    <row r="63" spans="1:10" ht="11.25" customHeight="1">
      <c r="B63" s="149"/>
    </row>
    <row r="64" spans="1:10" ht="11.25" customHeight="1">
      <c r="B64" s="149"/>
    </row>
    <row r="65" spans="2:2" ht="11.25" customHeight="1">
      <c r="B65" s="149"/>
    </row>
    <row r="66" spans="2:2" ht="11.25" customHeight="1">
      <c r="B66" s="149"/>
    </row>
    <row r="67" spans="2:2" ht="11.25" customHeight="1">
      <c r="B67" s="149"/>
    </row>
    <row r="68" spans="2:2" ht="11.25" customHeight="1">
      <c r="B68" s="149"/>
    </row>
    <row r="69" spans="2:2" ht="11.25" customHeight="1">
      <c r="B69" s="149"/>
    </row>
    <row r="70" spans="2:2" ht="11.25" customHeight="1">
      <c r="B70" s="149"/>
    </row>
    <row r="71" spans="2:2" ht="11.25" customHeight="1">
      <c r="B71" s="149"/>
    </row>
    <row r="72" spans="2:2" ht="11.25" customHeight="1">
      <c r="B72" s="149"/>
    </row>
    <row r="73" spans="2:2" ht="11.25" customHeight="1">
      <c r="B73" s="149"/>
    </row>
    <row r="74" spans="2:2" ht="11.25" customHeight="1">
      <c r="B74" s="149"/>
    </row>
    <row r="75" spans="2:2" ht="11.25" customHeight="1">
      <c r="B75" s="149"/>
    </row>
    <row r="76" spans="2:2" ht="11.25" customHeight="1">
      <c r="B76" s="149"/>
    </row>
    <row r="77" spans="2:2" ht="11.25" customHeight="1">
      <c r="B77" s="149"/>
    </row>
    <row r="78" spans="2:2">
      <c r="B78" s="149"/>
    </row>
    <row r="79" spans="2:2" ht="11.25" customHeight="1">
      <c r="B79" s="149"/>
    </row>
    <row r="80" spans="2:2" ht="11.25" customHeight="1">
      <c r="B80" s="149"/>
    </row>
    <row r="81" spans="2:9" ht="11.25" customHeight="1">
      <c r="B81" s="149"/>
    </row>
    <row r="82" spans="2:9" ht="11.25" customHeight="1">
      <c r="B82" s="149"/>
    </row>
    <row r="83" spans="2:9" ht="11.25" customHeight="1">
      <c r="B83" s="149"/>
    </row>
    <row r="84" spans="2:9" ht="11.25" customHeight="1">
      <c r="B84" s="149"/>
    </row>
    <row r="85" spans="2:9" ht="6" customHeight="1">
      <c r="B85" s="149"/>
    </row>
    <row r="86" spans="2:9" ht="11.25" customHeight="1">
      <c r="B86" s="149"/>
    </row>
    <row r="87" spans="2:9" ht="11.25" customHeight="1">
      <c r="B87" s="149"/>
    </row>
    <row r="88" spans="2:9" ht="11.25" customHeight="1">
      <c r="B88" s="149"/>
    </row>
    <row r="89" spans="2:9" ht="11.25" customHeight="1">
      <c r="B89" s="149"/>
    </row>
    <row r="90" spans="2:9" ht="11.25" customHeight="1">
      <c r="B90" s="149"/>
    </row>
    <row r="91" spans="2:9" ht="11.25" customHeight="1">
      <c r="B91" s="149"/>
    </row>
    <row r="92" spans="2:9" ht="11.25" customHeight="1">
      <c r="B92" s="149"/>
    </row>
    <row r="93" spans="2:9" ht="11.25" customHeight="1">
      <c r="B93" s="149"/>
    </row>
    <row r="94" spans="2:9" ht="11.25" customHeight="1">
      <c r="B94" s="149"/>
    </row>
    <row r="95" spans="2:9" ht="11.25" customHeight="1">
      <c r="B95" s="149"/>
    </row>
    <row r="96" spans="2:9" ht="11.25" customHeight="1">
      <c r="B96" s="149"/>
      <c r="I96" s="334"/>
    </row>
    <row r="97" spans="1:8" ht="11.25" customHeight="1">
      <c r="B97" s="149"/>
    </row>
    <row r="98" spans="1:8" ht="11.25" customHeight="1">
      <c r="B98" s="149"/>
    </row>
    <row r="99" spans="1:8" ht="11.25" customHeight="1">
      <c r="B99" s="149"/>
    </row>
    <row r="100" spans="1:8">
      <c r="B100" s="149"/>
    </row>
    <row r="101" spans="1:8">
      <c r="B101" s="149"/>
    </row>
    <row r="102" spans="1:8" ht="11.25" customHeight="1">
      <c r="B102" s="149"/>
    </row>
    <row r="103" spans="1:8">
      <c r="B103" s="149"/>
    </row>
    <row r="104" spans="1:8">
      <c r="B104" s="149"/>
    </row>
    <row r="105" spans="1:8">
      <c r="B105" s="149"/>
    </row>
    <row r="106" spans="1:8">
      <c r="B106" s="149"/>
    </row>
    <row r="107" spans="1:8" ht="11.25" customHeight="1">
      <c r="B107" s="149"/>
    </row>
    <row r="108" spans="1:8" s="335" customFormat="1" ht="11.25" customHeight="1">
      <c r="A108" s="149"/>
      <c r="B108" s="149"/>
      <c r="C108" s="149"/>
      <c r="D108" s="149"/>
      <c r="E108" s="149"/>
      <c r="F108" s="149"/>
      <c r="G108" s="149"/>
      <c r="H108" s="149"/>
    </row>
    <row r="109" spans="1:8" ht="11.25" customHeight="1">
      <c r="B109" s="149"/>
    </row>
    <row r="110" spans="1:8" ht="11.25" customHeight="1">
      <c r="B110" s="149"/>
    </row>
    <row r="111" spans="1:8" ht="11.25" customHeight="1">
      <c r="B111" s="149"/>
    </row>
    <row r="112" spans="1:8" ht="11.25" customHeight="1">
      <c r="B112" s="149"/>
    </row>
    <row r="113" spans="2:2" ht="11.25" customHeight="1">
      <c r="B113" s="149"/>
    </row>
    <row r="114" spans="2:2" ht="11.25" customHeight="1">
      <c r="B114" s="149"/>
    </row>
    <row r="115" spans="2:2" ht="11.25" customHeight="1">
      <c r="B115" s="149"/>
    </row>
    <row r="116" spans="2:2" ht="11.25" customHeight="1">
      <c r="B116" s="149"/>
    </row>
    <row r="117" spans="2:2" ht="11.25" customHeight="1">
      <c r="B117" s="149"/>
    </row>
    <row r="118" spans="2:2" ht="11.25" customHeight="1">
      <c r="B118" s="149"/>
    </row>
    <row r="119" spans="2:2" ht="11.25" customHeight="1">
      <c r="B119" s="149"/>
    </row>
    <row r="120" spans="2:2" ht="11.25" customHeight="1">
      <c r="B120" s="149"/>
    </row>
    <row r="121" spans="2:2" ht="11.25" customHeight="1">
      <c r="B121" s="149"/>
    </row>
    <row r="122" spans="2:2" ht="11.25" customHeight="1">
      <c r="B122" s="149"/>
    </row>
    <row r="123" spans="2:2" ht="11.25" customHeight="1">
      <c r="B123" s="149"/>
    </row>
    <row r="124" spans="2:2" ht="11.25" customHeight="1"/>
    <row r="125" spans="2:2" ht="11.25" customHeight="1"/>
    <row r="126" spans="2:2" ht="11.25" customHeight="1"/>
    <row r="127" spans="2:2" ht="11.25" customHeight="1"/>
    <row r="128" spans="2:2"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sheetData>
  <sheetProtection sheet="1" objects="1" scenarios="1"/>
  <mergeCells count="2">
    <mergeCell ref="F2:I2"/>
    <mergeCell ref="C2:E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enableFormatConditionsCalculation="0">
    <tabColor indexed="42"/>
    <pageSetUpPr fitToPage="1"/>
  </sheetPr>
  <dimension ref="A1:Q1759"/>
  <sheetViews>
    <sheetView showGridLines="0" workbookViewId="0">
      <pane xSplit="3" ySplit="3" topLeftCell="G587" activePane="bottomRight" state="frozen"/>
      <selection pane="topRight"/>
      <selection pane="bottomLeft"/>
      <selection pane="bottomRight" activeCell="M604" sqref="M604"/>
    </sheetView>
  </sheetViews>
  <sheetFormatPr baseColWidth="10" defaultColWidth="8.83203125" defaultRowHeight="10" x14ac:dyDescent="0"/>
  <cols>
    <col min="1" max="1" width="23.5" style="149" customWidth="1"/>
    <col min="2" max="2" width="3" style="247" customWidth="1"/>
    <col min="3" max="3" width="23.5" style="149" customWidth="1"/>
    <col min="4" max="4" width="6.5" style="149" bestFit="1" customWidth="1"/>
    <col min="5" max="5" width="4.5" style="149" customWidth="1"/>
    <col min="6" max="6" width="20.5" style="149" customWidth="1"/>
    <col min="7" max="8" width="23.5" style="149" customWidth="1"/>
    <col min="9" max="9" width="17.6640625" style="149" customWidth="1"/>
    <col min="10" max="15" width="9.33203125" style="149" customWidth="1"/>
    <col min="16" max="16" width="12.1640625" style="149" customWidth="1"/>
    <col min="17" max="17" width="9.33203125" style="149" customWidth="1"/>
    <col min="18" max="18" width="9.83203125" style="149" customWidth="1"/>
    <col min="19" max="19" width="9.5" style="149" customWidth="1"/>
    <col min="20" max="20" width="9.83203125" style="149" customWidth="1"/>
    <col min="21" max="23" width="9.5" style="149" customWidth="1"/>
    <col min="24" max="24" width="9.83203125" style="149" customWidth="1"/>
    <col min="25" max="27" width="9.5" style="149" customWidth="1"/>
    <col min="28" max="29" width="9.83203125" style="149" customWidth="1"/>
    <col min="30" max="16384" width="8.83203125" style="149"/>
  </cols>
  <sheetData>
    <row r="1" spans="1:17" ht="13.5" customHeight="1">
      <c r="A1" s="147" t="str">
        <f>muni&amp;" - "&amp;TableA36</f>
        <v>NW373 Rustenburg - Supporting Table SA36 Consolidated detailed capital budget</v>
      </c>
      <c r="B1" s="147"/>
      <c r="C1" s="147"/>
      <c r="D1" s="147"/>
      <c r="E1" s="147"/>
      <c r="F1" s="147"/>
      <c r="G1" s="147"/>
      <c r="H1" s="147"/>
      <c r="I1" s="147"/>
      <c r="J1" s="147"/>
      <c r="K1" s="147"/>
      <c r="L1" s="147"/>
      <c r="M1" s="147"/>
      <c r="N1" s="147"/>
      <c r="O1" s="147"/>
      <c r="P1" s="147"/>
      <c r="Q1" s="147"/>
    </row>
    <row r="2" spans="1:17" ht="33.75" customHeight="1">
      <c r="A2" s="985" t="s">
        <v>968</v>
      </c>
      <c r="B2" s="419" t="str">
        <f>head27</f>
        <v>Ref</v>
      </c>
      <c r="C2" s="2812" t="s">
        <v>1068</v>
      </c>
      <c r="D2" s="2812" t="s">
        <v>1363</v>
      </c>
      <c r="E2" s="2812" t="s">
        <v>2008</v>
      </c>
      <c r="F2" s="2458" t="s">
        <v>2256</v>
      </c>
      <c r="G2" s="2458" t="s">
        <v>2257</v>
      </c>
      <c r="H2" s="2458" t="s">
        <v>2258</v>
      </c>
      <c r="I2" s="2458" t="s">
        <v>2259</v>
      </c>
      <c r="J2" s="2827" t="s">
        <v>1069</v>
      </c>
      <c r="K2" s="2812" t="s">
        <v>1367</v>
      </c>
      <c r="L2" s="2810"/>
      <c r="M2" s="2762" t="str">
        <f>Head3</f>
        <v>2013/14 Medium Term Revenue &amp; Expenditure Framework</v>
      </c>
      <c r="N2" s="2763"/>
      <c r="O2" s="2764"/>
      <c r="P2" s="2825" t="s">
        <v>1365</v>
      </c>
      <c r="Q2" s="2826"/>
    </row>
    <row r="3" spans="1:17" ht="50.25" customHeight="1">
      <c r="A3" s="180" t="s">
        <v>667</v>
      </c>
      <c r="B3" s="2517">
        <v>4</v>
      </c>
      <c r="C3" s="2813"/>
      <c r="D3" s="2813" t="s">
        <v>1801</v>
      </c>
      <c r="E3" s="2813"/>
      <c r="F3" s="390">
        <v>6</v>
      </c>
      <c r="G3" s="390">
        <v>3</v>
      </c>
      <c r="H3" s="390">
        <v>3</v>
      </c>
      <c r="I3" s="390">
        <v>5</v>
      </c>
      <c r="J3" s="2828"/>
      <c r="K3" s="928" t="str">
        <f>Head5&amp;"    "&amp;Head1</f>
        <v>Audited Outcome    2011/12</v>
      </c>
      <c r="L3" s="929" t="str">
        <f>Head2 &amp; "        "&amp;Head8</f>
        <v>Current Year 2012/13        Full Year Forecast</v>
      </c>
      <c r="M3" s="299" t="str">
        <f>Head9</f>
        <v>Budget Year 2013/14</v>
      </c>
      <c r="N3" s="390" t="str">
        <f>Head10</f>
        <v>Budget Year +1 2014/15</v>
      </c>
      <c r="O3" s="391" t="str">
        <f>Head11</f>
        <v>Budget Year +2 2015/16</v>
      </c>
      <c r="P3" s="1007" t="s">
        <v>1366</v>
      </c>
      <c r="Q3" s="929" t="s">
        <v>1364</v>
      </c>
    </row>
    <row r="4" spans="1:17">
      <c r="A4" s="946" t="s">
        <v>1491</v>
      </c>
      <c r="B4" s="947"/>
      <c r="C4" s="948"/>
      <c r="D4" s="949"/>
      <c r="E4" s="949"/>
      <c r="F4" s="949"/>
      <c r="G4" s="950"/>
      <c r="H4" s="951"/>
      <c r="I4" s="2307"/>
      <c r="J4" s="341"/>
      <c r="K4" s="311"/>
      <c r="L4" s="312"/>
      <c r="M4" s="313"/>
      <c r="N4" s="311"/>
      <c r="O4" s="314"/>
      <c r="P4" s="952"/>
      <c r="Q4" s="953"/>
    </row>
    <row r="5" spans="1:17" s="709" customFormat="1">
      <c r="A5" s="1429" t="s">
        <v>1067</v>
      </c>
      <c r="B5" s="1090"/>
      <c r="C5" s="1091"/>
      <c r="D5" s="1092"/>
      <c r="E5" s="1092"/>
      <c r="F5" s="1092"/>
      <c r="G5" s="1430"/>
      <c r="H5" s="1431"/>
      <c r="I5" s="2308"/>
      <c r="J5" s="1093"/>
      <c r="K5" s="1094"/>
      <c r="L5" s="1095"/>
      <c r="M5" s="1096"/>
      <c r="N5" s="1094"/>
      <c r="O5" s="1097"/>
      <c r="P5" s="1098"/>
      <c r="Q5" s="1099"/>
    </row>
    <row r="6" spans="1:17" ht="5" customHeight="1">
      <c r="A6" s="958"/>
      <c r="B6" s="350"/>
      <c r="C6" s="596"/>
      <c r="D6" s="954"/>
      <c r="E6" s="954"/>
      <c r="F6" s="954"/>
      <c r="G6" s="955"/>
      <c r="H6" s="956"/>
      <c r="I6" s="2309"/>
      <c r="J6" s="206"/>
      <c r="K6" s="203"/>
      <c r="L6" s="202"/>
      <c r="M6" s="205"/>
      <c r="N6" s="203"/>
      <c r="O6" s="204"/>
      <c r="P6" s="653"/>
      <c r="Q6" s="959"/>
    </row>
    <row r="7" spans="1:17" ht="12.75" customHeight="1">
      <c r="A7" s="1962"/>
      <c r="B7" s="1840"/>
      <c r="C7" s="1850"/>
      <c r="D7" s="1934"/>
      <c r="E7" s="1934"/>
      <c r="F7" s="1905"/>
      <c r="G7" s="1963"/>
      <c r="H7" s="1964"/>
      <c r="I7" s="2310"/>
      <c r="J7" s="2534"/>
      <c r="K7" s="1615"/>
      <c r="L7" s="1636"/>
      <c r="M7" s="1636"/>
      <c r="N7" s="1615"/>
      <c r="O7" s="1635"/>
      <c r="P7" s="1965"/>
      <c r="Q7" s="1966"/>
    </row>
    <row r="8" spans="1:17" ht="12.75" customHeight="1">
      <c r="A8" s="1962"/>
      <c r="B8" s="1840"/>
      <c r="C8" s="1850"/>
      <c r="D8" s="1934"/>
      <c r="E8" s="1934"/>
      <c r="F8" s="1905"/>
      <c r="G8" s="1963"/>
      <c r="H8" s="1964"/>
      <c r="I8" s="2310"/>
      <c r="J8" s="2534"/>
      <c r="K8" s="1615"/>
      <c r="L8" s="1636"/>
      <c r="M8" s="1636"/>
      <c r="N8" s="1615"/>
      <c r="O8" s="1635"/>
      <c r="P8" s="1965"/>
      <c r="Q8" s="1966"/>
    </row>
    <row r="9" spans="1:17" ht="12.75" customHeight="1">
      <c r="A9" s="1962"/>
      <c r="B9" s="1840"/>
      <c r="C9" s="1850"/>
      <c r="D9" s="1934"/>
      <c r="E9" s="1934"/>
      <c r="F9" s="1905"/>
      <c r="G9" s="1963"/>
      <c r="H9" s="1964"/>
      <c r="I9" s="2310"/>
      <c r="J9" s="2534"/>
      <c r="K9" s="1615"/>
      <c r="L9" s="1636"/>
      <c r="M9" s="1636"/>
      <c r="N9" s="1615"/>
      <c r="O9" s="1635"/>
      <c r="P9" s="1965"/>
      <c r="Q9" s="1966"/>
    </row>
    <row r="10" spans="1:17" ht="12.75" customHeight="1">
      <c r="A10" s="1962"/>
      <c r="B10" s="1840"/>
      <c r="C10" s="1850" t="s">
        <v>2563</v>
      </c>
      <c r="D10" s="1934"/>
      <c r="E10" s="1934"/>
      <c r="F10" s="1905"/>
      <c r="G10" s="1963" t="s">
        <v>2564</v>
      </c>
      <c r="H10" s="1964" t="s">
        <v>2565</v>
      </c>
      <c r="I10" s="2310"/>
      <c r="J10" s="2534">
        <v>13566</v>
      </c>
      <c r="K10" s="1615">
        <v>0</v>
      </c>
      <c r="L10" s="1636">
        <v>0</v>
      </c>
      <c r="M10" s="1636"/>
      <c r="N10" s="1615"/>
      <c r="O10" s="1635"/>
      <c r="P10" s="1965" t="s">
        <v>2566</v>
      </c>
      <c r="Q10" s="1966" t="s">
        <v>2567</v>
      </c>
    </row>
    <row r="11" spans="1:17" ht="12.75" customHeight="1">
      <c r="A11" s="1962"/>
      <c r="B11" s="1840"/>
      <c r="C11" s="1850" t="s">
        <v>2568</v>
      </c>
      <c r="D11" s="1934"/>
      <c r="E11" s="1934"/>
      <c r="F11" s="1905"/>
      <c r="G11" s="1963" t="s">
        <v>2569</v>
      </c>
      <c r="H11" s="1964" t="s">
        <v>2570</v>
      </c>
      <c r="I11" s="2310"/>
      <c r="J11" s="2534">
        <v>20689</v>
      </c>
      <c r="K11" s="1615">
        <v>0</v>
      </c>
      <c r="L11" s="1636">
        <v>0</v>
      </c>
      <c r="M11" s="1636"/>
      <c r="N11" s="1615"/>
      <c r="O11" s="1635"/>
      <c r="P11" s="1965" t="s">
        <v>2566</v>
      </c>
      <c r="Q11" s="1966" t="s">
        <v>2571</v>
      </c>
    </row>
    <row r="12" spans="1:17" ht="12.75" customHeight="1">
      <c r="A12" s="1962"/>
      <c r="B12" s="1840"/>
      <c r="C12" s="1850" t="s">
        <v>2572</v>
      </c>
      <c r="D12" s="1934"/>
      <c r="E12" s="1934">
        <v>1</v>
      </c>
      <c r="F12" s="1905"/>
      <c r="G12" s="1963" t="s">
        <v>2573</v>
      </c>
      <c r="H12" s="1964" t="s">
        <v>2574</v>
      </c>
      <c r="I12" s="2310"/>
      <c r="J12" s="2534">
        <v>187008</v>
      </c>
      <c r="K12" s="1615">
        <v>0</v>
      </c>
      <c r="L12" s="1636">
        <v>0</v>
      </c>
      <c r="M12" s="1636"/>
      <c r="N12" s="1615"/>
      <c r="O12" s="1635"/>
      <c r="P12" s="1965" t="s">
        <v>2566</v>
      </c>
      <c r="Q12" s="1966" t="s">
        <v>2571</v>
      </c>
    </row>
    <row r="13" spans="1:17" ht="12.75" customHeight="1">
      <c r="A13" s="1962"/>
      <c r="B13" s="1840"/>
      <c r="C13" s="1850" t="s">
        <v>2575</v>
      </c>
      <c r="D13" s="1934"/>
      <c r="E13" s="1934">
        <v>1</v>
      </c>
      <c r="F13" s="1905"/>
      <c r="G13" s="1963" t="s">
        <v>2573</v>
      </c>
      <c r="H13" s="1964" t="s">
        <v>2576</v>
      </c>
      <c r="I13" s="2310"/>
      <c r="J13" s="2534">
        <v>332</v>
      </c>
      <c r="K13" s="1615">
        <v>0</v>
      </c>
      <c r="L13" s="1636">
        <v>0</v>
      </c>
      <c r="M13" s="1636"/>
      <c r="N13" s="1615"/>
      <c r="O13" s="1635"/>
      <c r="P13" s="1965" t="s">
        <v>2566</v>
      </c>
      <c r="Q13" s="1966" t="s">
        <v>2571</v>
      </c>
    </row>
    <row r="14" spans="1:17" ht="12.75" customHeight="1">
      <c r="A14" s="1962"/>
      <c r="B14" s="1840"/>
      <c r="C14" s="1850" t="s">
        <v>2577</v>
      </c>
      <c r="D14" s="1934"/>
      <c r="E14" s="1934">
        <v>4</v>
      </c>
      <c r="F14" s="1905"/>
      <c r="G14" s="1963" t="s">
        <v>2578</v>
      </c>
      <c r="H14" s="1964" t="s">
        <v>2579</v>
      </c>
      <c r="I14" s="2310"/>
      <c r="J14" s="2534">
        <v>0</v>
      </c>
      <c r="K14" s="1615">
        <v>900000</v>
      </c>
      <c r="L14" s="1636">
        <v>0</v>
      </c>
      <c r="M14" s="1636"/>
      <c r="N14" s="1615"/>
      <c r="O14" s="1635"/>
      <c r="P14" s="1965" t="s">
        <v>2566</v>
      </c>
      <c r="Q14" s="1966" t="s">
        <v>2571</v>
      </c>
    </row>
    <row r="15" spans="1:17" ht="12.75" customHeight="1">
      <c r="A15" s="1962"/>
      <c r="B15" s="1840"/>
      <c r="C15" s="1850" t="s">
        <v>2580</v>
      </c>
      <c r="D15" s="1934"/>
      <c r="E15" s="1934">
        <v>5</v>
      </c>
      <c r="F15" s="1905"/>
      <c r="G15" s="1963" t="s">
        <v>2581</v>
      </c>
      <c r="H15" s="1964" t="s">
        <v>2582</v>
      </c>
      <c r="I15" s="2310"/>
      <c r="J15" s="2534">
        <v>167862</v>
      </c>
      <c r="K15" s="1615">
        <v>0</v>
      </c>
      <c r="L15" s="1636">
        <v>0</v>
      </c>
      <c r="M15" s="1636"/>
      <c r="N15" s="1615"/>
      <c r="O15" s="1635"/>
      <c r="P15" s="1965">
        <v>13</v>
      </c>
      <c r="Q15" s="1966" t="s">
        <v>2571</v>
      </c>
    </row>
    <row r="16" spans="1:17" ht="12.75" customHeight="1">
      <c r="A16" s="1962"/>
      <c r="B16" s="1840"/>
      <c r="C16" s="1850" t="s">
        <v>2563</v>
      </c>
      <c r="D16" s="1934"/>
      <c r="E16" s="1934">
        <v>1</v>
      </c>
      <c r="F16" s="1905"/>
      <c r="G16" s="1963" t="s">
        <v>2573</v>
      </c>
      <c r="H16" s="1964" t="s">
        <v>2564</v>
      </c>
      <c r="I16" s="2310"/>
      <c r="J16" s="2534">
        <v>6783</v>
      </c>
      <c r="K16" s="1615">
        <v>0</v>
      </c>
      <c r="L16" s="1636">
        <v>0</v>
      </c>
      <c r="M16" s="1636"/>
      <c r="N16" s="1615"/>
      <c r="O16" s="1635"/>
      <c r="P16" s="1965" t="s">
        <v>2566</v>
      </c>
      <c r="Q16" s="1966" t="s">
        <v>2571</v>
      </c>
    </row>
    <row r="17" spans="1:17" ht="12.75" customHeight="1">
      <c r="A17" s="1962"/>
      <c r="B17" s="1840"/>
      <c r="C17" s="1850" t="s">
        <v>2583</v>
      </c>
      <c r="D17" s="1934"/>
      <c r="E17" s="1934"/>
      <c r="F17" s="1905"/>
      <c r="G17" s="1963" t="s">
        <v>2578</v>
      </c>
      <c r="H17" s="1964" t="s">
        <v>2584</v>
      </c>
      <c r="I17" s="2310"/>
      <c r="J17" s="2534">
        <v>860881</v>
      </c>
      <c r="K17" s="1615">
        <v>0</v>
      </c>
      <c r="L17" s="1636">
        <v>0</v>
      </c>
      <c r="M17" s="1636"/>
      <c r="N17" s="1615"/>
      <c r="O17" s="1635"/>
      <c r="P17" s="1965">
        <v>25</v>
      </c>
      <c r="Q17" s="1966" t="s">
        <v>2571</v>
      </c>
    </row>
    <row r="18" spans="1:17" ht="12.75" customHeight="1">
      <c r="A18" s="1962"/>
      <c r="B18" s="1840"/>
      <c r="C18" s="1850" t="s">
        <v>2585</v>
      </c>
      <c r="D18" s="1934"/>
      <c r="E18" s="1934"/>
      <c r="F18" s="1905"/>
      <c r="G18" s="1963" t="s">
        <v>2573</v>
      </c>
      <c r="H18" s="1964" t="s">
        <v>2586</v>
      </c>
      <c r="I18" s="2310"/>
      <c r="J18" s="2534">
        <v>2967292</v>
      </c>
      <c r="K18" s="1615">
        <v>0</v>
      </c>
      <c r="L18" s="1636">
        <v>0</v>
      </c>
      <c r="M18" s="1636"/>
      <c r="N18" s="1615"/>
      <c r="O18" s="1635"/>
      <c r="P18" s="1965" t="s">
        <v>2566</v>
      </c>
      <c r="Q18" s="1966" t="s">
        <v>2587</v>
      </c>
    </row>
    <row r="19" spans="1:17" ht="12.75" customHeight="1">
      <c r="A19" s="1962"/>
      <c r="B19" s="1840"/>
      <c r="C19" s="1850" t="s">
        <v>2588</v>
      </c>
      <c r="D19" s="1934"/>
      <c r="E19" s="1934"/>
      <c r="F19" s="1905"/>
      <c r="G19" s="1963" t="s">
        <v>2573</v>
      </c>
      <c r="H19" s="1964" t="s">
        <v>2586</v>
      </c>
      <c r="I19" s="2310"/>
      <c r="J19" s="2534">
        <v>0</v>
      </c>
      <c r="K19" s="1615">
        <v>1850000</v>
      </c>
      <c r="L19" s="1636">
        <v>0</v>
      </c>
      <c r="M19" s="1636"/>
      <c r="N19" s="1615"/>
      <c r="O19" s="1635"/>
      <c r="P19" s="1965" t="s">
        <v>2566</v>
      </c>
      <c r="Q19" s="1966" t="s">
        <v>2571</v>
      </c>
    </row>
    <row r="20" spans="1:17" ht="12.75" customHeight="1">
      <c r="A20" s="1962"/>
      <c r="B20" s="1840"/>
      <c r="C20" s="1850" t="s">
        <v>2589</v>
      </c>
      <c r="D20" s="1934"/>
      <c r="E20" s="1934"/>
      <c r="F20" s="1905"/>
      <c r="G20" s="1963" t="s">
        <v>2578</v>
      </c>
      <c r="H20" s="1964" t="s">
        <v>2590</v>
      </c>
      <c r="I20" s="2310"/>
      <c r="J20" s="2534">
        <v>1029055</v>
      </c>
      <c r="K20" s="1615">
        <v>0</v>
      </c>
      <c r="L20" s="1636">
        <v>0</v>
      </c>
      <c r="M20" s="1636"/>
      <c r="N20" s="1615"/>
      <c r="O20" s="1635"/>
      <c r="P20" s="1965" t="s">
        <v>2566</v>
      </c>
      <c r="Q20" s="1966" t="s">
        <v>2571</v>
      </c>
    </row>
    <row r="21" spans="1:17" ht="12.75" customHeight="1">
      <c r="A21" s="1962"/>
      <c r="B21" s="1840"/>
      <c r="C21" s="1850" t="s">
        <v>2591</v>
      </c>
      <c r="D21" s="1934"/>
      <c r="E21" s="1934">
        <v>1</v>
      </c>
      <c r="F21" s="1905"/>
      <c r="G21" s="1963" t="s">
        <v>2573</v>
      </c>
      <c r="H21" s="1964" t="s">
        <v>2591</v>
      </c>
      <c r="I21" s="2310"/>
      <c r="J21" s="2534">
        <v>20349</v>
      </c>
      <c r="K21" s="1615">
        <v>0</v>
      </c>
      <c r="L21" s="1636">
        <v>0</v>
      </c>
      <c r="M21" s="1636"/>
      <c r="N21" s="1615"/>
      <c r="O21" s="1635"/>
      <c r="P21" s="1965" t="s">
        <v>2566</v>
      </c>
      <c r="Q21" s="1966" t="s">
        <v>2571</v>
      </c>
    </row>
    <row r="22" spans="1:17" ht="12.75" customHeight="1">
      <c r="A22" s="1962"/>
      <c r="B22" s="1840"/>
      <c r="C22" s="1850" t="s">
        <v>2592</v>
      </c>
      <c r="D22" s="1934"/>
      <c r="E22" s="1934">
        <v>1</v>
      </c>
      <c r="F22" s="1905"/>
      <c r="G22" s="1963" t="s">
        <v>2573</v>
      </c>
      <c r="H22" s="1964" t="s">
        <v>2591</v>
      </c>
      <c r="I22" s="2310"/>
      <c r="J22" s="2534">
        <v>20955</v>
      </c>
      <c r="K22" s="1615">
        <v>0</v>
      </c>
      <c r="L22" s="1636">
        <v>0</v>
      </c>
      <c r="M22" s="1636"/>
      <c r="N22" s="1615"/>
      <c r="O22" s="1635"/>
      <c r="P22" s="1965" t="s">
        <v>2566</v>
      </c>
      <c r="Q22" s="1966" t="s">
        <v>2571</v>
      </c>
    </row>
    <row r="23" spans="1:17" ht="12.75" customHeight="1">
      <c r="A23" s="1962"/>
      <c r="B23" s="1840"/>
      <c r="C23" s="1850" t="s">
        <v>2593</v>
      </c>
      <c r="D23" s="1934"/>
      <c r="E23" s="1934">
        <v>1</v>
      </c>
      <c r="F23" s="1905"/>
      <c r="G23" s="1963" t="s">
        <v>2573</v>
      </c>
      <c r="H23" s="1964" t="s">
        <v>2576</v>
      </c>
      <c r="I23" s="2310"/>
      <c r="J23" s="2534">
        <v>12272</v>
      </c>
      <c r="K23" s="1615">
        <v>0</v>
      </c>
      <c r="L23" s="1636">
        <v>0</v>
      </c>
      <c r="M23" s="1636"/>
      <c r="N23" s="1615"/>
      <c r="O23" s="1635"/>
      <c r="P23" s="1965" t="s">
        <v>2566</v>
      </c>
      <c r="Q23" s="1966" t="s">
        <v>2571</v>
      </c>
    </row>
    <row r="24" spans="1:17" ht="12.75" customHeight="1">
      <c r="A24" s="1962"/>
      <c r="B24" s="1840"/>
      <c r="C24" s="1850" t="s">
        <v>2594</v>
      </c>
      <c r="D24" s="1934"/>
      <c r="E24" s="1934">
        <v>1</v>
      </c>
      <c r="F24" s="1905"/>
      <c r="G24" s="1963" t="s">
        <v>2573</v>
      </c>
      <c r="H24" s="1964" t="s">
        <v>2594</v>
      </c>
      <c r="I24" s="2310"/>
      <c r="J24" s="2534">
        <v>42595</v>
      </c>
      <c r="K24" s="1615">
        <v>0</v>
      </c>
      <c r="L24" s="1636">
        <v>0</v>
      </c>
      <c r="M24" s="1636"/>
      <c r="N24" s="1615"/>
      <c r="O24" s="1635"/>
      <c r="P24" s="1965" t="s">
        <v>2566</v>
      </c>
      <c r="Q24" s="1966" t="s">
        <v>2571</v>
      </c>
    </row>
    <row r="25" spans="1:17" ht="12.75" customHeight="1">
      <c r="A25" s="1962"/>
      <c r="B25" s="1840"/>
      <c r="C25" s="1850" t="s">
        <v>2595</v>
      </c>
      <c r="D25" s="1934"/>
      <c r="E25" s="1934">
        <v>1</v>
      </c>
      <c r="F25" s="1905"/>
      <c r="G25" s="1963" t="s">
        <v>2573</v>
      </c>
      <c r="H25" s="1964" t="s">
        <v>2595</v>
      </c>
      <c r="I25" s="2310"/>
      <c r="J25" s="2534">
        <v>0</v>
      </c>
      <c r="K25" s="1615">
        <v>0</v>
      </c>
      <c r="L25" s="1636">
        <v>0</v>
      </c>
      <c r="M25" s="1636"/>
      <c r="N25" s="1615"/>
      <c r="O25" s="1635"/>
      <c r="P25" s="1965" t="s">
        <v>2566</v>
      </c>
      <c r="Q25" s="1966" t="s">
        <v>2571</v>
      </c>
    </row>
    <row r="26" spans="1:17" ht="12.75" customHeight="1">
      <c r="A26" s="1962"/>
      <c r="B26" s="1840"/>
      <c r="C26" s="1850" t="s">
        <v>2596</v>
      </c>
      <c r="D26" s="1934"/>
      <c r="E26" s="1934">
        <v>1</v>
      </c>
      <c r="F26" s="1905"/>
      <c r="G26" s="1963" t="s">
        <v>2573</v>
      </c>
      <c r="H26" s="1964" t="s">
        <v>2596</v>
      </c>
      <c r="I26" s="2310"/>
      <c r="J26" s="2534">
        <v>64739</v>
      </c>
      <c r="K26" s="1615">
        <v>0</v>
      </c>
      <c r="L26" s="1636">
        <v>0</v>
      </c>
      <c r="M26" s="1636"/>
      <c r="N26" s="1615"/>
      <c r="O26" s="1635"/>
      <c r="P26" s="1965" t="s">
        <v>2566</v>
      </c>
      <c r="Q26" s="1966" t="s">
        <v>2571</v>
      </c>
    </row>
    <row r="27" spans="1:17" ht="12.75" customHeight="1">
      <c r="A27" s="1962"/>
      <c r="B27" s="1840"/>
      <c r="C27" s="1850" t="s">
        <v>2597</v>
      </c>
      <c r="D27" s="1934"/>
      <c r="E27" s="1934">
        <v>1</v>
      </c>
      <c r="F27" s="1905"/>
      <c r="G27" s="1963" t="s">
        <v>2573</v>
      </c>
      <c r="H27" s="1964" t="s">
        <v>2597</v>
      </c>
      <c r="I27" s="2310"/>
      <c r="J27" s="2534">
        <v>4245</v>
      </c>
      <c r="K27" s="1615">
        <v>0</v>
      </c>
      <c r="L27" s="1636">
        <v>0</v>
      </c>
      <c r="M27" s="1636"/>
      <c r="N27" s="1615"/>
      <c r="O27" s="1635"/>
      <c r="P27" s="1965" t="s">
        <v>2566</v>
      </c>
      <c r="Q27" s="1966" t="s">
        <v>2571</v>
      </c>
    </row>
    <row r="28" spans="1:17" ht="12.75" customHeight="1">
      <c r="A28" s="1962"/>
      <c r="B28" s="1840"/>
      <c r="C28" s="1850" t="s">
        <v>2598</v>
      </c>
      <c r="D28" s="1934"/>
      <c r="E28" s="1934">
        <v>1</v>
      </c>
      <c r="F28" s="1905"/>
      <c r="G28" s="1963" t="s">
        <v>2573</v>
      </c>
      <c r="H28" s="1964" t="s">
        <v>2591</v>
      </c>
      <c r="I28" s="2310"/>
      <c r="J28" s="2534">
        <v>0</v>
      </c>
      <c r="K28" s="1615">
        <v>0</v>
      </c>
      <c r="L28" s="1636">
        <v>0</v>
      </c>
      <c r="M28" s="1636"/>
      <c r="N28" s="1615"/>
      <c r="O28" s="1635"/>
      <c r="P28" s="1965" t="s">
        <v>2566</v>
      </c>
      <c r="Q28" s="1966" t="s">
        <v>2571</v>
      </c>
    </row>
    <row r="29" spans="1:17" ht="12.75" customHeight="1">
      <c r="A29" s="1962"/>
      <c r="B29" s="1840"/>
      <c r="C29" s="1850" t="s">
        <v>2599</v>
      </c>
      <c r="D29" s="1934"/>
      <c r="E29" s="1934">
        <v>1</v>
      </c>
      <c r="F29" s="1905"/>
      <c r="G29" s="1963" t="s">
        <v>2573</v>
      </c>
      <c r="H29" s="1964" t="s">
        <v>2600</v>
      </c>
      <c r="I29" s="2310"/>
      <c r="J29" s="2534">
        <v>16500</v>
      </c>
      <c r="K29" s="1615">
        <v>0</v>
      </c>
      <c r="L29" s="1636">
        <v>0</v>
      </c>
      <c r="M29" s="1636"/>
      <c r="N29" s="1615"/>
      <c r="O29" s="1635"/>
      <c r="P29" s="1965" t="s">
        <v>2566</v>
      </c>
      <c r="Q29" s="1966" t="s">
        <v>2571</v>
      </c>
    </row>
    <row r="30" spans="1:17" ht="12.75" customHeight="1">
      <c r="A30" s="1962"/>
      <c r="B30" s="1840"/>
      <c r="C30" s="1850" t="s">
        <v>2601</v>
      </c>
      <c r="D30" s="1934"/>
      <c r="E30" s="1934">
        <v>1</v>
      </c>
      <c r="F30" s="1905"/>
      <c r="G30" s="1963" t="s">
        <v>2573</v>
      </c>
      <c r="H30" s="1964" t="s">
        <v>2602</v>
      </c>
      <c r="I30" s="2310"/>
      <c r="J30" s="2534">
        <v>25056</v>
      </c>
      <c r="K30" s="1615">
        <v>0</v>
      </c>
      <c r="L30" s="1636">
        <v>0</v>
      </c>
      <c r="M30" s="1636"/>
      <c r="N30" s="1615"/>
      <c r="O30" s="1635"/>
      <c r="P30" s="1965" t="s">
        <v>2566</v>
      </c>
      <c r="Q30" s="1966" t="s">
        <v>2571</v>
      </c>
    </row>
    <row r="31" spans="1:17" ht="12.75" customHeight="1">
      <c r="A31" s="1962"/>
      <c r="B31" s="1840"/>
      <c r="C31" s="1850" t="s">
        <v>2591</v>
      </c>
      <c r="D31" s="1934"/>
      <c r="E31" s="1934">
        <v>1</v>
      </c>
      <c r="F31" s="1905"/>
      <c r="G31" s="1963" t="s">
        <v>2573</v>
      </c>
      <c r="H31" s="1964" t="s">
        <v>2591</v>
      </c>
      <c r="I31" s="2310"/>
      <c r="J31" s="2534">
        <v>13566</v>
      </c>
      <c r="K31" s="1615">
        <v>0</v>
      </c>
      <c r="L31" s="1636">
        <v>0</v>
      </c>
      <c r="M31" s="1636"/>
      <c r="N31" s="1615"/>
      <c r="O31" s="1635"/>
      <c r="P31" s="1965" t="s">
        <v>2566</v>
      </c>
      <c r="Q31" s="1966" t="s">
        <v>2571</v>
      </c>
    </row>
    <row r="32" spans="1:17" ht="12.75" customHeight="1">
      <c r="A32" s="1962"/>
      <c r="B32" s="1840"/>
      <c r="C32" s="1850" t="s">
        <v>2603</v>
      </c>
      <c r="D32" s="1934"/>
      <c r="E32" s="1934">
        <v>1</v>
      </c>
      <c r="F32" s="1905"/>
      <c r="G32" s="1963" t="s">
        <v>2581</v>
      </c>
      <c r="H32" s="1964" t="s">
        <v>2604</v>
      </c>
      <c r="I32" s="2310"/>
      <c r="J32" s="2534">
        <v>1823201</v>
      </c>
      <c r="K32" s="1615">
        <v>0</v>
      </c>
      <c r="L32" s="1636">
        <v>0</v>
      </c>
      <c r="M32" s="1636"/>
      <c r="N32" s="1615"/>
      <c r="O32" s="1635"/>
      <c r="P32" s="1965">
        <v>21</v>
      </c>
      <c r="Q32" s="1966" t="s">
        <v>2571</v>
      </c>
    </row>
    <row r="33" spans="1:17" ht="12.75" customHeight="1">
      <c r="A33" s="1962"/>
      <c r="B33" s="1840"/>
      <c r="C33" s="1850" t="s">
        <v>2605</v>
      </c>
      <c r="D33" s="1934"/>
      <c r="E33" s="1934">
        <v>1</v>
      </c>
      <c r="F33" s="1905"/>
      <c r="G33" s="1963" t="s">
        <v>2581</v>
      </c>
      <c r="H33" s="1964" t="s">
        <v>2604</v>
      </c>
      <c r="I33" s="2310"/>
      <c r="J33" s="2534">
        <v>3331775</v>
      </c>
      <c r="K33" s="1615">
        <v>0</v>
      </c>
      <c r="L33" s="1636">
        <v>0</v>
      </c>
      <c r="M33" s="1636"/>
      <c r="N33" s="1615"/>
      <c r="O33" s="1635"/>
      <c r="P33" s="1965">
        <v>24</v>
      </c>
      <c r="Q33" s="1966" t="s">
        <v>2571</v>
      </c>
    </row>
    <row r="34" spans="1:17" ht="12.75" customHeight="1">
      <c r="A34" s="1962"/>
      <c r="B34" s="1840"/>
      <c r="C34" s="1850" t="s">
        <v>2606</v>
      </c>
      <c r="D34" s="1934"/>
      <c r="E34" s="1934">
        <v>1</v>
      </c>
      <c r="F34" s="1905"/>
      <c r="G34" s="1963" t="s">
        <v>2573</v>
      </c>
      <c r="H34" s="1964" t="s">
        <v>2607</v>
      </c>
      <c r="I34" s="2310"/>
      <c r="J34" s="2534">
        <v>198166</v>
      </c>
      <c r="K34" s="1615">
        <v>0</v>
      </c>
      <c r="L34" s="1636">
        <v>0</v>
      </c>
      <c r="M34" s="1636"/>
      <c r="N34" s="1615"/>
      <c r="O34" s="1635"/>
      <c r="P34" s="1965" t="s">
        <v>2566</v>
      </c>
      <c r="Q34" s="1966" t="s">
        <v>2571</v>
      </c>
    </row>
    <row r="35" spans="1:17" ht="12.75" customHeight="1">
      <c r="A35" s="1962"/>
      <c r="B35" s="1840"/>
      <c r="C35" s="1850" t="s">
        <v>2608</v>
      </c>
      <c r="D35" s="1934"/>
      <c r="E35" s="1934">
        <v>1</v>
      </c>
      <c r="F35" s="1905"/>
      <c r="G35" s="1963" t="s">
        <v>2573</v>
      </c>
      <c r="H35" s="1964" t="s">
        <v>2609</v>
      </c>
      <c r="I35" s="2310"/>
      <c r="J35" s="2534">
        <v>1780492</v>
      </c>
      <c r="K35" s="1615">
        <v>0</v>
      </c>
      <c r="L35" s="1636">
        <v>0</v>
      </c>
      <c r="M35" s="1636"/>
      <c r="N35" s="1615"/>
      <c r="O35" s="1635"/>
      <c r="P35" s="1965" t="s">
        <v>2566</v>
      </c>
      <c r="Q35" s="1966" t="s">
        <v>2571</v>
      </c>
    </row>
    <row r="36" spans="1:17" ht="12.75" customHeight="1">
      <c r="A36" s="1962"/>
      <c r="B36" s="1840"/>
      <c r="C36" s="1850" t="s">
        <v>2610</v>
      </c>
      <c r="D36" s="1934"/>
      <c r="E36" s="1934">
        <v>1</v>
      </c>
      <c r="F36" s="1905"/>
      <c r="G36" s="1963" t="s">
        <v>2573</v>
      </c>
      <c r="H36" s="1964" t="s">
        <v>2611</v>
      </c>
      <c r="I36" s="2310"/>
      <c r="J36" s="2534">
        <v>25440</v>
      </c>
      <c r="K36" s="1615">
        <v>0</v>
      </c>
      <c r="L36" s="1636">
        <v>0</v>
      </c>
      <c r="M36" s="1636"/>
      <c r="N36" s="1615"/>
      <c r="O36" s="1635"/>
      <c r="P36" s="1965" t="s">
        <v>2566</v>
      </c>
      <c r="Q36" s="1966" t="s">
        <v>2571</v>
      </c>
    </row>
    <row r="37" spans="1:17" ht="12.75" customHeight="1">
      <c r="A37" s="1962"/>
      <c r="B37" s="1840"/>
      <c r="C37" s="1850" t="s">
        <v>2612</v>
      </c>
      <c r="D37" s="1934"/>
      <c r="E37" s="1934">
        <v>5</v>
      </c>
      <c r="F37" s="1905"/>
      <c r="G37" s="1963" t="s">
        <v>2573</v>
      </c>
      <c r="H37" s="1964" t="s">
        <v>2591</v>
      </c>
      <c r="I37" s="2310"/>
      <c r="J37" s="2534">
        <v>51687</v>
      </c>
      <c r="K37" s="1615">
        <v>0</v>
      </c>
      <c r="L37" s="1636">
        <v>0</v>
      </c>
      <c r="M37" s="1636"/>
      <c r="N37" s="1615"/>
      <c r="O37" s="1635"/>
      <c r="P37" s="1965" t="s">
        <v>2566</v>
      </c>
      <c r="Q37" s="1966" t="s">
        <v>2571</v>
      </c>
    </row>
    <row r="38" spans="1:17" ht="12.75" customHeight="1">
      <c r="A38" s="1962"/>
      <c r="B38" s="1840"/>
      <c r="C38" s="1850" t="s">
        <v>2613</v>
      </c>
      <c r="D38" s="1934"/>
      <c r="E38" s="1934">
        <v>5</v>
      </c>
      <c r="F38" s="1905"/>
      <c r="G38" s="1963" t="s">
        <v>2573</v>
      </c>
      <c r="H38" s="1964" t="s">
        <v>2614</v>
      </c>
      <c r="I38" s="2310"/>
      <c r="J38" s="2534">
        <v>20041</v>
      </c>
      <c r="K38" s="1615">
        <v>0</v>
      </c>
      <c r="L38" s="1636">
        <v>0</v>
      </c>
      <c r="M38" s="1636"/>
      <c r="N38" s="1615"/>
      <c r="O38" s="1635"/>
      <c r="P38" s="1965" t="s">
        <v>2566</v>
      </c>
      <c r="Q38" s="1966" t="s">
        <v>2571</v>
      </c>
    </row>
    <row r="39" spans="1:17" ht="12.75" customHeight="1">
      <c r="A39" s="1962"/>
      <c r="B39" s="1840"/>
      <c r="C39" s="1850" t="s">
        <v>2563</v>
      </c>
      <c r="D39" s="1934"/>
      <c r="E39" s="1934">
        <v>5</v>
      </c>
      <c r="F39" s="1905"/>
      <c r="G39" s="1963" t="s">
        <v>2573</v>
      </c>
      <c r="H39" s="1964" t="s">
        <v>2591</v>
      </c>
      <c r="I39" s="2310"/>
      <c r="J39" s="2534">
        <v>6783</v>
      </c>
      <c r="K39" s="1615">
        <v>0</v>
      </c>
      <c r="L39" s="1636">
        <v>0</v>
      </c>
      <c r="M39" s="1636"/>
      <c r="N39" s="1615"/>
      <c r="O39" s="1635"/>
      <c r="P39" s="1965" t="s">
        <v>2566</v>
      </c>
      <c r="Q39" s="1966" t="s">
        <v>2571</v>
      </c>
    </row>
    <row r="40" spans="1:17" ht="12.75" customHeight="1">
      <c r="A40" s="1962"/>
      <c r="B40" s="1840"/>
      <c r="C40" s="1850" t="s">
        <v>2615</v>
      </c>
      <c r="D40" s="1934"/>
      <c r="E40" s="1934">
        <v>5</v>
      </c>
      <c r="F40" s="1905"/>
      <c r="G40" s="1963" t="s">
        <v>2573</v>
      </c>
      <c r="H40" s="1964" t="s">
        <v>2616</v>
      </c>
      <c r="I40" s="2310"/>
      <c r="J40" s="2534">
        <v>25289</v>
      </c>
      <c r="K40" s="1615">
        <v>0</v>
      </c>
      <c r="L40" s="1636">
        <v>0</v>
      </c>
      <c r="M40" s="1636"/>
      <c r="N40" s="1615"/>
      <c r="O40" s="1635"/>
      <c r="P40" s="1965" t="s">
        <v>2566</v>
      </c>
      <c r="Q40" s="1966" t="s">
        <v>2571</v>
      </c>
    </row>
    <row r="41" spans="1:17" ht="12.75" customHeight="1">
      <c r="A41" s="1962"/>
      <c r="B41" s="1840"/>
      <c r="C41" s="1850" t="s">
        <v>2596</v>
      </c>
      <c r="D41" s="1934"/>
      <c r="E41" s="1934">
        <v>5</v>
      </c>
      <c r="F41" s="1905"/>
      <c r="G41" s="1963" t="s">
        <v>2573</v>
      </c>
      <c r="H41" s="1964" t="s">
        <v>2611</v>
      </c>
      <c r="I41" s="2310"/>
      <c r="J41" s="2534">
        <v>18596</v>
      </c>
      <c r="K41" s="1615">
        <v>0</v>
      </c>
      <c r="L41" s="1636">
        <v>0</v>
      </c>
      <c r="M41" s="1636"/>
      <c r="N41" s="1615"/>
      <c r="O41" s="1635"/>
      <c r="P41" s="1965" t="s">
        <v>2566</v>
      </c>
      <c r="Q41" s="1966" t="s">
        <v>2571</v>
      </c>
    </row>
    <row r="42" spans="1:17" ht="12.75" customHeight="1">
      <c r="A42" s="1962"/>
      <c r="B42" s="1840"/>
      <c r="C42" s="1850" t="s">
        <v>2617</v>
      </c>
      <c r="D42" s="1934"/>
      <c r="E42" s="1934">
        <v>1</v>
      </c>
      <c r="F42" s="1905"/>
      <c r="G42" s="1963" t="s">
        <v>2573</v>
      </c>
      <c r="H42" s="1964" t="s">
        <v>2617</v>
      </c>
      <c r="I42" s="2310"/>
      <c r="J42" s="2534">
        <v>183374</v>
      </c>
      <c r="K42" s="1615">
        <v>0</v>
      </c>
      <c r="L42" s="1636">
        <v>0</v>
      </c>
      <c r="M42" s="1636"/>
      <c r="N42" s="1615"/>
      <c r="O42" s="1635"/>
      <c r="P42" s="1965" t="s">
        <v>2566</v>
      </c>
      <c r="Q42" s="1966" t="s">
        <v>2571</v>
      </c>
    </row>
    <row r="43" spans="1:17" ht="12.75" customHeight="1">
      <c r="A43" s="1962"/>
      <c r="B43" s="1840"/>
      <c r="C43" s="1850" t="s">
        <v>2618</v>
      </c>
      <c r="D43" s="1934"/>
      <c r="E43" s="1934">
        <v>3</v>
      </c>
      <c r="F43" s="1905"/>
      <c r="G43" s="1963" t="s">
        <v>2573</v>
      </c>
      <c r="H43" s="1964" t="s">
        <v>2619</v>
      </c>
      <c r="I43" s="2310"/>
      <c r="J43" s="2534">
        <v>89223</v>
      </c>
      <c r="K43" s="1615">
        <v>0</v>
      </c>
      <c r="L43" s="1636">
        <v>0</v>
      </c>
      <c r="M43" s="1636"/>
      <c r="N43" s="1615"/>
      <c r="O43" s="1635"/>
      <c r="P43" s="1965">
        <v>16</v>
      </c>
      <c r="Q43" s="1966" t="s">
        <v>2571</v>
      </c>
    </row>
    <row r="44" spans="1:17" ht="12.75" customHeight="1">
      <c r="A44" s="1962"/>
      <c r="B44" s="1840"/>
      <c r="C44" s="1850" t="s">
        <v>2620</v>
      </c>
      <c r="D44" s="1934"/>
      <c r="E44" s="1934">
        <v>3</v>
      </c>
      <c r="F44" s="1905"/>
      <c r="G44" s="1963" t="s">
        <v>2581</v>
      </c>
      <c r="H44" s="1964" t="s">
        <v>2621</v>
      </c>
      <c r="I44" s="2310"/>
      <c r="J44" s="2534">
        <v>0</v>
      </c>
      <c r="K44" s="1615">
        <v>0</v>
      </c>
      <c r="L44" s="1636">
        <v>0</v>
      </c>
      <c r="M44" s="1636"/>
      <c r="N44" s="1615"/>
      <c r="O44" s="1635"/>
      <c r="P44" s="1965">
        <v>36</v>
      </c>
      <c r="Q44" s="1966" t="s">
        <v>2571</v>
      </c>
    </row>
    <row r="45" spans="1:17" ht="12.75" customHeight="1">
      <c r="A45" s="1962"/>
      <c r="B45" s="1840"/>
      <c r="C45" s="1850" t="s">
        <v>2622</v>
      </c>
      <c r="D45" s="1934"/>
      <c r="E45" s="1934">
        <v>3</v>
      </c>
      <c r="F45" s="1905"/>
      <c r="G45" s="1963" t="s">
        <v>2573</v>
      </c>
      <c r="H45" s="1964" t="s">
        <v>2623</v>
      </c>
      <c r="I45" s="2310"/>
      <c r="J45" s="2534">
        <v>2404</v>
      </c>
      <c r="K45" s="1615">
        <v>0</v>
      </c>
      <c r="L45" s="1636">
        <v>0</v>
      </c>
      <c r="M45" s="1636"/>
      <c r="N45" s="1615"/>
      <c r="O45" s="1635"/>
      <c r="P45" s="1965" t="s">
        <v>2566</v>
      </c>
      <c r="Q45" s="1966" t="s">
        <v>2571</v>
      </c>
    </row>
    <row r="46" spans="1:17" ht="12.75" customHeight="1">
      <c r="A46" s="1962"/>
      <c r="B46" s="1840"/>
      <c r="C46" s="1850" t="s">
        <v>2624</v>
      </c>
      <c r="D46" s="1934"/>
      <c r="E46" s="1934">
        <v>3</v>
      </c>
      <c r="F46" s="1905"/>
      <c r="G46" s="1963" t="s">
        <v>2573</v>
      </c>
      <c r="H46" s="1964" t="s">
        <v>2623</v>
      </c>
      <c r="I46" s="2310"/>
      <c r="J46" s="2534">
        <v>786</v>
      </c>
      <c r="K46" s="1615">
        <v>0</v>
      </c>
      <c r="L46" s="1636">
        <v>0</v>
      </c>
      <c r="M46" s="1636"/>
      <c r="N46" s="1615"/>
      <c r="O46" s="1635"/>
      <c r="P46" s="1965" t="s">
        <v>2566</v>
      </c>
      <c r="Q46" s="1966" t="s">
        <v>2571</v>
      </c>
    </row>
    <row r="47" spans="1:17" ht="12.75" customHeight="1">
      <c r="A47" s="1962"/>
      <c r="B47" s="1840"/>
      <c r="C47" s="1850" t="s">
        <v>2625</v>
      </c>
      <c r="D47" s="1934"/>
      <c r="E47" s="1934">
        <v>4</v>
      </c>
      <c r="F47" s="1905"/>
      <c r="G47" s="1963" t="s">
        <v>2573</v>
      </c>
      <c r="H47" s="1964" t="s">
        <v>2591</v>
      </c>
      <c r="I47" s="2310"/>
      <c r="J47" s="2534">
        <v>20349</v>
      </c>
      <c r="K47" s="1615">
        <v>0</v>
      </c>
      <c r="L47" s="1636">
        <v>0</v>
      </c>
      <c r="M47" s="1636"/>
      <c r="N47" s="1615"/>
      <c r="O47" s="1635"/>
      <c r="P47" s="1965" t="s">
        <v>2566</v>
      </c>
      <c r="Q47" s="1966" t="s">
        <v>2571</v>
      </c>
    </row>
    <row r="48" spans="1:17" ht="12.75" customHeight="1">
      <c r="A48" s="1962"/>
      <c r="B48" s="1840"/>
      <c r="C48" s="1850" t="s">
        <v>2596</v>
      </c>
      <c r="D48" s="1934"/>
      <c r="E48" s="1934">
        <v>4</v>
      </c>
      <c r="F48" s="1905"/>
      <c r="G48" s="1963" t="s">
        <v>2573</v>
      </c>
      <c r="H48" s="1964" t="s">
        <v>2591</v>
      </c>
      <c r="I48" s="2310"/>
      <c r="J48" s="2534">
        <v>34342</v>
      </c>
      <c r="K48" s="1615">
        <v>0</v>
      </c>
      <c r="L48" s="1636">
        <v>0</v>
      </c>
      <c r="M48" s="1636"/>
      <c r="N48" s="1615"/>
      <c r="O48" s="1635"/>
      <c r="P48" s="1965" t="s">
        <v>2566</v>
      </c>
      <c r="Q48" s="1966" t="s">
        <v>2571</v>
      </c>
    </row>
    <row r="49" spans="1:17" ht="12.75" customHeight="1">
      <c r="A49" s="1962"/>
      <c r="B49" s="1840"/>
      <c r="C49" s="1850" t="s">
        <v>2626</v>
      </c>
      <c r="D49" s="1934"/>
      <c r="E49" s="1934">
        <v>4</v>
      </c>
      <c r="F49" s="1905"/>
      <c r="G49" s="1963" t="s">
        <v>2573</v>
      </c>
      <c r="H49" s="1964" t="s">
        <v>2627</v>
      </c>
      <c r="I49" s="2310"/>
      <c r="J49" s="2534">
        <v>4647</v>
      </c>
      <c r="K49" s="1615">
        <v>0</v>
      </c>
      <c r="L49" s="1636">
        <v>0</v>
      </c>
      <c r="M49" s="1636"/>
      <c r="N49" s="1615"/>
      <c r="O49" s="1635"/>
      <c r="P49" s="1965" t="s">
        <v>2566</v>
      </c>
      <c r="Q49" s="1966" t="s">
        <v>2571</v>
      </c>
    </row>
    <row r="50" spans="1:17" ht="12.75" customHeight="1">
      <c r="A50" s="1962"/>
      <c r="B50" s="1840"/>
      <c r="C50" s="1850" t="s">
        <v>2628</v>
      </c>
      <c r="D50" s="1934"/>
      <c r="E50" s="1934">
        <v>4</v>
      </c>
      <c r="F50" s="1905"/>
      <c r="G50" s="1963" t="s">
        <v>2573</v>
      </c>
      <c r="H50" s="1964" t="s">
        <v>2594</v>
      </c>
      <c r="I50" s="2310"/>
      <c r="J50" s="2534">
        <v>6100</v>
      </c>
      <c r="K50" s="1615">
        <v>0</v>
      </c>
      <c r="L50" s="1636">
        <v>0</v>
      </c>
      <c r="M50" s="1636"/>
      <c r="N50" s="1615"/>
      <c r="O50" s="1635"/>
      <c r="P50" s="1965" t="s">
        <v>2566</v>
      </c>
      <c r="Q50" s="1966" t="s">
        <v>2571</v>
      </c>
    </row>
    <row r="51" spans="1:17" ht="12.75" customHeight="1">
      <c r="A51" s="1962"/>
      <c r="B51" s="1840"/>
      <c r="C51" s="1850" t="s">
        <v>2602</v>
      </c>
      <c r="D51" s="1934"/>
      <c r="E51" s="1934">
        <v>4</v>
      </c>
      <c r="F51" s="1905"/>
      <c r="G51" s="1963" t="s">
        <v>2573</v>
      </c>
      <c r="H51" s="1964" t="s">
        <v>2602</v>
      </c>
      <c r="I51" s="2310"/>
      <c r="J51" s="2534">
        <v>17173</v>
      </c>
      <c r="K51" s="1615">
        <v>0</v>
      </c>
      <c r="L51" s="1636">
        <v>0</v>
      </c>
      <c r="M51" s="1636"/>
      <c r="N51" s="1615"/>
      <c r="O51" s="1635"/>
      <c r="P51" s="1965" t="s">
        <v>2566</v>
      </c>
      <c r="Q51" s="1966" t="s">
        <v>2571</v>
      </c>
    </row>
    <row r="52" spans="1:17" ht="12.75" customHeight="1">
      <c r="A52" s="1962"/>
      <c r="B52" s="1840"/>
      <c r="C52" s="1850" t="s">
        <v>2629</v>
      </c>
      <c r="D52" s="1934"/>
      <c r="E52" s="1934">
        <v>2</v>
      </c>
      <c r="F52" s="1905"/>
      <c r="G52" s="1963" t="s">
        <v>2573</v>
      </c>
      <c r="H52" s="1964" t="s">
        <v>2630</v>
      </c>
      <c r="I52" s="2310"/>
      <c r="J52" s="2534">
        <v>21920</v>
      </c>
      <c r="K52" s="1615">
        <v>0</v>
      </c>
      <c r="L52" s="1636">
        <v>0</v>
      </c>
      <c r="M52" s="1636"/>
      <c r="N52" s="1615"/>
      <c r="O52" s="1635"/>
      <c r="P52" s="1965" t="s">
        <v>2566</v>
      </c>
      <c r="Q52" s="1966" t="s">
        <v>2571</v>
      </c>
    </row>
    <row r="53" spans="1:17" ht="12.75" customHeight="1">
      <c r="A53" s="1962"/>
      <c r="B53" s="1840"/>
      <c r="C53" s="1850" t="s">
        <v>2591</v>
      </c>
      <c r="D53" s="1934"/>
      <c r="E53" s="1934">
        <v>2</v>
      </c>
      <c r="F53" s="1905"/>
      <c r="G53" s="1963" t="s">
        <v>2573</v>
      </c>
      <c r="H53" s="1964" t="s">
        <v>2591</v>
      </c>
      <c r="I53" s="2310"/>
      <c r="J53" s="2534">
        <v>20349</v>
      </c>
      <c r="K53" s="1615">
        <v>0</v>
      </c>
      <c r="L53" s="1636">
        <v>0</v>
      </c>
      <c r="M53" s="1636"/>
      <c r="N53" s="1615"/>
      <c r="O53" s="1635"/>
      <c r="P53" s="1965" t="s">
        <v>2566</v>
      </c>
      <c r="Q53" s="1966" t="s">
        <v>2571</v>
      </c>
    </row>
    <row r="54" spans="1:17" ht="12.75" customHeight="1">
      <c r="A54" s="1962"/>
      <c r="B54" s="1840"/>
      <c r="C54" s="1850" t="s">
        <v>2631</v>
      </c>
      <c r="D54" s="1934"/>
      <c r="E54" s="1934">
        <v>4</v>
      </c>
      <c r="F54" s="1905"/>
      <c r="G54" s="1963" t="s">
        <v>2573</v>
      </c>
      <c r="H54" s="1964" t="s">
        <v>2631</v>
      </c>
      <c r="I54" s="2310"/>
      <c r="J54" s="2534">
        <v>42500</v>
      </c>
      <c r="K54" s="1615">
        <v>0</v>
      </c>
      <c r="L54" s="1636">
        <v>0</v>
      </c>
      <c r="M54" s="1636"/>
      <c r="N54" s="1615"/>
      <c r="O54" s="1635"/>
      <c r="P54" s="1965" t="s">
        <v>2566</v>
      </c>
      <c r="Q54" s="1966" t="s">
        <v>2571</v>
      </c>
    </row>
    <row r="55" spans="1:17" ht="12.75" customHeight="1">
      <c r="A55" s="1962"/>
      <c r="B55" s="1840"/>
      <c r="C55" s="1850" t="s">
        <v>2632</v>
      </c>
      <c r="D55" s="1934"/>
      <c r="E55" s="1934">
        <v>4</v>
      </c>
      <c r="F55" s="1905"/>
      <c r="G55" s="1963" t="s">
        <v>2573</v>
      </c>
      <c r="H55" s="1964" t="s">
        <v>2611</v>
      </c>
      <c r="I55" s="2310"/>
      <c r="J55" s="2534">
        <v>4650</v>
      </c>
      <c r="K55" s="1615">
        <v>0</v>
      </c>
      <c r="L55" s="1636">
        <v>0</v>
      </c>
      <c r="M55" s="1636"/>
      <c r="N55" s="1615"/>
      <c r="O55" s="1635"/>
      <c r="P55" s="1965" t="s">
        <v>2566</v>
      </c>
      <c r="Q55" s="1966" t="s">
        <v>2571</v>
      </c>
    </row>
    <row r="56" spans="1:17" ht="12.75" customHeight="1">
      <c r="A56" s="1962"/>
      <c r="B56" s="1840"/>
      <c r="C56" s="1850" t="s">
        <v>2633</v>
      </c>
      <c r="D56" s="1934"/>
      <c r="E56" s="1934">
        <v>4</v>
      </c>
      <c r="F56" s="1905"/>
      <c r="G56" s="1963" t="s">
        <v>2573</v>
      </c>
      <c r="H56" s="1964" t="s">
        <v>2591</v>
      </c>
      <c r="I56" s="2310"/>
      <c r="J56" s="2534">
        <v>5995</v>
      </c>
      <c r="K56" s="1615">
        <v>0</v>
      </c>
      <c r="L56" s="1636">
        <v>0</v>
      </c>
      <c r="M56" s="1636"/>
      <c r="N56" s="1615"/>
      <c r="O56" s="1635"/>
      <c r="P56" s="1965" t="s">
        <v>2566</v>
      </c>
      <c r="Q56" s="1966" t="s">
        <v>2571</v>
      </c>
    </row>
    <row r="57" spans="1:17" ht="12.75" customHeight="1">
      <c r="A57" s="1962"/>
      <c r="B57" s="1840"/>
      <c r="C57" s="1850" t="s">
        <v>2634</v>
      </c>
      <c r="D57" s="1934"/>
      <c r="E57" s="1934">
        <v>4</v>
      </c>
      <c r="F57" s="1905"/>
      <c r="G57" s="1963" t="s">
        <v>2573</v>
      </c>
      <c r="H57" s="1964" t="s">
        <v>2591</v>
      </c>
      <c r="I57" s="2310"/>
      <c r="J57" s="2534">
        <v>59060</v>
      </c>
      <c r="K57" s="1615">
        <v>0</v>
      </c>
      <c r="L57" s="1636">
        <v>0</v>
      </c>
      <c r="M57" s="1636"/>
      <c r="N57" s="1615"/>
      <c r="O57" s="1635"/>
      <c r="P57" s="1965" t="s">
        <v>2566</v>
      </c>
      <c r="Q57" s="1966" t="s">
        <v>2571</v>
      </c>
    </row>
    <row r="58" spans="1:17" ht="12.75" customHeight="1">
      <c r="A58" s="1962"/>
      <c r="B58" s="1840"/>
      <c r="C58" s="1850" t="s">
        <v>2596</v>
      </c>
      <c r="D58" s="1934"/>
      <c r="E58" s="1934">
        <v>4</v>
      </c>
      <c r="F58" s="1905"/>
      <c r="G58" s="1963" t="s">
        <v>2573</v>
      </c>
      <c r="H58" s="1964" t="s">
        <v>2611</v>
      </c>
      <c r="I58" s="2310"/>
      <c r="J58" s="2534">
        <v>23424</v>
      </c>
      <c r="K58" s="1615">
        <v>0</v>
      </c>
      <c r="L58" s="1636">
        <v>0</v>
      </c>
      <c r="M58" s="1636"/>
      <c r="N58" s="1615"/>
      <c r="O58" s="1635"/>
      <c r="P58" s="1965" t="s">
        <v>2566</v>
      </c>
      <c r="Q58" s="1966" t="s">
        <v>2571</v>
      </c>
    </row>
    <row r="59" spans="1:17" ht="12.75" customHeight="1">
      <c r="A59" s="1962"/>
      <c r="B59" s="1840"/>
      <c r="C59" s="1850" t="s">
        <v>2635</v>
      </c>
      <c r="D59" s="1934"/>
      <c r="E59" s="1934">
        <v>4</v>
      </c>
      <c r="F59" s="1905"/>
      <c r="G59" s="1963" t="s">
        <v>2573</v>
      </c>
      <c r="H59" s="1964" t="s">
        <v>2636</v>
      </c>
      <c r="I59" s="2310"/>
      <c r="J59" s="2534">
        <v>26000</v>
      </c>
      <c r="K59" s="1615">
        <v>0</v>
      </c>
      <c r="L59" s="1636">
        <v>0</v>
      </c>
      <c r="M59" s="1636"/>
      <c r="N59" s="1615"/>
      <c r="O59" s="1635"/>
      <c r="P59" s="1965" t="s">
        <v>2566</v>
      </c>
      <c r="Q59" s="1966" t="s">
        <v>2571</v>
      </c>
    </row>
    <row r="60" spans="1:17" ht="12.75" customHeight="1">
      <c r="A60" s="1962"/>
      <c r="B60" s="1840"/>
      <c r="C60" s="1850" t="s">
        <v>2637</v>
      </c>
      <c r="D60" s="1934"/>
      <c r="E60" s="1934">
        <v>4</v>
      </c>
      <c r="F60" s="1905"/>
      <c r="G60" s="1963" t="s">
        <v>2573</v>
      </c>
      <c r="H60" s="1964" t="s">
        <v>2638</v>
      </c>
      <c r="I60" s="2310"/>
      <c r="J60" s="2534">
        <v>24623</v>
      </c>
      <c r="K60" s="1615">
        <v>0</v>
      </c>
      <c r="L60" s="1636">
        <v>0</v>
      </c>
      <c r="M60" s="1636"/>
      <c r="N60" s="1615"/>
      <c r="O60" s="1635"/>
      <c r="P60" s="1965" t="s">
        <v>2566</v>
      </c>
      <c r="Q60" s="1966" t="s">
        <v>2571</v>
      </c>
    </row>
    <row r="61" spans="1:17" ht="12.75" customHeight="1">
      <c r="A61" s="1962"/>
      <c r="B61" s="1840"/>
      <c r="C61" s="1850" t="s">
        <v>2639</v>
      </c>
      <c r="D61" s="1934"/>
      <c r="E61" s="1934">
        <v>2</v>
      </c>
      <c r="F61" s="1905"/>
      <c r="G61" s="1963" t="s">
        <v>2573</v>
      </c>
      <c r="H61" s="1964" t="s">
        <v>2591</v>
      </c>
      <c r="I61" s="2310"/>
      <c r="J61" s="2534">
        <v>27132</v>
      </c>
      <c r="K61" s="1615">
        <v>0</v>
      </c>
      <c r="L61" s="1636">
        <v>0</v>
      </c>
      <c r="M61" s="1636"/>
      <c r="N61" s="1615"/>
      <c r="O61" s="1635"/>
      <c r="P61" s="1965" t="s">
        <v>2566</v>
      </c>
      <c r="Q61" s="1966" t="s">
        <v>2571</v>
      </c>
    </row>
    <row r="62" spans="1:17" ht="12.75" customHeight="1">
      <c r="A62" s="1962"/>
      <c r="B62" s="1840"/>
      <c r="C62" s="1850" t="s">
        <v>2640</v>
      </c>
      <c r="D62" s="1934" t="s">
        <v>2641</v>
      </c>
      <c r="E62" s="1934">
        <v>3</v>
      </c>
      <c r="F62" s="1905"/>
      <c r="G62" s="1963" t="s">
        <v>2573</v>
      </c>
      <c r="H62" s="1964" t="s">
        <v>2642</v>
      </c>
      <c r="I62" s="2310"/>
      <c r="J62" s="2534">
        <v>683079</v>
      </c>
      <c r="K62" s="1615"/>
      <c r="L62" s="1636"/>
      <c r="M62" s="1636"/>
      <c r="N62" s="1615"/>
      <c r="O62" s="1635"/>
      <c r="P62" s="1965" t="s">
        <v>2566</v>
      </c>
      <c r="Q62" s="1966" t="s">
        <v>2571</v>
      </c>
    </row>
    <row r="63" spans="1:17" ht="12.75" customHeight="1">
      <c r="A63" s="1962"/>
      <c r="B63" s="1840"/>
      <c r="C63" s="1850" t="s">
        <v>2643</v>
      </c>
      <c r="D63" s="1934"/>
      <c r="E63" s="1934">
        <v>3</v>
      </c>
      <c r="F63" s="1905"/>
      <c r="G63" s="1963" t="s">
        <v>2573</v>
      </c>
      <c r="H63" s="1964" t="s">
        <v>2644</v>
      </c>
      <c r="I63" s="2310"/>
      <c r="J63" s="2534">
        <v>99975</v>
      </c>
      <c r="K63" s="1615">
        <v>0</v>
      </c>
      <c r="L63" s="1636">
        <v>0</v>
      </c>
      <c r="M63" s="1636"/>
      <c r="N63" s="1615"/>
      <c r="O63" s="1635"/>
      <c r="P63" s="1965" t="s">
        <v>2566</v>
      </c>
      <c r="Q63" s="1966" t="s">
        <v>2571</v>
      </c>
    </row>
    <row r="64" spans="1:17" ht="12.75" customHeight="1">
      <c r="A64" s="1962"/>
      <c r="B64" s="1840"/>
      <c r="C64" s="1850" t="s">
        <v>2645</v>
      </c>
      <c r="D64" s="1934"/>
      <c r="E64" s="1934">
        <v>3</v>
      </c>
      <c r="F64" s="1905"/>
      <c r="G64" s="1963" t="s">
        <v>2573</v>
      </c>
      <c r="H64" s="1964" t="s">
        <v>2646</v>
      </c>
      <c r="I64" s="2310"/>
      <c r="J64" s="2534">
        <v>0</v>
      </c>
      <c r="K64" s="1615">
        <v>0</v>
      </c>
      <c r="L64" s="1636">
        <v>0</v>
      </c>
      <c r="M64" s="1636"/>
      <c r="N64" s="1615"/>
      <c r="O64" s="1635"/>
      <c r="P64" s="1965" t="s">
        <v>2566</v>
      </c>
      <c r="Q64" s="1966" t="s">
        <v>2571</v>
      </c>
    </row>
    <row r="65" spans="1:17" ht="12.75" customHeight="1">
      <c r="A65" s="1962"/>
      <c r="B65" s="1840"/>
      <c r="C65" s="1850" t="s">
        <v>2647</v>
      </c>
      <c r="D65" s="1934"/>
      <c r="E65" s="1934">
        <v>3</v>
      </c>
      <c r="F65" s="1905"/>
      <c r="G65" s="1963" t="s">
        <v>2578</v>
      </c>
      <c r="H65" s="1964" t="s">
        <v>2648</v>
      </c>
      <c r="I65" s="2310"/>
      <c r="J65" s="2534">
        <v>44767</v>
      </c>
      <c r="K65" s="1615">
        <v>0</v>
      </c>
      <c r="L65" s="1636">
        <v>0</v>
      </c>
      <c r="M65" s="1636"/>
      <c r="N65" s="1615"/>
      <c r="O65" s="1635"/>
      <c r="P65" s="1965" t="s">
        <v>2566</v>
      </c>
      <c r="Q65" s="1966" t="s">
        <v>2571</v>
      </c>
    </row>
    <row r="66" spans="1:17" ht="12.75" customHeight="1">
      <c r="A66" s="1962"/>
      <c r="B66" s="1840"/>
      <c r="C66" s="1850" t="s">
        <v>2649</v>
      </c>
      <c r="D66" s="1934"/>
      <c r="E66" s="1934">
        <v>3</v>
      </c>
      <c r="F66" s="1905"/>
      <c r="G66" s="1963" t="s">
        <v>2573</v>
      </c>
      <c r="H66" s="1964" t="s">
        <v>2650</v>
      </c>
      <c r="I66" s="2310"/>
      <c r="J66" s="2534">
        <v>198000</v>
      </c>
      <c r="K66" s="1615">
        <v>0</v>
      </c>
      <c r="L66" s="1636">
        <v>0</v>
      </c>
      <c r="M66" s="1636"/>
      <c r="N66" s="1615"/>
      <c r="O66" s="1635"/>
      <c r="P66" s="1965" t="s">
        <v>2566</v>
      </c>
      <c r="Q66" s="1966" t="s">
        <v>2571</v>
      </c>
    </row>
    <row r="67" spans="1:17" ht="12.75" customHeight="1">
      <c r="A67" s="1962"/>
      <c r="B67" s="1840"/>
      <c r="C67" s="1850" t="s">
        <v>2651</v>
      </c>
      <c r="D67" s="1934"/>
      <c r="E67" s="1934">
        <v>3</v>
      </c>
      <c r="F67" s="1905"/>
      <c r="G67" s="1963" t="s">
        <v>2573</v>
      </c>
      <c r="H67" s="1964" t="s">
        <v>2652</v>
      </c>
      <c r="I67" s="2310"/>
      <c r="J67" s="2534">
        <v>1584987</v>
      </c>
      <c r="K67" s="1615">
        <v>0</v>
      </c>
      <c r="L67" s="1636">
        <v>0</v>
      </c>
      <c r="M67" s="1636"/>
      <c r="N67" s="1615"/>
      <c r="O67" s="1635"/>
      <c r="P67" s="1965" t="s">
        <v>2566</v>
      </c>
      <c r="Q67" s="1966" t="s">
        <v>2571</v>
      </c>
    </row>
    <row r="68" spans="1:17" ht="12.75" customHeight="1">
      <c r="A68" s="1962"/>
      <c r="B68" s="1840"/>
      <c r="C68" s="1850" t="s">
        <v>2653</v>
      </c>
      <c r="D68" s="1934"/>
      <c r="E68" s="1934">
        <v>3</v>
      </c>
      <c r="F68" s="1905"/>
      <c r="G68" s="1963" t="s">
        <v>2573</v>
      </c>
      <c r="H68" s="1964" t="s">
        <v>2654</v>
      </c>
      <c r="I68" s="2310"/>
      <c r="J68" s="2534">
        <v>0</v>
      </c>
      <c r="K68" s="1615">
        <v>0</v>
      </c>
      <c r="L68" s="1636">
        <v>0</v>
      </c>
      <c r="M68" s="1636"/>
      <c r="N68" s="1615"/>
      <c r="O68" s="1635"/>
      <c r="P68" s="1965" t="s">
        <v>2566</v>
      </c>
      <c r="Q68" s="1966" t="s">
        <v>2571</v>
      </c>
    </row>
    <row r="69" spans="1:17" ht="12.75" customHeight="1">
      <c r="A69" s="1962"/>
      <c r="B69" s="1840"/>
      <c r="C69" s="1850" t="s">
        <v>2655</v>
      </c>
      <c r="D69" s="1934" t="s">
        <v>2656</v>
      </c>
      <c r="E69" s="1934">
        <v>3</v>
      </c>
      <c r="F69" s="1905"/>
      <c r="G69" s="1963" t="s">
        <v>2573</v>
      </c>
      <c r="H69" s="1964" t="s">
        <v>2657</v>
      </c>
      <c r="I69" s="2310"/>
      <c r="J69" s="2534">
        <v>42000</v>
      </c>
      <c r="K69" s="1615"/>
      <c r="L69" s="1636"/>
      <c r="M69" s="1636"/>
      <c r="N69" s="1615"/>
      <c r="O69" s="1635"/>
      <c r="P69" s="1965" t="s">
        <v>2566</v>
      </c>
      <c r="Q69" s="1966" t="s">
        <v>2571</v>
      </c>
    </row>
    <row r="70" spans="1:17" ht="12.75" customHeight="1">
      <c r="A70" s="1962"/>
      <c r="B70" s="1840"/>
      <c r="C70" s="1850" t="s">
        <v>2658</v>
      </c>
      <c r="D70" s="1934"/>
      <c r="E70" s="1934">
        <v>3</v>
      </c>
      <c r="F70" s="1905"/>
      <c r="G70" s="1963" t="s">
        <v>2573</v>
      </c>
      <c r="H70" s="1964" t="s">
        <v>2596</v>
      </c>
      <c r="I70" s="2310"/>
      <c r="J70" s="2534">
        <v>52768</v>
      </c>
      <c r="K70" s="1615">
        <v>0</v>
      </c>
      <c r="L70" s="1636">
        <v>0</v>
      </c>
      <c r="M70" s="1636"/>
      <c r="N70" s="1615"/>
      <c r="O70" s="1635"/>
      <c r="P70" s="1965" t="s">
        <v>2566</v>
      </c>
      <c r="Q70" s="1966" t="s">
        <v>2571</v>
      </c>
    </row>
    <row r="71" spans="1:17" ht="12.75" customHeight="1">
      <c r="A71" s="1962"/>
      <c r="B71" s="1840"/>
      <c r="C71" s="1850" t="s">
        <v>2659</v>
      </c>
      <c r="D71" s="1934"/>
      <c r="E71" s="1934">
        <v>3</v>
      </c>
      <c r="F71" s="1905"/>
      <c r="G71" s="1963" t="s">
        <v>2573</v>
      </c>
      <c r="H71" s="1964" t="s">
        <v>2591</v>
      </c>
      <c r="I71" s="2310"/>
      <c r="J71" s="2534">
        <v>6783</v>
      </c>
      <c r="K71" s="1615">
        <v>0</v>
      </c>
      <c r="L71" s="1636">
        <v>0</v>
      </c>
      <c r="M71" s="1636"/>
      <c r="N71" s="1615"/>
      <c r="O71" s="1635"/>
      <c r="P71" s="1965" t="s">
        <v>2566</v>
      </c>
      <c r="Q71" s="1966" t="s">
        <v>2571</v>
      </c>
    </row>
    <row r="72" spans="1:17" ht="12.75" customHeight="1">
      <c r="A72" s="1962"/>
      <c r="B72" s="1840"/>
      <c r="C72" s="1850" t="s">
        <v>2660</v>
      </c>
      <c r="D72" s="1934"/>
      <c r="E72" s="1934">
        <v>3</v>
      </c>
      <c r="F72" s="1905"/>
      <c r="G72" s="1963" t="s">
        <v>2573</v>
      </c>
      <c r="H72" s="1964" t="s">
        <v>2591</v>
      </c>
      <c r="I72" s="2310"/>
      <c r="J72" s="2534">
        <v>0</v>
      </c>
      <c r="K72" s="1615">
        <v>0</v>
      </c>
      <c r="L72" s="1636">
        <v>0</v>
      </c>
      <c r="M72" s="1636"/>
      <c r="N72" s="1615"/>
      <c r="O72" s="1635"/>
      <c r="P72" s="1965" t="s">
        <v>2566</v>
      </c>
      <c r="Q72" s="1966" t="s">
        <v>2571</v>
      </c>
    </row>
    <row r="73" spans="1:17" ht="12.75" customHeight="1">
      <c r="A73" s="1962"/>
      <c r="B73" s="1840"/>
      <c r="C73" s="1850" t="s">
        <v>2661</v>
      </c>
      <c r="D73" s="1934"/>
      <c r="E73" s="1934">
        <v>3</v>
      </c>
      <c r="F73" s="1905"/>
      <c r="G73" s="1963" t="s">
        <v>2573</v>
      </c>
      <c r="H73" s="1964" t="s">
        <v>2564</v>
      </c>
      <c r="I73" s="2310"/>
      <c r="J73" s="2534">
        <v>0</v>
      </c>
      <c r="K73" s="1615">
        <v>0</v>
      </c>
      <c r="L73" s="1636">
        <v>0</v>
      </c>
      <c r="M73" s="1636"/>
      <c r="N73" s="1615"/>
      <c r="O73" s="1635"/>
      <c r="P73" s="1965" t="s">
        <v>2566</v>
      </c>
      <c r="Q73" s="1966" t="s">
        <v>2571</v>
      </c>
    </row>
    <row r="74" spans="1:17" ht="12.75" customHeight="1">
      <c r="A74" s="1962"/>
      <c r="B74" s="1840"/>
      <c r="C74" s="1850" t="s">
        <v>2662</v>
      </c>
      <c r="D74" s="1934"/>
      <c r="E74" s="1934">
        <v>3</v>
      </c>
      <c r="F74" s="1905"/>
      <c r="G74" s="1963" t="s">
        <v>2573</v>
      </c>
      <c r="H74" s="1964" t="s">
        <v>2564</v>
      </c>
      <c r="I74" s="2310"/>
      <c r="J74" s="2534">
        <v>0</v>
      </c>
      <c r="K74" s="1615">
        <v>0</v>
      </c>
      <c r="L74" s="1636">
        <v>0</v>
      </c>
      <c r="M74" s="1636"/>
      <c r="N74" s="1615"/>
      <c r="O74" s="1635"/>
      <c r="P74" s="1965" t="s">
        <v>2566</v>
      </c>
      <c r="Q74" s="1966" t="s">
        <v>2571</v>
      </c>
    </row>
    <row r="75" spans="1:17" ht="12.75" customHeight="1">
      <c r="A75" s="1962"/>
      <c r="B75" s="1840"/>
      <c r="C75" s="1850" t="s">
        <v>2663</v>
      </c>
      <c r="D75" s="1934"/>
      <c r="E75" s="1934">
        <v>3</v>
      </c>
      <c r="F75" s="1905"/>
      <c r="G75" s="1963" t="s">
        <v>2581</v>
      </c>
      <c r="H75" s="1964" t="s">
        <v>2664</v>
      </c>
      <c r="I75" s="2310"/>
      <c r="J75" s="2534">
        <v>17785</v>
      </c>
      <c r="K75" s="1615">
        <v>0</v>
      </c>
      <c r="L75" s="1636">
        <v>0</v>
      </c>
      <c r="M75" s="1636"/>
      <c r="N75" s="1615"/>
      <c r="O75" s="1635"/>
      <c r="P75" s="1965" t="s">
        <v>2566</v>
      </c>
      <c r="Q75" s="1966" t="s">
        <v>2571</v>
      </c>
    </row>
    <row r="76" spans="1:17" ht="12.75" customHeight="1">
      <c r="A76" s="1962"/>
      <c r="B76" s="1840"/>
      <c r="C76" s="1850" t="s">
        <v>2665</v>
      </c>
      <c r="D76" s="1934"/>
      <c r="E76" s="1934">
        <v>3</v>
      </c>
      <c r="F76" s="1905"/>
      <c r="G76" s="1963" t="s">
        <v>2573</v>
      </c>
      <c r="H76" s="1964" t="s">
        <v>2564</v>
      </c>
      <c r="I76" s="2310"/>
      <c r="J76" s="2534">
        <v>0</v>
      </c>
      <c r="K76" s="1615">
        <v>0</v>
      </c>
      <c r="L76" s="1636">
        <v>0</v>
      </c>
      <c r="M76" s="1636"/>
      <c r="N76" s="1615"/>
      <c r="O76" s="1635"/>
      <c r="P76" s="1965" t="s">
        <v>2566</v>
      </c>
      <c r="Q76" s="1966" t="s">
        <v>2571</v>
      </c>
    </row>
    <row r="77" spans="1:17" ht="12.75" customHeight="1">
      <c r="A77" s="1962"/>
      <c r="B77" s="1840"/>
      <c r="C77" s="1850" t="s">
        <v>2666</v>
      </c>
      <c r="D77" s="1934"/>
      <c r="E77" s="1934">
        <v>3</v>
      </c>
      <c r="F77" s="1905"/>
      <c r="G77" s="1963" t="s">
        <v>2573</v>
      </c>
      <c r="H77" s="1964" t="s">
        <v>2594</v>
      </c>
      <c r="I77" s="2310"/>
      <c r="J77" s="2534">
        <v>0</v>
      </c>
      <c r="K77" s="1615">
        <v>0</v>
      </c>
      <c r="L77" s="1636">
        <v>0</v>
      </c>
      <c r="M77" s="1636"/>
      <c r="N77" s="1615"/>
      <c r="O77" s="1635"/>
      <c r="P77" s="1965" t="s">
        <v>2566</v>
      </c>
      <c r="Q77" s="1966" t="s">
        <v>2571</v>
      </c>
    </row>
    <row r="78" spans="1:17" ht="12.75" customHeight="1">
      <c r="A78" s="1962"/>
      <c r="B78" s="1840"/>
      <c r="C78" s="1850" t="s">
        <v>2667</v>
      </c>
      <c r="D78" s="1934"/>
      <c r="E78" s="1934">
        <v>3</v>
      </c>
      <c r="F78" s="1905"/>
      <c r="G78" s="1963" t="s">
        <v>2573</v>
      </c>
      <c r="H78" s="1964" t="s">
        <v>2668</v>
      </c>
      <c r="I78" s="2310"/>
      <c r="J78" s="2534">
        <v>361072</v>
      </c>
      <c r="K78" s="1615">
        <v>0</v>
      </c>
      <c r="L78" s="1636">
        <v>0</v>
      </c>
      <c r="M78" s="1636"/>
      <c r="N78" s="1615"/>
      <c r="O78" s="1635"/>
      <c r="P78" s="1965" t="s">
        <v>2566</v>
      </c>
      <c r="Q78" s="1966" t="s">
        <v>2571</v>
      </c>
    </row>
    <row r="79" spans="1:17" ht="12.75" customHeight="1">
      <c r="A79" s="1962"/>
      <c r="B79" s="1840"/>
      <c r="C79" s="1850" t="s">
        <v>2669</v>
      </c>
      <c r="D79" s="1934"/>
      <c r="E79" s="1934">
        <v>3</v>
      </c>
      <c r="F79" s="1905"/>
      <c r="G79" s="1963" t="s">
        <v>2573</v>
      </c>
      <c r="H79" s="1964" t="s">
        <v>2668</v>
      </c>
      <c r="I79" s="2310"/>
      <c r="J79" s="2534">
        <v>153922</v>
      </c>
      <c r="K79" s="1615">
        <v>0</v>
      </c>
      <c r="L79" s="1636">
        <v>0</v>
      </c>
      <c r="M79" s="1636"/>
      <c r="N79" s="1615"/>
      <c r="O79" s="1635"/>
      <c r="P79" s="1965" t="s">
        <v>2566</v>
      </c>
      <c r="Q79" s="1966" t="s">
        <v>2571</v>
      </c>
    </row>
    <row r="80" spans="1:17" ht="12.75" customHeight="1">
      <c r="A80" s="1962"/>
      <c r="B80" s="1840"/>
      <c r="C80" s="1850" t="s">
        <v>2670</v>
      </c>
      <c r="D80" s="1934"/>
      <c r="E80" s="1934">
        <v>3</v>
      </c>
      <c r="F80" s="1905"/>
      <c r="G80" s="1963" t="s">
        <v>2573</v>
      </c>
      <c r="H80" s="1964" t="s">
        <v>2671</v>
      </c>
      <c r="I80" s="2310"/>
      <c r="J80" s="2534">
        <v>76048</v>
      </c>
      <c r="K80" s="1615">
        <v>0</v>
      </c>
      <c r="L80" s="1636">
        <v>0</v>
      </c>
      <c r="M80" s="1636"/>
      <c r="N80" s="1615"/>
      <c r="O80" s="1635"/>
      <c r="P80" s="1965" t="s">
        <v>2566</v>
      </c>
      <c r="Q80" s="1966" t="s">
        <v>2571</v>
      </c>
    </row>
    <row r="81" spans="1:17" ht="12.75" customHeight="1">
      <c r="A81" s="1962"/>
      <c r="B81" s="1840"/>
      <c r="C81" s="1850" t="s">
        <v>2672</v>
      </c>
      <c r="D81" s="1934"/>
      <c r="E81" s="1934">
        <v>3</v>
      </c>
      <c r="F81" s="1905"/>
      <c r="G81" s="1963" t="s">
        <v>2573</v>
      </c>
      <c r="H81" s="1964" t="s">
        <v>2636</v>
      </c>
      <c r="I81" s="2310"/>
      <c r="J81" s="2534">
        <v>40329</v>
      </c>
      <c r="K81" s="1615">
        <v>0</v>
      </c>
      <c r="L81" s="1636">
        <v>0</v>
      </c>
      <c r="M81" s="1636"/>
      <c r="N81" s="1615"/>
      <c r="O81" s="1635"/>
      <c r="P81" s="1965" t="s">
        <v>2566</v>
      </c>
      <c r="Q81" s="1966" t="s">
        <v>2571</v>
      </c>
    </row>
    <row r="82" spans="1:17" ht="12.75" customHeight="1">
      <c r="A82" s="1962"/>
      <c r="B82" s="1840"/>
      <c r="C82" s="1850" t="s">
        <v>2673</v>
      </c>
      <c r="D82" s="1934"/>
      <c r="E82" s="1934">
        <v>3</v>
      </c>
      <c r="F82" s="1905"/>
      <c r="G82" s="1963" t="s">
        <v>2573</v>
      </c>
      <c r="H82" s="1964" t="s">
        <v>2674</v>
      </c>
      <c r="I82" s="2310"/>
      <c r="J82" s="2534">
        <v>18063</v>
      </c>
      <c r="K82" s="1615">
        <v>0</v>
      </c>
      <c r="L82" s="1636">
        <v>0</v>
      </c>
      <c r="M82" s="1636"/>
      <c r="N82" s="1615"/>
      <c r="O82" s="1635"/>
      <c r="P82" s="1965" t="s">
        <v>2566</v>
      </c>
      <c r="Q82" s="1966" t="s">
        <v>2571</v>
      </c>
    </row>
    <row r="83" spans="1:17" ht="12.75" customHeight="1">
      <c r="A83" s="1962"/>
      <c r="B83" s="1840"/>
      <c r="C83" s="1850" t="s">
        <v>2675</v>
      </c>
      <c r="D83" s="1934" t="s">
        <v>2676</v>
      </c>
      <c r="E83" s="1934">
        <v>3</v>
      </c>
      <c r="F83" s="1905"/>
      <c r="G83" s="1963" t="s">
        <v>2581</v>
      </c>
      <c r="H83" s="1964" t="s">
        <v>2677</v>
      </c>
      <c r="I83" s="2310"/>
      <c r="J83" s="2534">
        <v>513000</v>
      </c>
      <c r="K83" s="1615"/>
      <c r="L83" s="1636"/>
      <c r="M83" s="1636"/>
      <c r="N83" s="1615"/>
      <c r="O83" s="1635"/>
      <c r="P83" s="1965" t="s">
        <v>2566</v>
      </c>
      <c r="Q83" s="1966" t="s">
        <v>2571</v>
      </c>
    </row>
    <row r="84" spans="1:17" ht="12.75" customHeight="1">
      <c r="A84" s="1962"/>
      <c r="B84" s="1840"/>
      <c r="C84" s="1850" t="s">
        <v>2678</v>
      </c>
      <c r="D84" s="1934" t="s">
        <v>2679</v>
      </c>
      <c r="E84" s="1934">
        <v>3</v>
      </c>
      <c r="F84" s="1905"/>
      <c r="G84" s="1963" t="s">
        <v>2581</v>
      </c>
      <c r="H84" s="1964" t="s">
        <v>2677</v>
      </c>
      <c r="I84" s="2310"/>
      <c r="J84" s="2534">
        <v>528569</v>
      </c>
      <c r="K84" s="1615"/>
      <c r="L84" s="1636"/>
      <c r="M84" s="1636"/>
      <c r="N84" s="1615"/>
      <c r="O84" s="1635"/>
      <c r="P84" s="1965" t="s">
        <v>2566</v>
      </c>
      <c r="Q84" s="1966" t="s">
        <v>2571</v>
      </c>
    </row>
    <row r="85" spans="1:17" ht="12.75" customHeight="1">
      <c r="A85" s="1962"/>
      <c r="B85" s="1840"/>
      <c r="C85" s="1850" t="s">
        <v>2680</v>
      </c>
      <c r="D85" s="1934"/>
      <c r="E85" s="1934">
        <v>4</v>
      </c>
      <c r="F85" s="1905"/>
      <c r="G85" s="1963" t="s">
        <v>2573</v>
      </c>
      <c r="H85" s="1964" t="s">
        <v>2623</v>
      </c>
      <c r="I85" s="2310"/>
      <c r="J85" s="2534">
        <v>11073</v>
      </c>
      <c r="K85" s="1615">
        <v>0</v>
      </c>
      <c r="L85" s="1636">
        <v>0</v>
      </c>
      <c r="M85" s="1636"/>
      <c r="N85" s="1615"/>
      <c r="O85" s="1635"/>
      <c r="P85" s="1965" t="s">
        <v>2566</v>
      </c>
      <c r="Q85" s="1966" t="s">
        <v>2571</v>
      </c>
    </row>
    <row r="86" spans="1:17" ht="12.75" customHeight="1">
      <c r="A86" s="1962"/>
      <c r="B86" s="1840"/>
      <c r="C86" s="1850" t="s">
        <v>2681</v>
      </c>
      <c r="D86" s="1934"/>
      <c r="E86" s="1934">
        <v>4</v>
      </c>
      <c r="F86" s="1905"/>
      <c r="G86" s="1963" t="s">
        <v>2573</v>
      </c>
      <c r="H86" s="1964" t="s">
        <v>2564</v>
      </c>
      <c r="I86" s="2310"/>
      <c r="J86" s="2534">
        <v>3426</v>
      </c>
      <c r="K86" s="1615">
        <v>0</v>
      </c>
      <c r="L86" s="1636">
        <v>0</v>
      </c>
      <c r="M86" s="1636"/>
      <c r="N86" s="1615"/>
      <c r="O86" s="1635"/>
      <c r="P86" s="1965" t="s">
        <v>2566</v>
      </c>
      <c r="Q86" s="1966" t="s">
        <v>2571</v>
      </c>
    </row>
    <row r="87" spans="1:17" ht="12.75" customHeight="1">
      <c r="A87" s="1962"/>
      <c r="B87" s="1840"/>
      <c r="C87" s="1850" t="s">
        <v>2682</v>
      </c>
      <c r="D87" s="1934"/>
      <c r="E87" s="1934">
        <v>4</v>
      </c>
      <c r="F87" s="1905"/>
      <c r="G87" s="1963" t="s">
        <v>2573</v>
      </c>
      <c r="H87" s="1964" t="s">
        <v>2591</v>
      </c>
      <c r="I87" s="2310"/>
      <c r="J87" s="2534">
        <v>15000</v>
      </c>
      <c r="K87" s="1615">
        <v>0</v>
      </c>
      <c r="L87" s="1636">
        <v>0</v>
      </c>
      <c r="M87" s="1636"/>
      <c r="N87" s="1615"/>
      <c r="O87" s="1635"/>
      <c r="P87" s="1965" t="s">
        <v>2566</v>
      </c>
      <c r="Q87" s="1966" t="s">
        <v>2571</v>
      </c>
    </row>
    <row r="88" spans="1:17" ht="12.75" customHeight="1">
      <c r="A88" s="1962"/>
      <c r="B88" s="1840"/>
      <c r="C88" s="1850" t="s">
        <v>2683</v>
      </c>
      <c r="D88" s="1934"/>
      <c r="E88" s="1934">
        <v>4</v>
      </c>
      <c r="F88" s="1905"/>
      <c r="G88" s="1963" t="s">
        <v>2573</v>
      </c>
      <c r="H88" s="1964" t="s">
        <v>2684</v>
      </c>
      <c r="I88" s="2310"/>
      <c r="J88" s="2534">
        <v>6837</v>
      </c>
      <c r="K88" s="1615">
        <v>0</v>
      </c>
      <c r="L88" s="1636">
        <v>0</v>
      </c>
      <c r="M88" s="1636"/>
      <c r="N88" s="1615"/>
      <c r="O88" s="1635"/>
      <c r="P88" s="1965" t="s">
        <v>2566</v>
      </c>
      <c r="Q88" s="1966" t="s">
        <v>2571</v>
      </c>
    </row>
    <row r="89" spans="1:17" ht="12.75" customHeight="1">
      <c r="A89" s="1962"/>
      <c r="B89" s="1840"/>
      <c r="C89" s="1850" t="s">
        <v>2685</v>
      </c>
      <c r="D89" s="1934"/>
      <c r="E89" s="1934">
        <v>4</v>
      </c>
      <c r="F89" s="1905"/>
      <c r="G89" s="1963" t="s">
        <v>2573</v>
      </c>
      <c r="H89" s="1964" t="s">
        <v>2595</v>
      </c>
      <c r="I89" s="2310"/>
      <c r="J89" s="2534">
        <v>4297</v>
      </c>
      <c r="K89" s="1615">
        <v>0</v>
      </c>
      <c r="L89" s="1636">
        <v>0</v>
      </c>
      <c r="M89" s="1636"/>
      <c r="N89" s="1615"/>
      <c r="O89" s="1635"/>
      <c r="P89" s="1965" t="s">
        <v>2566</v>
      </c>
      <c r="Q89" s="1966" t="s">
        <v>2571</v>
      </c>
    </row>
    <row r="90" spans="1:17" ht="12.75" customHeight="1">
      <c r="A90" s="1962"/>
      <c r="B90" s="1840"/>
      <c r="C90" s="1850" t="s">
        <v>2686</v>
      </c>
      <c r="D90" s="1934"/>
      <c r="E90" s="1934">
        <v>4</v>
      </c>
      <c r="F90" s="1905"/>
      <c r="G90" s="1963" t="s">
        <v>2573</v>
      </c>
      <c r="H90" s="1964" t="s">
        <v>2687</v>
      </c>
      <c r="I90" s="2310"/>
      <c r="J90" s="2534">
        <v>42835</v>
      </c>
      <c r="K90" s="1615">
        <v>0</v>
      </c>
      <c r="L90" s="1636">
        <v>0</v>
      </c>
      <c r="M90" s="1636"/>
      <c r="N90" s="1615"/>
      <c r="O90" s="1635"/>
      <c r="P90" s="1965">
        <v>29</v>
      </c>
      <c r="Q90" s="1966" t="s">
        <v>2571</v>
      </c>
    </row>
    <row r="91" spans="1:17" ht="12.75" customHeight="1">
      <c r="A91" s="1962"/>
      <c r="B91" s="1840"/>
      <c r="C91" s="1850" t="s">
        <v>2575</v>
      </c>
      <c r="D91" s="1934"/>
      <c r="E91" s="1934">
        <v>4</v>
      </c>
      <c r="F91" s="1905"/>
      <c r="G91" s="1963" t="s">
        <v>2573</v>
      </c>
      <c r="H91" s="1964" t="s">
        <v>2564</v>
      </c>
      <c r="I91" s="2310"/>
      <c r="J91" s="2534">
        <v>332</v>
      </c>
      <c r="K91" s="1615">
        <v>0</v>
      </c>
      <c r="L91" s="1636">
        <v>0</v>
      </c>
      <c r="M91" s="1636"/>
      <c r="N91" s="1615"/>
      <c r="O91" s="1635"/>
      <c r="P91" s="1965" t="s">
        <v>2566</v>
      </c>
      <c r="Q91" s="1966" t="s">
        <v>2571</v>
      </c>
    </row>
    <row r="92" spans="1:17" ht="12.75" customHeight="1">
      <c r="A92" s="1962"/>
      <c r="B92" s="1840"/>
      <c r="C92" s="1850" t="s">
        <v>2684</v>
      </c>
      <c r="D92" s="1934"/>
      <c r="E92" s="1934">
        <v>4</v>
      </c>
      <c r="F92" s="1905"/>
      <c r="G92" s="1963" t="s">
        <v>2573</v>
      </c>
      <c r="H92" s="1964" t="s">
        <v>2688</v>
      </c>
      <c r="I92" s="2310"/>
      <c r="J92" s="2534">
        <v>1558</v>
      </c>
      <c r="K92" s="1615">
        <v>0</v>
      </c>
      <c r="L92" s="1636">
        <v>0</v>
      </c>
      <c r="M92" s="1636"/>
      <c r="N92" s="1615"/>
      <c r="O92" s="1635"/>
      <c r="P92" s="1965" t="s">
        <v>2566</v>
      </c>
      <c r="Q92" s="1966" t="s">
        <v>2571</v>
      </c>
    </row>
    <row r="93" spans="1:17" ht="12.75" customHeight="1">
      <c r="A93" s="1962"/>
      <c r="B93" s="1840"/>
      <c r="C93" s="1850" t="s">
        <v>2627</v>
      </c>
      <c r="D93" s="1934"/>
      <c r="E93" s="1934">
        <v>3</v>
      </c>
      <c r="F93" s="1905"/>
      <c r="G93" s="1963" t="s">
        <v>2573</v>
      </c>
      <c r="H93" s="1964" t="s">
        <v>2627</v>
      </c>
      <c r="I93" s="2310"/>
      <c r="J93" s="2534">
        <v>3420</v>
      </c>
      <c r="K93" s="1615">
        <v>0</v>
      </c>
      <c r="L93" s="1636">
        <v>0</v>
      </c>
      <c r="M93" s="1636"/>
      <c r="N93" s="1615"/>
      <c r="O93" s="1635"/>
      <c r="P93" s="1965" t="s">
        <v>2566</v>
      </c>
      <c r="Q93" s="1966" t="s">
        <v>2587</v>
      </c>
    </row>
    <row r="94" spans="1:17" ht="12.75" customHeight="1">
      <c r="A94" s="1962"/>
      <c r="B94" s="1840"/>
      <c r="C94" s="1850" t="s">
        <v>2689</v>
      </c>
      <c r="D94" s="1934"/>
      <c r="E94" s="1934">
        <v>3</v>
      </c>
      <c r="F94" s="1905"/>
      <c r="G94" s="1963" t="s">
        <v>2564</v>
      </c>
      <c r="H94" s="1964" t="s">
        <v>2689</v>
      </c>
      <c r="I94" s="2310"/>
      <c r="J94" s="2534">
        <v>877</v>
      </c>
      <c r="K94" s="1615">
        <v>0</v>
      </c>
      <c r="L94" s="1636">
        <v>0</v>
      </c>
      <c r="M94" s="1636"/>
      <c r="N94" s="1615"/>
      <c r="O94" s="1635"/>
      <c r="P94" s="1965" t="s">
        <v>2566</v>
      </c>
      <c r="Q94" s="1966" t="s">
        <v>2587</v>
      </c>
    </row>
    <row r="95" spans="1:17" ht="12.75" customHeight="1">
      <c r="A95" s="1962"/>
      <c r="B95" s="1840"/>
      <c r="C95" s="1850" t="s">
        <v>2690</v>
      </c>
      <c r="D95" s="1934"/>
      <c r="E95" s="1934">
        <v>3</v>
      </c>
      <c r="F95" s="1905"/>
      <c r="G95" s="1963" t="s">
        <v>2573</v>
      </c>
      <c r="H95" s="1964" t="s">
        <v>2690</v>
      </c>
      <c r="I95" s="2310"/>
      <c r="J95" s="2534">
        <v>10</v>
      </c>
      <c r="K95" s="1615">
        <v>0</v>
      </c>
      <c r="L95" s="1636">
        <v>0</v>
      </c>
      <c r="M95" s="1636"/>
      <c r="N95" s="1615"/>
      <c r="O95" s="1635"/>
      <c r="P95" s="1965" t="s">
        <v>2566</v>
      </c>
      <c r="Q95" s="1966" t="s">
        <v>2571</v>
      </c>
    </row>
    <row r="96" spans="1:17" ht="12.75" customHeight="1">
      <c r="A96" s="1962"/>
      <c r="B96" s="1840"/>
      <c r="C96" s="1850" t="s">
        <v>2691</v>
      </c>
      <c r="D96" s="1934"/>
      <c r="E96" s="1934">
        <v>3</v>
      </c>
      <c r="F96" s="1905"/>
      <c r="G96" s="1963" t="s">
        <v>2581</v>
      </c>
      <c r="H96" s="1964" t="s">
        <v>2692</v>
      </c>
      <c r="I96" s="2310"/>
      <c r="J96" s="2534">
        <v>403774</v>
      </c>
      <c r="K96" s="1615">
        <v>0</v>
      </c>
      <c r="L96" s="1636">
        <v>0</v>
      </c>
      <c r="M96" s="1636"/>
      <c r="N96" s="1615"/>
      <c r="O96" s="1635"/>
      <c r="P96" s="1965">
        <v>25</v>
      </c>
      <c r="Q96" s="1966" t="s">
        <v>2571</v>
      </c>
    </row>
    <row r="97" spans="1:17" ht="12.75" customHeight="1">
      <c r="A97" s="1962"/>
      <c r="B97" s="1840"/>
      <c r="C97" s="1850" t="s">
        <v>2693</v>
      </c>
      <c r="D97" s="1934"/>
      <c r="E97" s="1934">
        <v>3</v>
      </c>
      <c r="F97" s="1905"/>
      <c r="G97" s="1963" t="s">
        <v>2581</v>
      </c>
      <c r="H97" s="1964" t="s">
        <v>2692</v>
      </c>
      <c r="I97" s="2310"/>
      <c r="J97" s="2534">
        <v>301769</v>
      </c>
      <c r="K97" s="1615">
        <v>0</v>
      </c>
      <c r="L97" s="1636">
        <v>0</v>
      </c>
      <c r="M97" s="1636"/>
      <c r="N97" s="1615"/>
      <c r="O97" s="1635"/>
      <c r="P97" s="1965">
        <v>2</v>
      </c>
      <c r="Q97" s="1966" t="s">
        <v>2571</v>
      </c>
    </row>
    <row r="98" spans="1:17" ht="12.75" customHeight="1">
      <c r="A98" s="1962"/>
      <c r="B98" s="1840"/>
      <c r="C98" s="1850" t="s">
        <v>2694</v>
      </c>
      <c r="D98" s="1934"/>
      <c r="E98" s="1934">
        <v>3</v>
      </c>
      <c r="F98" s="1905"/>
      <c r="G98" s="1963" t="s">
        <v>2581</v>
      </c>
      <c r="H98" s="1964" t="s">
        <v>2692</v>
      </c>
      <c r="I98" s="2310"/>
      <c r="J98" s="2534">
        <v>290686</v>
      </c>
      <c r="K98" s="1615">
        <v>0</v>
      </c>
      <c r="L98" s="1636">
        <v>0</v>
      </c>
      <c r="M98" s="1636"/>
      <c r="N98" s="1615"/>
      <c r="O98" s="1635"/>
      <c r="P98" s="1965">
        <v>2</v>
      </c>
      <c r="Q98" s="1966" t="s">
        <v>2571</v>
      </c>
    </row>
    <row r="99" spans="1:17" ht="12.75" customHeight="1">
      <c r="A99" s="1962"/>
      <c r="B99" s="1840"/>
      <c r="C99" s="1850" t="s">
        <v>2695</v>
      </c>
      <c r="D99" s="1934"/>
      <c r="E99" s="1934">
        <v>3</v>
      </c>
      <c r="F99" s="1905"/>
      <c r="G99" s="1963" t="s">
        <v>2581</v>
      </c>
      <c r="H99" s="1964" t="s">
        <v>2692</v>
      </c>
      <c r="I99" s="2310"/>
      <c r="J99" s="2534">
        <v>193382</v>
      </c>
      <c r="K99" s="1615">
        <v>0</v>
      </c>
      <c r="L99" s="1636">
        <v>0</v>
      </c>
      <c r="M99" s="1636"/>
      <c r="N99" s="1615"/>
      <c r="O99" s="1635"/>
      <c r="P99" s="1965">
        <v>12</v>
      </c>
      <c r="Q99" s="1966" t="s">
        <v>2571</v>
      </c>
    </row>
    <row r="100" spans="1:17" ht="12.75" customHeight="1">
      <c r="A100" s="1962"/>
      <c r="B100" s="1840"/>
      <c r="C100" s="1850" t="s">
        <v>2696</v>
      </c>
      <c r="D100" s="1934"/>
      <c r="E100" s="1934">
        <v>3</v>
      </c>
      <c r="F100" s="1905"/>
      <c r="G100" s="1963" t="s">
        <v>2578</v>
      </c>
      <c r="H100" s="1964" t="s">
        <v>2697</v>
      </c>
      <c r="I100" s="2310"/>
      <c r="J100" s="2534">
        <v>438559</v>
      </c>
      <c r="K100" s="1615">
        <v>0</v>
      </c>
      <c r="L100" s="1636">
        <v>0</v>
      </c>
      <c r="M100" s="1636"/>
      <c r="N100" s="1615"/>
      <c r="O100" s="1635"/>
      <c r="P100" s="1965">
        <v>27</v>
      </c>
      <c r="Q100" s="1966" t="s">
        <v>2571</v>
      </c>
    </row>
    <row r="101" spans="1:17" ht="12.75" customHeight="1">
      <c r="A101" s="1962"/>
      <c r="B101" s="1840"/>
      <c r="C101" s="1850" t="s">
        <v>2698</v>
      </c>
      <c r="D101" s="1934"/>
      <c r="E101" s="1934">
        <v>3</v>
      </c>
      <c r="F101" s="1905"/>
      <c r="G101" s="1963" t="s">
        <v>2581</v>
      </c>
      <c r="H101" s="1964" t="s">
        <v>2699</v>
      </c>
      <c r="I101" s="2310"/>
      <c r="J101" s="2534">
        <v>191509</v>
      </c>
      <c r="K101" s="1615">
        <v>0</v>
      </c>
      <c r="L101" s="1636">
        <v>0</v>
      </c>
      <c r="M101" s="1636"/>
      <c r="N101" s="1615"/>
      <c r="O101" s="1635"/>
      <c r="P101" s="1965">
        <v>11</v>
      </c>
      <c r="Q101" s="1966" t="s">
        <v>2571</v>
      </c>
    </row>
    <row r="102" spans="1:17" ht="12.75" customHeight="1">
      <c r="A102" s="1962"/>
      <c r="B102" s="1840"/>
      <c r="C102" s="1850" t="s">
        <v>2700</v>
      </c>
      <c r="D102" s="1934"/>
      <c r="E102" s="1934">
        <v>3</v>
      </c>
      <c r="F102" s="1905"/>
      <c r="G102" s="1963" t="s">
        <v>2581</v>
      </c>
      <c r="H102" s="1964" t="s">
        <v>2692</v>
      </c>
      <c r="I102" s="2310"/>
      <c r="J102" s="2534">
        <v>149147</v>
      </c>
      <c r="K102" s="1615">
        <v>0</v>
      </c>
      <c r="L102" s="1636">
        <v>0</v>
      </c>
      <c r="M102" s="1636"/>
      <c r="N102" s="1615"/>
      <c r="O102" s="1635"/>
      <c r="P102" s="1965">
        <v>8</v>
      </c>
      <c r="Q102" s="1966" t="s">
        <v>2571</v>
      </c>
    </row>
    <row r="103" spans="1:17" ht="12.75" customHeight="1">
      <c r="A103" s="1962"/>
      <c r="B103" s="1840"/>
      <c r="C103" s="1850" t="s">
        <v>2701</v>
      </c>
      <c r="D103" s="1934"/>
      <c r="E103" s="1934">
        <v>3</v>
      </c>
      <c r="F103" s="1905"/>
      <c r="G103" s="1963" t="s">
        <v>2581</v>
      </c>
      <c r="H103" s="1964" t="s">
        <v>2692</v>
      </c>
      <c r="I103" s="2310"/>
      <c r="J103" s="2534">
        <v>785476</v>
      </c>
      <c r="K103" s="1615">
        <v>0</v>
      </c>
      <c r="L103" s="1636">
        <v>0</v>
      </c>
      <c r="M103" s="1636"/>
      <c r="N103" s="1615"/>
      <c r="O103" s="1635"/>
      <c r="P103" s="1965">
        <v>19</v>
      </c>
      <c r="Q103" s="1966" t="s">
        <v>2571</v>
      </c>
    </row>
    <row r="104" spans="1:17" ht="12.75" customHeight="1">
      <c r="A104" s="1962"/>
      <c r="B104" s="1840"/>
      <c r="C104" s="1850" t="s">
        <v>2702</v>
      </c>
      <c r="D104" s="1934"/>
      <c r="E104" s="1934">
        <v>3</v>
      </c>
      <c r="F104" s="1905"/>
      <c r="G104" s="1963" t="s">
        <v>2581</v>
      </c>
      <c r="H104" s="1964" t="s">
        <v>2703</v>
      </c>
      <c r="I104" s="2310"/>
      <c r="J104" s="2534">
        <v>317577</v>
      </c>
      <c r="K104" s="1615">
        <v>0</v>
      </c>
      <c r="L104" s="1636">
        <v>0</v>
      </c>
      <c r="M104" s="1636"/>
      <c r="N104" s="1615"/>
      <c r="O104" s="1635"/>
      <c r="P104" s="1965">
        <v>8</v>
      </c>
      <c r="Q104" s="1966" t="s">
        <v>2571</v>
      </c>
    </row>
    <row r="105" spans="1:17" ht="12.75" customHeight="1">
      <c r="A105" s="1962"/>
      <c r="B105" s="1840"/>
      <c r="C105" s="1850" t="s">
        <v>2704</v>
      </c>
      <c r="D105" s="1934" t="s">
        <v>2705</v>
      </c>
      <c r="E105" s="1934">
        <v>3</v>
      </c>
      <c r="F105" s="1905"/>
      <c r="G105" s="1963" t="s">
        <v>2581</v>
      </c>
      <c r="H105" s="1964" t="s">
        <v>2706</v>
      </c>
      <c r="I105" s="2310"/>
      <c r="J105" s="2534">
        <v>168269</v>
      </c>
      <c r="K105" s="1615">
        <v>0</v>
      </c>
      <c r="L105" s="1636">
        <v>0</v>
      </c>
      <c r="M105" s="1636"/>
      <c r="N105" s="1615"/>
      <c r="O105" s="1635"/>
      <c r="P105" s="1965">
        <v>21</v>
      </c>
      <c r="Q105" s="1966" t="s">
        <v>2571</v>
      </c>
    </row>
    <row r="106" spans="1:17" ht="12.75" customHeight="1">
      <c r="A106" s="1962"/>
      <c r="B106" s="1840"/>
      <c r="C106" s="1850" t="s">
        <v>2707</v>
      </c>
      <c r="D106" s="1934"/>
      <c r="E106" s="1934">
        <v>3</v>
      </c>
      <c r="F106" s="1905"/>
      <c r="G106" s="1963" t="s">
        <v>2581</v>
      </c>
      <c r="H106" s="1964" t="s">
        <v>2706</v>
      </c>
      <c r="I106" s="2310"/>
      <c r="J106" s="2534">
        <v>194693</v>
      </c>
      <c r="K106" s="1615">
        <v>0</v>
      </c>
      <c r="L106" s="1636">
        <v>0</v>
      </c>
      <c r="M106" s="1636"/>
      <c r="N106" s="1615"/>
      <c r="O106" s="1635"/>
      <c r="P106" s="1965">
        <v>31</v>
      </c>
      <c r="Q106" s="1966" t="s">
        <v>2571</v>
      </c>
    </row>
    <row r="107" spans="1:17" ht="12.75" customHeight="1">
      <c r="A107" s="1962"/>
      <c r="B107" s="1840"/>
      <c r="C107" s="1850" t="s">
        <v>2708</v>
      </c>
      <c r="D107" s="1934"/>
      <c r="E107" s="1934">
        <v>3</v>
      </c>
      <c r="F107" s="1905"/>
      <c r="G107" s="1963" t="s">
        <v>2578</v>
      </c>
      <c r="H107" s="1964" t="s">
        <v>2709</v>
      </c>
      <c r="I107" s="2310"/>
      <c r="J107" s="2534">
        <v>291638</v>
      </c>
      <c r="K107" s="1615">
        <v>0</v>
      </c>
      <c r="L107" s="1636">
        <v>0</v>
      </c>
      <c r="M107" s="1636"/>
      <c r="N107" s="1615"/>
      <c r="O107" s="1635"/>
      <c r="P107" s="1965">
        <v>21</v>
      </c>
      <c r="Q107" s="1966" t="s">
        <v>2571</v>
      </c>
    </row>
    <row r="108" spans="1:17" ht="12.75" customHeight="1">
      <c r="A108" s="1962"/>
      <c r="B108" s="1840"/>
      <c r="C108" s="1850" t="s">
        <v>2710</v>
      </c>
      <c r="D108" s="1934"/>
      <c r="E108" s="1934">
        <v>3</v>
      </c>
      <c r="F108" s="1905"/>
      <c r="G108" s="1963" t="s">
        <v>2573</v>
      </c>
      <c r="H108" s="1964" t="s">
        <v>2564</v>
      </c>
      <c r="I108" s="2310"/>
      <c r="J108" s="2534">
        <v>6783</v>
      </c>
      <c r="K108" s="1615">
        <v>0</v>
      </c>
      <c r="L108" s="1636">
        <v>0</v>
      </c>
      <c r="M108" s="1636"/>
      <c r="N108" s="1615"/>
      <c r="O108" s="1635"/>
      <c r="P108" s="1965" t="s">
        <v>2566</v>
      </c>
      <c r="Q108" s="1966" t="s">
        <v>2571</v>
      </c>
    </row>
    <row r="109" spans="1:17" ht="12.75" customHeight="1">
      <c r="A109" s="1962"/>
      <c r="B109" s="1840"/>
      <c r="C109" s="1850" t="s">
        <v>2711</v>
      </c>
      <c r="D109" s="1934"/>
      <c r="E109" s="1934">
        <v>3</v>
      </c>
      <c r="F109" s="1905"/>
      <c r="G109" s="1963" t="s">
        <v>2581</v>
      </c>
      <c r="H109" s="1964" t="s">
        <v>2706</v>
      </c>
      <c r="I109" s="2310"/>
      <c r="J109" s="2534">
        <v>777224</v>
      </c>
      <c r="K109" s="1615">
        <v>0</v>
      </c>
      <c r="L109" s="1636">
        <v>0</v>
      </c>
      <c r="M109" s="1636"/>
      <c r="N109" s="1615"/>
      <c r="O109" s="1635"/>
      <c r="P109" s="1965">
        <v>22</v>
      </c>
      <c r="Q109" s="1966" t="s">
        <v>2571</v>
      </c>
    </row>
    <row r="110" spans="1:17" ht="12.75" customHeight="1">
      <c r="A110" s="1962"/>
      <c r="B110" s="1840"/>
      <c r="C110" s="1850" t="s">
        <v>2712</v>
      </c>
      <c r="D110" s="1934"/>
      <c r="E110" s="1934">
        <v>3</v>
      </c>
      <c r="F110" s="1905"/>
      <c r="G110" s="1963" t="s">
        <v>2581</v>
      </c>
      <c r="H110" s="1964" t="s">
        <v>2713</v>
      </c>
      <c r="I110" s="2310"/>
      <c r="J110" s="2534">
        <v>625685</v>
      </c>
      <c r="K110" s="1615">
        <v>0</v>
      </c>
      <c r="L110" s="1636">
        <v>0</v>
      </c>
      <c r="M110" s="1636"/>
      <c r="N110" s="1615"/>
      <c r="O110" s="1635"/>
      <c r="P110" s="1965">
        <v>14</v>
      </c>
      <c r="Q110" s="1966" t="s">
        <v>2571</v>
      </c>
    </row>
    <row r="111" spans="1:17" ht="12.75" customHeight="1">
      <c r="A111" s="1962"/>
      <c r="B111" s="1840"/>
      <c r="C111" s="1850" t="s">
        <v>2714</v>
      </c>
      <c r="D111" s="1934"/>
      <c r="E111" s="1934">
        <v>3</v>
      </c>
      <c r="F111" s="1905"/>
      <c r="G111" s="1963" t="s">
        <v>2573</v>
      </c>
      <c r="H111" s="1964" t="s">
        <v>2623</v>
      </c>
      <c r="I111" s="2310"/>
      <c r="J111" s="2534">
        <v>131000</v>
      </c>
      <c r="K111" s="1615">
        <v>0</v>
      </c>
      <c r="L111" s="1636">
        <v>0</v>
      </c>
      <c r="M111" s="1636"/>
      <c r="N111" s="1615"/>
      <c r="O111" s="1635"/>
      <c r="P111" s="1965" t="s">
        <v>2566</v>
      </c>
      <c r="Q111" s="1966" t="s">
        <v>2571</v>
      </c>
    </row>
    <row r="112" spans="1:17" ht="12.75" customHeight="1">
      <c r="A112" s="1962"/>
      <c r="B112" s="1840"/>
      <c r="C112" s="1850" t="s">
        <v>2715</v>
      </c>
      <c r="D112" s="1934"/>
      <c r="E112" s="1934">
        <v>3</v>
      </c>
      <c r="F112" s="1905"/>
      <c r="G112" s="1963" t="s">
        <v>2573</v>
      </c>
      <c r="H112" s="1964" t="s">
        <v>2716</v>
      </c>
      <c r="I112" s="2310"/>
      <c r="J112" s="2534">
        <v>19630</v>
      </c>
      <c r="K112" s="1615">
        <v>0</v>
      </c>
      <c r="L112" s="1636">
        <v>0</v>
      </c>
      <c r="M112" s="1636"/>
      <c r="N112" s="1615"/>
      <c r="O112" s="1635"/>
      <c r="P112" s="1965" t="s">
        <v>2566</v>
      </c>
      <c r="Q112" s="1966" t="s">
        <v>2571</v>
      </c>
    </row>
    <row r="113" spans="1:17" ht="12.75" customHeight="1">
      <c r="A113" s="1962"/>
      <c r="B113" s="1840"/>
      <c r="C113" s="1850" t="s">
        <v>2717</v>
      </c>
      <c r="D113" s="1934"/>
      <c r="E113" s="1934">
        <v>3</v>
      </c>
      <c r="F113" s="1905"/>
      <c r="G113" s="1963" t="s">
        <v>2573</v>
      </c>
      <c r="H113" s="1964" t="s">
        <v>2718</v>
      </c>
      <c r="I113" s="2310"/>
      <c r="J113" s="2534">
        <v>74594</v>
      </c>
      <c r="K113" s="1615">
        <v>0</v>
      </c>
      <c r="L113" s="1636">
        <v>0</v>
      </c>
      <c r="M113" s="1636"/>
      <c r="N113" s="1615"/>
      <c r="O113" s="1635"/>
      <c r="P113" s="1965" t="s">
        <v>2566</v>
      </c>
      <c r="Q113" s="1966" t="s">
        <v>2571</v>
      </c>
    </row>
    <row r="114" spans="1:17" ht="12.75" customHeight="1">
      <c r="A114" s="1962"/>
      <c r="B114" s="1840"/>
      <c r="C114" s="1850" t="s">
        <v>2719</v>
      </c>
      <c r="D114" s="1934"/>
      <c r="E114" s="1934">
        <v>3</v>
      </c>
      <c r="F114" s="1905"/>
      <c r="G114" s="1963" t="s">
        <v>2573</v>
      </c>
      <c r="H114" s="1964" t="s">
        <v>2619</v>
      </c>
      <c r="I114" s="2310"/>
      <c r="J114" s="2534">
        <v>429</v>
      </c>
      <c r="K114" s="1615">
        <v>0</v>
      </c>
      <c r="L114" s="1636">
        <v>0</v>
      </c>
      <c r="M114" s="1636"/>
      <c r="N114" s="1615"/>
      <c r="O114" s="1635"/>
      <c r="P114" s="1965" t="s">
        <v>2566</v>
      </c>
      <c r="Q114" s="1966" t="s">
        <v>2571</v>
      </c>
    </row>
    <row r="115" spans="1:17" ht="12.75" customHeight="1">
      <c r="A115" s="1962"/>
      <c r="B115" s="1840"/>
      <c r="C115" s="1850" t="s">
        <v>2720</v>
      </c>
      <c r="D115" s="1934"/>
      <c r="E115" s="1934">
        <v>3</v>
      </c>
      <c r="F115" s="1905"/>
      <c r="G115" s="1963" t="s">
        <v>2578</v>
      </c>
      <c r="H115" s="1964" t="s">
        <v>2697</v>
      </c>
      <c r="I115" s="2310"/>
      <c r="J115" s="2534">
        <v>82000</v>
      </c>
      <c r="K115" s="1615">
        <v>0</v>
      </c>
      <c r="L115" s="1636">
        <v>0</v>
      </c>
      <c r="M115" s="1636"/>
      <c r="N115" s="1615"/>
      <c r="O115" s="1635"/>
      <c r="P115" s="1965" t="s">
        <v>2566</v>
      </c>
      <c r="Q115" s="1966" t="s">
        <v>2571</v>
      </c>
    </row>
    <row r="116" spans="1:17" ht="12.75" customHeight="1">
      <c r="A116" s="1962"/>
      <c r="B116" s="1840"/>
      <c r="C116" s="1850" t="s">
        <v>2721</v>
      </c>
      <c r="D116" s="1934"/>
      <c r="E116" s="1934">
        <v>3</v>
      </c>
      <c r="F116" s="1905"/>
      <c r="G116" s="1963" t="s">
        <v>2573</v>
      </c>
      <c r="H116" s="1964" t="s">
        <v>2586</v>
      </c>
      <c r="I116" s="2310"/>
      <c r="J116" s="2534">
        <v>156750</v>
      </c>
      <c r="K116" s="1615">
        <v>0</v>
      </c>
      <c r="L116" s="1636">
        <v>0</v>
      </c>
      <c r="M116" s="1636"/>
      <c r="N116" s="1615"/>
      <c r="O116" s="1635"/>
      <c r="P116" s="1965" t="s">
        <v>2566</v>
      </c>
      <c r="Q116" s="1966" t="s">
        <v>2571</v>
      </c>
    </row>
    <row r="117" spans="1:17" ht="12.75" customHeight="1">
      <c r="A117" s="1962"/>
      <c r="B117" s="1840"/>
      <c r="C117" s="1850" t="s">
        <v>2722</v>
      </c>
      <c r="D117" s="1934"/>
      <c r="E117" s="1934">
        <v>3</v>
      </c>
      <c r="F117" s="1905"/>
      <c r="G117" s="1963" t="s">
        <v>2573</v>
      </c>
      <c r="H117" s="1964" t="s">
        <v>2723</v>
      </c>
      <c r="I117" s="2310"/>
      <c r="J117" s="2534">
        <v>16000</v>
      </c>
      <c r="K117" s="1615">
        <v>0</v>
      </c>
      <c r="L117" s="1636">
        <v>0</v>
      </c>
      <c r="M117" s="1636"/>
      <c r="N117" s="1615"/>
      <c r="O117" s="1635"/>
      <c r="P117" s="1965" t="s">
        <v>2566</v>
      </c>
      <c r="Q117" s="1966" t="s">
        <v>2571</v>
      </c>
    </row>
    <row r="118" spans="1:17" ht="12.75" customHeight="1">
      <c r="A118" s="1962"/>
      <c r="B118" s="1840"/>
      <c r="C118" s="1850" t="s">
        <v>2724</v>
      </c>
      <c r="D118" s="1934"/>
      <c r="E118" s="1934">
        <v>3</v>
      </c>
      <c r="F118" s="1905"/>
      <c r="G118" s="1963" t="s">
        <v>2573</v>
      </c>
      <c r="H118" s="1964" t="s">
        <v>2725</v>
      </c>
      <c r="I118" s="2310"/>
      <c r="J118" s="2534">
        <v>14895</v>
      </c>
      <c r="K118" s="1615">
        <v>0</v>
      </c>
      <c r="L118" s="1636">
        <v>0</v>
      </c>
      <c r="M118" s="1636"/>
      <c r="N118" s="1615"/>
      <c r="O118" s="1635"/>
      <c r="P118" s="1965" t="s">
        <v>2566</v>
      </c>
      <c r="Q118" s="1966" t="s">
        <v>2571</v>
      </c>
    </row>
    <row r="119" spans="1:17" ht="12.75" customHeight="1">
      <c r="A119" s="1962"/>
      <c r="B119" s="1840"/>
      <c r="C119" s="1850" t="s">
        <v>2726</v>
      </c>
      <c r="D119" s="1934"/>
      <c r="E119" s="1934">
        <v>3</v>
      </c>
      <c r="F119" s="1905"/>
      <c r="G119" s="1963" t="s">
        <v>2573</v>
      </c>
      <c r="H119" s="1964" t="s">
        <v>2716</v>
      </c>
      <c r="I119" s="2310"/>
      <c r="J119" s="2534">
        <v>42000</v>
      </c>
      <c r="K119" s="1615">
        <v>0</v>
      </c>
      <c r="L119" s="1636">
        <v>0</v>
      </c>
      <c r="M119" s="1636"/>
      <c r="N119" s="1615"/>
      <c r="O119" s="1635"/>
      <c r="P119" s="1965" t="s">
        <v>2566</v>
      </c>
      <c r="Q119" s="1966" t="s">
        <v>2571</v>
      </c>
    </row>
    <row r="120" spans="1:17" ht="12.75" customHeight="1">
      <c r="A120" s="1962"/>
      <c r="B120" s="1840"/>
      <c r="C120" s="1850" t="s">
        <v>2727</v>
      </c>
      <c r="D120" s="1934"/>
      <c r="E120" s="1934">
        <v>3</v>
      </c>
      <c r="F120" s="1905"/>
      <c r="G120" s="1963" t="s">
        <v>2578</v>
      </c>
      <c r="H120" s="1964" t="s">
        <v>2697</v>
      </c>
      <c r="I120" s="2310"/>
      <c r="J120" s="2534">
        <v>589356</v>
      </c>
      <c r="K120" s="1615">
        <v>0</v>
      </c>
      <c r="L120" s="1636">
        <v>0</v>
      </c>
      <c r="M120" s="1636"/>
      <c r="N120" s="1615"/>
      <c r="O120" s="1635"/>
      <c r="P120" s="1965">
        <v>25</v>
      </c>
      <c r="Q120" s="1966" t="s">
        <v>2571</v>
      </c>
    </row>
    <row r="121" spans="1:17" ht="12.75" customHeight="1">
      <c r="A121" s="1962"/>
      <c r="B121" s="1840"/>
      <c r="C121" s="1850" t="s">
        <v>2728</v>
      </c>
      <c r="D121" s="1934"/>
      <c r="E121" s="1934">
        <v>3</v>
      </c>
      <c r="F121" s="1905"/>
      <c r="G121" s="1963" t="s">
        <v>2581</v>
      </c>
      <c r="H121" s="1964" t="s">
        <v>2729</v>
      </c>
      <c r="I121" s="2310"/>
      <c r="J121" s="2534">
        <v>143610</v>
      </c>
      <c r="K121" s="1615">
        <v>0</v>
      </c>
      <c r="L121" s="1636">
        <v>0</v>
      </c>
      <c r="M121" s="1636"/>
      <c r="N121" s="1615"/>
      <c r="O121" s="1635"/>
      <c r="P121" s="1965">
        <v>27</v>
      </c>
      <c r="Q121" s="1966" t="s">
        <v>2571</v>
      </c>
    </row>
    <row r="122" spans="1:17" ht="12.75" customHeight="1">
      <c r="A122" s="1962"/>
      <c r="B122" s="1840"/>
      <c r="C122" s="1850" t="s">
        <v>2730</v>
      </c>
      <c r="D122" s="1934"/>
      <c r="E122" s="1934">
        <v>3</v>
      </c>
      <c r="F122" s="1905"/>
      <c r="G122" s="1963" t="s">
        <v>2573</v>
      </c>
      <c r="H122" s="1964" t="s">
        <v>2607</v>
      </c>
      <c r="I122" s="2310"/>
      <c r="J122" s="2534">
        <v>18970</v>
      </c>
      <c r="K122" s="1615">
        <v>0</v>
      </c>
      <c r="L122" s="1636">
        <v>0</v>
      </c>
      <c r="M122" s="1636"/>
      <c r="N122" s="1615"/>
      <c r="O122" s="1635"/>
      <c r="P122" s="1965">
        <v>8</v>
      </c>
      <c r="Q122" s="1966" t="s">
        <v>2571</v>
      </c>
    </row>
    <row r="123" spans="1:17" ht="12.75" customHeight="1">
      <c r="A123" s="1962"/>
      <c r="B123" s="1840"/>
      <c r="C123" s="1850" t="s">
        <v>2731</v>
      </c>
      <c r="D123" s="1934"/>
      <c r="E123" s="1934">
        <v>3</v>
      </c>
      <c r="F123" s="1905"/>
      <c r="G123" s="1963" t="s">
        <v>2578</v>
      </c>
      <c r="H123" s="1964" t="s">
        <v>2697</v>
      </c>
      <c r="I123" s="2310"/>
      <c r="J123" s="2534">
        <v>191277</v>
      </c>
      <c r="K123" s="1615">
        <v>0</v>
      </c>
      <c r="L123" s="1636">
        <v>0</v>
      </c>
      <c r="M123" s="1636"/>
      <c r="N123" s="1615"/>
      <c r="O123" s="1635"/>
      <c r="P123" s="1965">
        <v>8</v>
      </c>
      <c r="Q123" s="1966" t="s">
        <v>2571</v>
      </c>
    </row>
    <row r="124" spans="1:17" ht="12.75" customHeight="1">
      <c r="A124" s="1962"/>
      <c r="B124" s="1840"/>
      <c r="C124" s="1850" t="s">
        <v>2732</v>
      </c>
      <c r="D124" s="1934"/>
      <c r="E124" s="1934">
        <v>3</v>
      </c>
      <c r="F124" s="1905"/>
      <c r="G124" s="1963" t="s">
        <v>2573</v>
      </c>
      <c r="H124" s="1964" t="s">
        <v>2733</v>
      </c>
      <c r="I124" s="2310"/>
      <c r="J124" s="2534">
        <v>2189</v>
      </c>
      <c r="K124" s="1615">
        <v>0</v>
      </c>
      <c r="L124" s="1636">
        <v>0</v>
      </c>
      <c r="M124" s="1636"/>
      <c r="N124" s="1615"/>
      <c r="O124" s="1635"/>
      <c r="P124" s="1965">
        <v>2</v>
      </c>
      <c r="Q124" s="1966" t="s">
        <v>2571</v>
      </c>
    </row>
    <row r="125" spans="1:17" ht="12.75" customHeight="1">
      <c r="A125" s="1962"/>
      <c r="B125" s="1840"/>
      <c r="C125" s="1850" t="s">
        <v>2734</v>
      </c>
      <c r="D125" s="1934"/>
      <c r="E125" s="1934">
        <v>3</v>
      </c>
      <c r="F125" s="1905"/>
      <c r="G125" s="1963" t="s">
        <v>2573</v>
      </c>
      <c r="H125" s="1964" t="s">
        <v>2716</v>
      </c>
      <c r="I125" s="2310"/>
      <c r="J125" s="2534">
        <v>0</v>
      </c>
      <c r="K125" s="1615">
        <v>0</v>
      </c>
      <c r="L125" s="1636">
        <v>0</v>
      </c>
      <c r="M125" s="1636"/>
      <c r="N125" s="1615"/>
      <c r="O125" s="1635"/>
      <c r="P125" s="1965">
        <v>2</v>
      </c>
      <c r="Q125" s="1966" t="s">
        <v>2571</v>
      </c>
    </row>
    <row r="126" spans="1:17" ht="12.75" customHeight="1">
      <c r="A126" s="1962"/>
      <c r="B126" s="1840"/>
      <c r="C126" s="1850" t="s">
        <v>2735</v>
      </c>
      <c r="D126" s="1934"/>
      <c r="E126" s="1934">
        <v>3</v>
      </c>
      <c r="F126" s="1905"/>
      <c r="G126" s="1963" t="s">
        <v>2573</v>
      </c>
      <c r="H126" s="1964" t="s">
        <v>2733</v>
      </c>
      <c r="I126" s="2310"/>
      <c r="J126" s="2534">
        <v>2189</v>
      </c>
      <c r="K126" s="1615">
        <v>0</v>
      </c>
      <c r="L126" s="1636">
        <v>0</v>
      </c>
      <c r="M126" s="1636"/>
      <c r="N126" s="1615"/>
      <c r="O126" s="1635"/>
      <c r="P126" s="1965">
        <v>9</v>
      </c>
      <c r="Q126" s="1966" t="s">
        <v>2571</v>
      </c>
    </row>
    <row r="127" spans="1:17" ht="12.75" customHeight="1">
      <c r="A127" s="1962"/>
      <c r="B127" s="1840"/>
      <c r="C127" s="1850" t="s">
        <v>2736</v>
      </c>
      <c r="D127" s="1934"/>
      <c r="E127" s="1934">
        <v>3</v>
      </c>
      <c r="F127" s="1905"/>
      <c r="G127" s="1963" t="s">
        <v>2573</v>
      </c>
      <c r="H127" s="1964" t="s">
        <v>2564</v>
      </c>
      <c r="I127" s="2310"/>
      <c r="J127" s="2534">
        <v>1006</v>
      </c>
      <c r="K127" s="1615">
        <v>0</v>
      </c>
      <c r="L127" s="1636">
        <v>0</v>
      </c>
      <c r="M127" s="1636"/>
      <c r="N127" s="1615"/>
      <c r="O127" s="1635"/>
      <c r="P127" s="1965">
        <v>27</v>
      </c>
      <c r="Q127" s="1966" t="s">
        <v>2571</v>
      </c>
    </row>
    <row r="128" spans="1:17" ht="12.75" customHeight="1">
      <c r="A128" s="1962"/>
      <c r="B128" s="1840"/>
      <c r="C128" s="1850" t="s">
        <v>2737</v>
      </c>
      <c r="D128" s="1934"/>
      <c r="E128" s="1934">
        <v>3</v>
      </c>
      <c r="F128" s="1905"/>
      <c r="G128" s="1963" t="s">
        <v>2573</v>
      </c>
      <c r="H128" s="1964" t="s">
        <v>2738</v>
      </c>
      <c r="I128" s="2310"/>
      <c r="J128" s="2534">
        <v>394</v>
      </c>
      <c r="K128" s="1615">
        <v>0</v>
      </c>
      <c r="L128" s="1636">
        <v>0</v>
      </c>
      <c r="M128" s="1636"/>
      <c r="N128" s="1615"/>
      <c r="O128" s="1635"/>
      <c r="P128" s="1965">
        <v>21</v>
      </c>
      <c r="Q128" s="1966" t="s">
        <v>2571</v>
      </c>
    </row>
    <row r="129" spans="1:17" ht="12.75" customHeight="1">
      <c r="A129" s="1962"/>
      <c r="B129" s="1840"/>
      <c r="C129" s="1850" t="s">
        <v>2739</v>
      </c>
      <c r="D129" s="1934"/>
      <c r="E129" s="1934">
        <v>3</v>
      </c>
      <c r="F129" s="1905"/>
      <c r="G129" s="1963" t="s">
        <v>2573</v>
      </c>
      <c r="H129" s="1964" t="s">
        <v>2623</v>
      </c>
      <c r="I129" s="2310"/>
      <c r="J129" s="2534">
        <v>763</v>
      </c>
      <c r="K129" s="1615">
        <v>0</v>
      </c>
      <c r="L129" s="1636">
        <v>0</v>
      </c>
      <c r="M129" s="1636"/>
      <c r="N129" s="1615"/>
      <c r="O129" s="1635"/>
      <c r="P129" s="1965">
        <v>30</v>
      </c>
      <c r="Q129" s="1966" t="s">
        <v>2571</v>
      </c>
    </row>
    <row r="130" spans="1:17" ht="12.75" customHeight="1">
      <c r="A130" s="1962"/>
      <c r="B130" s="1840"/>
      <c r="C130" s="1850" t="s">
        <v>2740</v>
      </c>
      <c r="D130" s="1934"/>
      <c r="E130" s="1934">
        <v>3</v>
      </c>
      <c r="F130" s="1905"/>
      <c r="G130" s="1963" t="s">
        <v>2573</v>
      </c>
      <c r="H130" s="1964" t="s">
        <v>2741</v>
      </c>
      <c r="I130" s="2310"/>
      <c r="J130" s="2534">
        <v>525</v>
      </c>
      <c r="K130" s="1615">
        <v>0</v>
      </c>
      <c r="L130" s="1636">
        <v>0</v>
      </c>
      <c r="M130" s="1636"/>
      <c r="N130" s="1615"/>
      <c r="O130" s="1635"/>
      <c r="P130" s="1965">
        <v>30</v>
      </c>
      <c r="Q130" s="1966" t="s">
        <v>2571</v>
      </c>
    </row>
    <row r="131" spans="1:17" ht="12.75" customHeight="1">
      <c r="A131" s="1962"/>
      <c r="B131" s="1840"/>
      <c r="C131" s="1850" t="s">
        <v>2742</v>
      </c>
      <c r="D131" s="1934"/>
      <c r="E131" s="1934">
        <v>3</v>
      </c>
      <c r="F131" s="1905"/>
      <c r="G131" s="1963" t="s">
        <v>2573</v>
      </c>
      <c r="H131" s="1964" t="s">
        <v>2743</v>
      </c>
      <c r="I131" s="2310"/>
      <c r="J131" s="2534">
        <v>3440</v>
      </c>
      <c r="K131" s="1615">
        <v>0</v>
      </c>
      <c r="L131" s="1636">
        <v>0</v>
      </c>
      <c r="M131" s="1636"/>
      <c r="N131" s="1615"/>
      <c r="O131" s="1635"/>
      <c r="P131" s="1965">
        <v>31</v>
      </c>
      <c r="Q131" s="1966" t="s">
        <v>2571</v>
      </c>
    </row>
    <row r="132" spans="1:17" ht="12.75" customHeight="1">
      <c r="A132" s="1962"/>
      <c r="B132" s="1840"/>
      <c r="C132" s="1850" t="s">
        <v>2744</v>
      </c>
      <c r="D132" s="1934"/>
      <c r="E132" s="1934">
        <v>3</v>
      </c>
      <c r="F132" s="1905"/>
      <c r="G132" s="1963" t="s">
        <v>2573</v>
      </c>
      <c r="H132" s="1964" t="s">
        <v>2738</v>
      </c>
      <c r="I132" s="2310"/>
      <c r="J132" s="2534">
        <v>394</v>
      </c>
      <c r="K132" s="1615">
        <v>0</v>
      </c>
      <c r="L132" s="1636">
        <v>0</v>
      </c>
      <c r="M132" s="1636"/>
      <c r="N132" s="1615"/>
      <c r="O132" s="1635"/>
      <c r="P132" s="1965">
        <v>31</v>
      </c>
      <c r="Q132" s="1966" t="s">
        <v>2571</v>
      </c>
    </row>
    <row r="133" spans="1:17" ht="12.75" customHeight="1">
      <c r="A133" s="1962"/>
      <c r="B133" s="1840"/>
      <c r="C133" s="1850" t="s">
        <v>2745</v>
      </c>
      <c r="D133" s="1934"/>
      <c r="E133" s="1934">
        <v>3</v>
      </c>
      <c r="F133" s="1905"/>
      <c r="G133" s="1963" t="s">
        <v>2578</v>
      </c>
      <c r="H133" s="1964" t="s">
        <v>2579</v>
      </c>
      <c r="I133" s="2310"/>
      <c r="J133" s="2534">
        <v>21590</v>
      </c>
      <c r="K133" s="1615">
        <v>0</v>
      </c>
      <c r="L133" s="1636">
        <v>0</v>
      </c>
      <c r="M133" s="1636"/>
      <c r="N133" s="1615"/>
      <c r="O133" s="1635"/>
      <c r="P133" s="1965" t="s">
        <v>2746</v>
      </c>
      <c r="Q133" s="1966" t="s">
        <v>2571</v>
      </c>
    </row>
    <row r="134" spans="1:17" ht="12.75" customHeight="1">
      <c r="A134" s="1962"/>
      <c r="B134" s="1840"/>
      <c r="C134" s="1850" t="s">
        <v>2747</v>
      </c>
      <c r="D134" s="1934"/>
      <c r="E134" s="1934">
        <v>3</v>
      </c>
      <c r="F134" s="1905"/>
      <c r="G134" s="1963" t="s">
        <v>2573</v>
      </c>
      <c r="H134" s="1964" t="s">
        <v>2623</v>
      </c>
      <c r="I134" s="2310"/>
      <c r="J134" s="2534">
        <v>0</v>
      </c>
      <c r="K134" s="1615">
        <v>0</v>
      </c>
      <c r="L134" s="1636">
        <v>0</v>
      </c>
      <c r="M134" s="1636"/>
      <c r="N134" s="1615"/>
      <c r="O134" s="1635"/>
      <c r="P134" s="1965">
        <v>13</v>
      </c>
      <c r="Q134" s="1966" t="s">
        <v>2571</v>
      </c>
    </row>
    <row r="135" spans="1:17" ht="12.75" customHeight="1">
      <c r="A135" s="1962"/>
      <c r="B135" s="1840"/>
      <c r="C135" s="1850" t="s">
        <v>2748</v>
      </c>
      <c r="D135" s="1934"/>
      <c r="E135" s="1934">
        <v>3</v>
      </c>
      <c r="F135" s="1905"/>
      <c r="G135" s="1963" t="s">
        <v>2573</v>
      </c>
      <c r="H135" s="1964" t="s">
        <v>2749</v>
      </c>
      <c r="I135" s="2310"/>
      <c r="J135" s="2534">
        <v>514</v>
      </c>
      <c r="K135" s="1615">
        <v>0</v>
      </c>
      <c r="L135" s="1636">
        <v>0</v>
      </c>
      <c r="M135" s="1636"/>
      <c r="N135" s="1615"/>
      <c r="O135" s="1635"/>
      <c r="P135" s="1965">
        <v>13</v>
      </c>
      <c r="Q135" s="1966" t="s">
        <v>2571</v>
      </c>
    </row>
    <row r="136" spans="1:17" ht="12.75" customHeight="1">
      <c r="A136" s="1962"/>
      <c r="B136" s="1840"/>
      <c r="C136" s="1850" t="s">
        <v>2750</v>
      </c>
      <c r="D136" s="1934"/>
      <c r="E136" s="1934">
        <v>3</v>
      </c>
      <c r="F136" s="1905"/>
      <c r="G136" s="1963" t="s">
        <v>2573</v>
      </c>
      <c r="H136" s="1964" t="s">
        <v>2751</v>
      </c>
      <c r="I136" s="2310"/>
      <c r="J136" s="2534">
        <v>0</v>
      </c>
      <c r="K136" s="1615">
        <v>0</v>
      </c>
      <c r="L136" s="1636">
        <v>0</v>
      </c>
      <c r="M136" s="1636"/>
      <c r="N136" s="1615"/>
      <c r="O136" s="1635"/>
      <c r="P136" s="1965">
        <v>13</v>
      </c>
      <c r="Q136" s="1966" t="s">
        <v>2571</v>
      </c>
    </row>
    <row r="137" spans="1:17" ht="12.75" customHeight="1">
      <c r="A137" s="1962"/>
      <c r="B137" s="1840"/>
      <c r="C137" s="1850" t="s">
        <v>2752</v>
      </c>
      <c r="D137" s="1934"/>
      <c r="E137" s="1934">
        <v>3</v>
      </c>
      <c r="F137" s="1905"/>
      <c r="G137" s="1963" t="s">
        <v>2573</v>
      </c>
      <c r="H137" s="1964" t="s">
        <v>2564</v>
      </c>
      <c r="I137" s="2310"/>
      <c r="J137" s="2534">
        <v>67830</v>
      </c>
      <c r="K137" s="1615">
        <v>0</v>
      </c>
      <c r="L137" s="1636">
        <v>0</v>
      </c>
      <c r="M137" s="1636"/>
      <c r="N137" s="1615"/>
      <c r="O137" s="1635"/>
      <c r="P137" s="1965" t="s">
        <v>2566</v>
      </c>
      <c r="Q137" s="1966" t="s">
        <v>2571</v>
      </c>
    </row>
    <row r="138" spans="1:17" ht="12.75" customHeight="1">
      <c r="A138" s="1962"/>
      <c r="B138" s="1840"/>
      <c r="C138" s="1850" t="s">
        <v>2753</v>
      </c>
      <c r="D138" s="1934"/>
      <c r="E138" s="1934">
        <v>3</v>
      </c>
      <c r="F138" s="1905"/>
      <c r="G138" s="1963" t="s">
        <v>2573</v>
      </c>
      <c r="H138" s="1964" t="s">
        <v>2594</v>
      </c>
      <c r="I138" s="2310"/>
      <c r="J138" s="2534">
        <v>18635</v>
      </c>
      <c r="K138" s="1615">
        <v>0</v>
      </c>
      <c r="L138" s="1636">
        <v>0</v>
      </c>
      <c r="M138" s="1636"/>
      <c r="N138" s="1615"/>
      <c r="O138" s="1635"/>
      <c r="P138" s="1965">
        <v>14</v>
      </c>
      <c r="Q138" s="1966" t="s">
        <v>2571</v>
      </c>
    </row>
    <row r="139" spans="1:17" ht="12.75" customHeight="1">
      <c r="A139" s="1962"/>
      <c r="B139" s="1840"/>
      <c r="C139" s="1850" t="s">
        <v>2754</v>
      </c>
      <c r="D139" s="1934"/>
      <c r="E139" s="1934">
        <v>3</v>
      </c>
      <c r="F139" s="1905"/>
      <c r="G139" s="1963" t="s">
        <v>2573</v>
      </c>
      <c r="H139" s="1964" t="s">
        <v>2594</v>
      </c>
      <c r="I139" s="2310"/>
      <c r="J139" s="2534">
        <v>13144</v>
      </c>
      <c r="K139" s="1615">
        <v>0</v>
      </c>
      <c r="L139" s="1636">
        <v>0</v>
      </c>
      <c r="M139" s="1636"/>
      <c r="N139" s="1615"/>
      <c r="O139" s="1635"/>
      <c r="P139" s="1965">
        <v>27</v>
      </c>
      <c r="Q139" s="1966" t="s">
        <v>2571</v>
      </c>
    </row>
    <row r="140" spans="1:17" ht="12.75" customHeight="1">
      <c r="A140" s="1962"/>
      <c r="B140" s="1840"/>
      <c r="C140" s="1850" t="s">
        <v>2755</v>
      </c>
      <c r="D140" s="1934"/>
      <c r="E140" s="1934">
        <v>3</v>
      </c>
      <c r="F140" s="1905"/>
      <c r="G140" s="1963" t="s">
        <v>2573</v>
      </c>
      <c r="H140" s="1964" t="s">
        <v>2594</v>
      </c>
      <c r="I140" s="2310"/>
      <c r="J140" s="2534">
        <v>13144</v>
      </c>
      <c r="K140" s="1615">
        <v>0</v>
      </c>
      <c r="L140" s="1636">
        <v>0</v>
      </c>
      <c r="M140" s="1636"/>
      <c r="N140" s="1615"/>
      <c r="O140" s="1635"/>
      <c r="P140" s="1965">
        <v>2</v>
      </c>
      <c r="Q140" s="1966" t="s">
        <v>2571</v>
      </c>
    </row>
    <row r="141" spans="1:17" ht="12.75" customHeight="1">
      <c r="A141" s="1962"/>
      <c r="B141" s="1840"/>
      <c r="C141" s="1850" t="s">
        <v>2756</v>
      </c>
      <c r="D141" s="1934"/>
      <c r="E141" s="1934">
        <v>3</v>
      </c>
      <c r="F141" s="1905"/>
      <c r="G141" s="1963" t="s">
        <v>2578</v>
      </c>
      <c r="H141" s="1964" t="s">
        <v>2757</v>
      </c>
      <c r="I141" s="2310"/>
      <c r="J141" s="2534">
        <v>0</v>
      </c>
      <c r="K141" s="1615">
        <v>0</v>
      </c>
      <c r="L141" s="1636">
        <v>0</v>
      </c>
      <c r="M141" s="1636"/>
      <c r="N141" s="1615"/>
      <c r="O141" s="1635"/>
      <c r="P141" s="1965">
        <v>25</v>
      </c>
      <c r="Q141" s="1966" t="s">
        <v>2571</v>
      </c>
    </row>
    <row r="142" spans="1:17" ht="12.75" customHeight="1">
      <c r="A142" s="1962"/>
      <c r="B142" s="1840"/>
      <c r="C142" s="1850" t="s">
        <v>2758</v>
      </c>
      <c r="D142" s="1934"/>
      <c r="E142" s="1934">
        <v>3</v>
      </c>
      <c r="F142" s="1905"/>
      <c r="G142" s="1963" t="s">
        <v>2573</v>
      </c>
      <c r="H142" s="1964" t="s">
        <v>2743</v>
      </c>
      <c r="I142" s="2310"/>
      <c r="J142" s="2534">
        <v>6088</v>
      </c>
      <c r="K142" s="1615">
        <v>0</v>
      </c>
      <c r="L142" s="1636">
        <v>0</v>
      </c>
      <c r="M142" s="1636"/>
      <c r="N142" s="1615"/>
      <c r="O142" s="1635"/>
      <c r="P142" s="1965">
        <v>21</v>
      </c>
      <c r="Q142" s="1966" t="s">
        <v>2571</v>
      </c>
    </row>
    <row r="143" spans="1:17" ht="12.75" customHeight="1">
      <c r="A143" s="1962"/>
      <c r="B143" s="1840"/>
      <c r="C143" s="1850" t="s">
        <v>2759</v>
      </c>
      <c r="D143" s="1934"/>
      <c r="E143" s="1934">
        <v>3</v>
      </c>
      <c r="F143" s="1905"/>
      <c r="G143" s="1963" t="s">
        <v>2573</v>
      </c>
      <c r="H143" s="1964" t="s">
        <v>2743</v>
      </c>
      <c r="I143" s="2310"/>
      <c r="J143" s="2534">
        <v>6088</v>
      </c>
      <c r="K143" s="1615">
        <v>0</v>
      </c>
      <c r="L143" s="1636">
        <v>0</v>
      </c>
      <c r="M143" s="1636"/>
      <c r="N143" s="1615"/>
      <c r="O143" s="1635"/>
      <c r="P143" s="1965">
        <v>9</v>
      </c>
      <c r="Q143" s="1966" t="s">
        <v>2571</v>
      </c>
    </row>
    <row r="144" spans="1:17" ht="12.75" customHeight="1">
      <c r="A144" s="1962"/>
      <c r="B144" s="1840"/>
      <c r="C144" s="1850" t="s">
        <v>2760</v>
      </c>
      <c r="D144" s="1934"/>
      <c r="E144" s="1934">
        <v>3</v>
      </c>
      <c r="F144" s="1905"/>
      <c r="G144" s="1963" t="s">
        <v>2573</v>
      </c>
      <c r="H144" s="1964" t="s">
        <v>2761</v>
      </c>
      <c r="I144" s="2310"/>
      <c r="J144" s="2534">
        <v>5166</v>
      </c>
      <c r="K144" s="1615">
        <v>0</v>
      </c>
      <c r="L144" s="1636">
        <v>0</v>
      </c>
      <c r="M144" s="1636"/>
      <c r="N144" s="1615"/>
      <c r="O144" s="1635"/>
      <c r="P144" s="1965">
        <v>13</v>
      </c>
      <c r="Q144" s="1966" t="s">
        <v>2571</v>
      </c>
    </row>
    <row r="145" spans="1:17" ht="12.75" customHeight="1">
      <c r="A145" s="1962"/>
      <c r="B145" s="1840"/>
      <c r="C145" s="1850" t="s">
        <v>2762</v>
      </c>
      <c r="D145" s="1934"/>
      <c r="E145" s="1934">
        <v>3</v>
      </c>
      <c r="F145" s="1905"/>
      <c r="G145" s="1963" t="s">
        <v>2573</v>
      </c>
      <c r="H145" s="1964" t="s">
        <v>2564</v>
      </c>
      <c r="I145" s="2310"/>
      <c r="J145" s="2534">
        <v>3363</v>
      </c>
      <c r="K145" s="1615">
        <v>0</v>
      </c>
      <c r="L145" s="1636">
        <v>0</v>
      </c>
      <c r="M145" s="1636"/>
      <c r="N145" s="1615"/>
      <c r="O145" s="1635"/>
      <c r="P145" s="1965">
        <v>30</v>
      </c>
      <c r="Q145" s="1966" t="s">
        <v>2571</v>
      </c>
    </row>
    <row r="146" spans="1:17" ht="12.75" customHeight="1">
      <c r="A146" s="1962"/>
      <c r="B146" s="1840"/>
      <c r="C146" s="1850" t="s">
        <v>2763</v>
      </c>
      <c r="D146" s="1934"/>
      <c r="E146" s="1934">
        <v>3</v>
      </c>
      <c r="F146" s="1905"/>
      <c r="G146" s="1963" t="s">
        <v>2573</v>
      </c>
      <c r="H146" s="1964" t="s">
        <v>2607</v>
      </c>
      <c r="I146" s="2310"/>
      <c r="J146" s="2534">
        <v>1020</v>
      </c>
      <c r="K146" s="1615">
        <v>0</v>
      </c>
      <c r="L146" s="1636">
        <v>0</v>
      </c>
      <c r="M146" s="1636"/>
      <c r="N146" s="1615"/>
      <c r="O146" s="1635"/>
      <c r="P146" s="1965" t="s">
        <v>2566</v>
      </c>
      <c r="Q146" s="1966" t="s">
        <v>2571</v>
      </c>
    </row>
    <row r="147" spans="1:17" ht="12.75" customHeight="1">
      <c r="A147" s="1962"/>
      <c r="B147" s="1840"/>
      <c r="C147" s="1850" t="s">
        <v>2764</v>
      </c>
      <c r="D147" s="1934"/>
      <c r="E147" s="1934">
        <v>3</v>
      </c>
      <c r="F147" s="1905"/>
      <c r="G147" s="1963" t="s">
        <v>2578</v>
      </c>
      <c r="H147" s="1964" t="s">
        <v>2579</v>
      </c>
      <c r="I147" s="2310"/>
      <c r="J147" s="2534">
        <v>0</v>
      </c>
      <c r="K147" s="1615">
        <v>0</v>
      </c>
      <c r="L147" s="1636">
        <v>0</v>
      </c>
      <c r="M147" s="1636"/>
      <c r="N147" s="1615"/>
      <c r="O147" s="1635"/>
      <c r="P147" s="1965" t="s">
        <v>2746</v>
      </c>
      <c r="Q147" s="1966" t="s">
        <v>2571</v>
      </c>
    </row>
    <row r="148" spans="1:17" ht="12.75" customHeight="1">
      <c r="A148" s="1962"/>
      <c r="B148" s="1840"/>
      <c r="C148" s="1850" t="s">
        <v>2765</v>
      </c>
      <c r="D148" s="1934"/>
      <c r="E148" s="1934">
        <v>3</v>
      </c>
      <c r="F148" s="1905"/>
      <c r="G148" s="1963" t="s">
        <v>2573</v>
      </c>
      <c r="H148" s="1964" t="s">
        <v>2623</v>
      </c>
      <c r="I148" s="2310"/>
      <c r="J148" s="2534">
        <v>4173</v>
      </c>
      <c r="K148" s="1615">
        <v>0</v>
      </c>
      <c r="L148" s="1636">
        <v>0</v>
      </c>
      <c r="M148" s="1636"/>
      <c r="N148" s="1615"/>
      <c r="O148" s="1635"/>
      <c r="P148" s="1965">
        <v>9</v>
      </c>
      <c r="Q148" s="1966" t="s">
        <v>2571</v>
      </c>
    </row>
    <row r="149" spans="1:17" ht="12.75" customHeight="1">
      <c r="A149" s="1962"/>
      <c r="B149" s="1840"/>
      <c r="C149" s="1850" t="s">
        <v>2766</v>
      </c>
      <c r="D149" s="1934"/>
      <c r="E149" s="1934">
        <v>3</v>
      </c>
      <c r="F149" s="1905"/>
      <c r="G149" s="1963" t="s">
        <v>2564</v>
      </c>
      <c r="H149" s="1964" t="s">
        <v>2741</v>
      </c>
      <c r="I149" s="2310"/>
      <c r="J149" s="2534">
        <v>1053</v>
      </c>
      <c r="K149" s="1615">
        <v>0</v>
      </c>
      <c r="L149" s="1636">
        <v>0</v>
      </c>
      <c r="M149" s="1636"/>
      <c r="N149" s="1615"/>
      <c r="O149" s="1635"/>
      <c r="P149" s="1965">
        <v>25</v>
      </c>
      <c r="Q149" s="1966" t="s">
        <v>2571</v>
      </c>
    </row>
    <row r="150" spans="1:17" ht="12.75" customHeight="1">
      <c r="A150" s="1962"/>
      <c r="B150" s="1840"/>
      <c r="C150" s="1850" t="s">
        <v>2767</v>
      </c>
      <c r="D150" s="1934"/>
      <c r="E150" s="1934">
        <v>3</v>
      </c>
      <c r="F150" s="1905"/>
      <c r="G150" s="1963" t="s">
        <v>2573</v>
      </c>
      <c r="H150" s="1964" t="s">
        <v>2623</v>
      </c>
      <c r="I150" s="2310"/>
      <c r="J150" s="2534">
        <v>1974</v>
      </c>
      <c r="K150" s="1615">
        <v>0</v>
      </c>
      <c r="L150" s="1636">
        <v>0</v>
      </c>
      <c r="M150" s="1636"/>
      <c r="N150" s="1615"/>
      <c r="O150" s="1635"/>
      <c r="P150" s="1965">
        <v>31</v>
      </c>
      <c r="Q150" s="1966" t="s">
        <v>2571</v>
      </c>
    </row>
    <row r="151" spans="1:17" ht="12.75" customHeight="1">
      <c r="A151" s="1962"/>
      <c r="B151" s="1840"/>
      <c r="C151" s="1850" t="s">
        <v>2768</v>
      </c>
      <c r="D151" s="1934"/>
      <c r="E151" s="1934">
        <v>3</v>
      </c>
      <c r="F151" s="1905"/>
      <c r="G151" s="1963" t="s">
        <v>2573</v>
      </c>
      <c r="H151" s="1964" t="s">
        <v>2623</v>
      </c>
      <c r="I151" s="2310"/>
      <c r="J151" s="2534">
        <v>1139</v>
      </c>
      <c r="K151" s="1615">
        <v>0</v>
      </c>
      <c r="L151" s="1636">
        <v>0</v>
      </c>
      <c r="M151" s="1636"/>
      <c r="N151" s="1615"/>
      <c r="O151" s="1635"/>
      <c r="P151" s="1965">
        <v>9</v>
      </c>
      <c r="Q151" s="1966" t="s">
        <v>2571</v>
      </c>
    </row>
    <row r="152" spans="1:17" ht="12.75" customHeight="1">
      <c r="A152" s="1962"/>
      <c r="B152" s="1840"/>
      <c r="C152" s="1850" t="s">
        <v>2769</v>
      </c>
      <c r="D152" s="1934"/>
      <c r="E152" s="1934">
        <v>3</v>
      </c>
      <c r="F152" s="1905"/>
      <c r="G152" s="1963" t="s">
        <v>2573</v>
      </c>
      <c r="H152" s="1964" t="s">
        <v>2623</v>
      </c>
      <c r="I152" s="2310"/>
      <c r="J152" s="2534">
        <v>569</v>
      </c>
      <c r="K152" s="1615">
        <v>0</v>
      </c>
      <c r="L152" s="1636">
        <v>0</v>
      </c>
      <c r="M152" s="1636"/>
      <c r="N152" s="1615"/>
      <c r="O152" s="1635"/>
      <c r="P152" s="1965">
        <v>2</v>
      </c>
      <c r="Q152" s="1966" t="s">
        <v>2571</v>
      </c>
    </row>
    <row r="153" spans="1:17" ht="12.75" customHeight="1">
      <c r="A153" s="1962"/>
      <c r="B153" s="1840"/>
      <c r="C153" s="1850" t="s">
        <v>2770</v>
      </c>
      <c r="D153" s="1934"/>
      <c r="E153" s="1934">
        <v>3</v>
      </c>
      <c r="F153" s="1905"/>
      <c r="G153" s="1963" t="s">
        <v>2573</v>
      </c>
      <c r="H153" s="1964" t="s">
        <v>2623</v>
      </c>
      <c r="I153" s="2310"/>
      <c r="J153" s="2534">
        <v>658</v>
      </c>
      <c r="K153" s="1615">
        <v>0</v>
      </c>
      <c r="L153" s="1636">
        <v>0</v>
      </c>
      <c r="M153" s="1636"/>
      <c r="N153" s="1615"/>
      <c r="O153" s="1635"/>
      <c r="P153" s="1965">
        <v>13</v>
      </c>
      <c r="Q153" s="1966" t="s">
        <v>2571</v>
      </c>
    </row>
    <row r="154" spans="1:17" ht="12.75" customHeight="1">
      <c r="A154" s="1962"/>
      <c r="B154" s="1840"/>
      <c r="C154" s="1850" t="s">
        <v>2771</v>
      </c>
      <c r="D154" s="1934"/>
      <c r="E154" s="1934">
        <v>3</v>
      </c>
      <c r="F154" s="1905"/>
      <c r="G154" s="1963" t="s">
        <v>2573</v>
      </c>
      <c r="H154" s="1964" t="s">
        <v>2772</v>
      </c>
      <c r="I154" s="2310"/>
      <c r="J154" s="2534">
        <v>0</v>
      </c>
      <c r="K154" s="1615">
        <v>0</v>
      </c>
      <c r="L154" s="1636">
        <v>0</v>
      </c>
      <c r="M154" s="1636"/>
      <c r="N154" s="1615"/>
      <c r="O154" s="1635"/>
      <c r="P154" s="1965">
        <v>31</v>
      </c>
      <c r="Q154" s="1966" t="s">
        <v>2571</v>
      </c>
    </row>
    <row r="155" spans="1:17" ht="12.75" customHeight="1">
      <c r="A155" s="1962"/>
      <c r="B155" s="1840"/>
      <c r="C155" s="1850" t="s">
        <v>2773</v>
      </c>
      <c r="D155" s="1934"/>
      <c r="E155" s="1934">
        <v>3</v>
      </c>
      <c r="F155" s="1905"/>
      <c r="G155" s="1963" t="s">
        <v>2573</v>
      </c>
      <c r="H155" s="1964" t="s">
        <v>2772</v>
      </c>
      <c r="I155" s="2310"/>
      <c r="J155" s="2534">
        <v>1209</v>
      </c>
      <c r="K155" s="1615">
        <v>0</v>
      </c>
      <c r="L155" s="1636">
        <v>0</v>
      </c>
      <c r="M155" s="1636"/>
      <c r="N155" s="1615"/>
      <c r="O155" s="1635"/>
      <c r="P155" s="1965">
        <v>11</v>
      </c>
      <c r="Q155" s="1966" t="s">
        <v>2571</v>
      </c>
    </row>
    <row r="156" spans="1:17" ht="12.75" customHeight="1">
      <c r="A156" s="1962"/>
      <c r="B156" s="1840"/>
      <c r="C156" s="1850" t="s">
        <v>2774</v>
      </c>
      <c r="D156" s="1934"/>
      <c r="E156" s="1934">
        <v>3</v>
      </c>
      <c r="F156" s="1905"/>
      <c r="G156" s="1963" t="s">
        <v>2581</v>
      </c>
      <c r="H156" s="1964" t="s">
        <v>2775</v>
      </c>
      <c r="I156" s="2310"/>
      <c r="J156" s="2534">
        <v>219207</v>
      </c>
      <c r="K156" s="1615">
        <v>0</v>
      </c>
      <c r="L156" s="1636">
        <v>0</v>
      </c>
      <c r="M156" s="1636"/>
      <c r="N156" s="1615"/>
      <c r="O156" s="1635"/>
      <c r="P156" s="1965">
        <v>9</v>
      </c>
      <c r="Q156" s="1966" t="s">
        <v>2571</v>
      </c>
    </row>
    <row r="157" spans="1:17" ht="12.75" customHeight="1">
      <c r="A157" s="1962"/>
      <c r="B157" s="1840"/>
      <c r="C157" s="1850" t="s">
        <v>2776</v>
      </c>
      <c r="D157" s="1934"/>
      <c r="E157" s="1934">
        <v>3</v>
      </c>
      <c r="F157" s="1905"/>
      <c r="G157" s="1963" t="s">
        <v>2573</v>
      </c>
      <c r="H157" s="1964" t="s">
        <v>2777</v>
      </c>
      <c r="I157" s="2310"/>
      <c r="J157" s="2534">
        <v>0</v>
      </c>
      <c r="K157" s="1615">
        <v>0</v>
      </c>
      <c r="L157" s="1636">
        <v>0</v>
      </c>
      <c r="M157" s="1636"/>
      <c r="N157" s="1615"/>
      <c r="O157" s="1635"/>
      <c r="P157" s="1965">
        <v>2</v>
      </c>
      <c r="Q157" s="1966" t="s">
        <v>2571</v>
      </c>
    </row>
    <row r="158" spans="1:17" ht="12.75" customHeight="1">
      <c r="A158" s="1962"/>
      <c r="B158" s="1840"/>
      <c r="C158" s="1850" t="s">
        <v>2778</v>
      </c>
      <c r="D158" s="1934"/>
      <c r="E158" s="1934">
        <v>3</v>
      </c>
      <c r="F158" s="1905"/>
      <c r="G158" s="1963" t="s">
        <v>2573</v>
      </c>
      <c r="H158" s="1964" t="s">
        <v>2716</v>
      </c>
      <c r="I158" s="2310"/>
      <c r="J158" s="2534">
        <v>0</v>
      </c>
      <c r="K158" s="1615">
        <v>0</v>
      </c>
      <c r="L158" s="1636">
        <v>0</v>
      </c>
      <c r="M158" s="1636"/>
      <c r="N158" s="1615"/>
      <c r="O158" s="1635"/>
      <c r="P158" s="1965">
        <v>9</v>
      </c>
      <c r="Q158" s="1966" t="s">
        <v>2571</v>
      </c>
    </row>
    <row r="159" spans="1:17" ht="12.75" customHeight="1">
      <c r="A159" s="1962"/>
      <c r="B159" s="1840"/>
      <c r="C159" s="1850" t="s">
        <v>2779</v>
      </c>
      <c r="D159" s="1934"/>
      <c r="E159" s="1934">
        <v>3</v>
      </c>
      <c r="F159" s="1905"/>
      <c r="G159" s="1963" t="s">
        <v>2573</v>
      </c>
      <c r="H159" s="1964" t="s">
        <v>2650</v>
      </c>
      <c r="I159" s="2310"/>
      <c r="J159" s="2534">
        <v>3950</v>
      </c>
      <c r="K159" s="1615">
        <v>0</v>
      </c>
      <c r="L159" s="1636">
        <v>0</v>
      </c>
      <c r="M159" s="1636"/>
      <c r="N159" s="1615"/>
      <c r="O159" s="1635"/>
      <c r="P159" s="1965">
        <v>11</v>
      </c>
      <c r="Q159" s="1966" t="s">
        <v>2571</v>
      </c>
    </row>
    <row r="160" spans="1:17" ht="12.75" customHeight="1">
      <c r="A160" s="1962"/>
      <c r="B160" s="1840"/>
      <c r="C160" s="1850" t="s">
        <v>2780</v>
      </c>
      <c r="D160" s="1934"/>
      <c r="E160" s="1934">
        <v>3</v>
      </c>
      <c r="F160" s="1905"/>
      <c r="G160" s="1963" t="s">
        <v>2573</v>
      </c>
      <c r="H160" s="1964" t="s">
        <v>2594</v>
      </c>
      <c r="I160" s="2310"/>
      <c r="J160" s="2534">
        <v>7450</v>
      </c>
      <c r="K160" s="1615">
        <v>0</v>
      </c>
      <c r="L160" s="1636">
        <v>0</v>
      </c>
      <c r="M160" s="1636"/>
      <c r="N160" s="1615"/>
      <c r="O160" s="1635"/>
      <c r="P160" s="1965">
        <v>25</v>
      </c>
      <c r="Q160" s="1966" t="s">
        <v>2571</v>
      </c>
    </row>
    <row r="161" spans="1:17" ht="12.75" customHeight="1">
      <c r="A161" s="1962"/>
      <c r="B161" s="1840"/>
      <c r="C161" s="1850" t="s">
        <v>2781</v>
      </c>
      <c r="D161" s="1934"/>
      <c r="E161" s="1934">
        <v>3</v>
      </c>
      <c r="F161" s="1905"/>
      <c r="G161" s="1963" t="s">
        <v>2573</v>
      </c>
      <c r="H161" s="1964" t="s">
        <v>2782</v>
      </c>
      <c r="I161" s="2310"/>
      <c r="J161" s="2534">
        <v>18650</v>
      </c>
      <c r="K161" s="1615">
        <v>0</v>
      </c>
      <c r="L161" s="1636">
        <v>0</v>
      </c>
      <c r="M161" s="1636"/>
      <c r="N161" s="1615"/>
      <c r="O161" s="1635"/>
      <c r="P161" s="1965">
        <v>11</v>
      </c>
      <c r="Q161" s="1966" t="s">
        <v>2571</v>
      </c>
    </row>
    <row r="162" spans="1:17" ht="12.75" customHeight="1">
      <c r="A162" s="1962"/>
      <c r="B162" s="1840"/>
      <c r="C162" s="1850" t="s">
        <v>2783</v>
      </c>
      <c r="D162" s="1934"/>
      <c r="E162" s="1934">
        <v>3</v>
      </c>
      <c r="F162" s="1905"/>
      <c r="G162" s="1963" t="s">
        <v>2573</v>
      </c>
      <c r="H162" s="1964" t="s">
        <v>2784</v>
      </c>
      <c r="I162" s="2310"/>
      <c r="J162" s="2534">
        <v>16440</v>
      </c>
      <c r="K162" s="1615">
        <v>0</v>
      </c>
      <c r="L162" s="1636">
        <v>0</v>
      </c>
      <c r="M162" s="1636"/>
      <c r="N162" s="1615"/>
      <c r="O162" s="1635"/>
      <c r="P162" s="1965">
        <v>27</v>
      </c>
      <c r="Q162" s="1966" t="s">
        <v>2571</v>
      </c>
    </row>
    <row r="163" spans="1:17" ht="12.75" customHeight="1">
      <c r="A163" s="1962"/>
      <c r="B163" s="1840"/>
      <c r="C163" s="1850" t="s">
        <v>2785</v>
      </c>
      <c r="D163" s="1934"/>
      <c r="E163" s="1934">
        <v>3</v>
      </c>
      <c r="F163" s="1905"/>
      <c r="G163" s="1963" t="s">
        <v>2573</v>
      </c>
      <c r="H163" s="1964" t="s">
        <v>2786</v>
      </c>
      <c r="I163" s="2310"/>
      <c r="J163" s="2534">
        <v>0</v>
      </c>
      <c r="K163" s="1615">
        <v>0</v>
      </c>
      <c r="L163" s="1636">
        <v>0</v>
      </c>
      <c r="M163" s="1636"/>
      <c r="N163" s="1615"/>
      <c r="O163" s="1635"/>
      <c r="P163" s="1965">
        <v>21</v>
      </c>
      <c r="Q163" s="1966" t="s">
        <v>2571</v>
      </c>
    </row>
    <row r="164" spans="1:17" ht="12.75" customHeight="1">
      <c r="A164" s="1962"/>
      <c r="B164" s="1840"/>
      <c r="C164" s="1850" t="s">
        <v>2787</v>
      </c>
      <c r="D164" s="1934"/>
      <c r="E164" s="1934">
        <v>3</v>
      </c>
      <c r="F164" s="1905"/>
      <c r="G164" s="1963" t="s">
        <v>2573</v>
      </c>
      <c r="H164" s="1964" t="s">
        <v>2788</v>
      </c>
      <c r="I164" s="2310"/>
      <c r="J164" s="2534">
        <v>0</v>
      </c>
      <c r="K164" s="1615">
        <v>0</v>
      </c>
      <c r="L164" s="1636">
        <v>0</v>
      </c>
      <c r="M164" s="1636"/>
      <c r="N164" s="1615"/>
      <c r="O164" s="1635"/>
      <c r="P164" s="1965">
        <v>21</v>
      </c>
      <c r="Q164" s="1966" t="s">
        <v>2571</v>
      </c>
    </row>
    <row r="165" spans="1:17" ht="12.75" customHeight="1">
      <c r="A165" s="1962"/>
      <c r="B165" s="1840"/>
      <c r="C165" s="1850" t="s">
        <v>2789</v>
      </c>
      <c r="D165" s="1934"/>
      <c r="E165" s="1934">
        <v>3</v>
      </c>
      <c r="F165" s="1905"/>
      <c r="G165" s="1963" t="s">
        <v>2573</v>
      </c>
      <c r="H165" s="1964" t="s">
        <v>2596</v>
      </c>
      <c r="I165" s="2310"/>
      <c r="J165" s="2534">
        <v>4013</v>
      </c>
      <c r="K165" s="1615">
        <v>0</v>
      </c>
      <c r="L165" s="1636">
        <v>0</v>
      </c>
      <c r="M165" s="1636"/>
      <c r="N165" s="1615"/>
      <c r="O165" s="1635"/>
      <c r="P165" s="1965">
        <v>14</v>
      </c>
      <c r="Q165" s="1966" t="s">
        <v>2571</v>
      </c>
    </row>
    <row r="166" spans="1:17" ht="12.75" customHeight="1">
      <c r="A166" s="1962"/>
      <c r="B166" s="1840"/>
      <c r="C166" s="1850" t="s">
        <v>2790</v>
      </c>
      <c r="D166" s="1934"/>
      <c r="E166" s="1934">
        <v>3</v>
      </c>
      <c r="F166" s="1905"/>
      <c r="G166" s="1963" t="s">
        <v>2573</v>
      </c>
      <c r="H166" s="1964" t="s">
        <v>2602</v>
      </c>
      <c r="I166" s="2310"/>
      <c r="J166" s="2534">
        <v>965</v>
      </c>
      <c r="K166" s="1615">
        <v>0</v>
      </c>
      <c r="L166" s="1636">
        <v>0</v>
      </c>
      <c r="M166" s="1636"/>
      <c r="N166" s="1615"/>
      <c r="O166" s="1635"/>
      <c r="P166" s="1965">
        <v>25</v>
      </c>
      <c r="Q166" s="1966" t="s">
        <v>2571</v>
      </c>
    </row>
    <row r="167" spans="1:17" ht="12.75" customHeight="1">
      <c r="A167" s="1962"/>
      <c r="B167" s="1840"/>
      <c r="C167" s="1850" t="s">
        <v>2791</v>
      </c>
      <c r="D167" s="1934"/>
      <c r="E167" s="1934">
        <v>3</v>
      </c>
      <c r="F167" s="1905"/>
      <c r="G167" s="1963" t="s">
        <v>2573</v>
      </c>
      <c r="H167" s="1964" t="s">
        <v>2602</v>
      </c>
      <c r="I167" s="2310"/>
      <c r="J167" s="2534">
        <v>965</v>
      </c>
      <c r="K167" s="1615">
        <v>0</v>
      </c>
      <c r="L167" s="1636">
        <v>0</v>
      </c>
      <c r="M167" s="1636"/>
      <c r="N167" s="1615"/>
      <c r="O167" s="1635"/>
      <c r="P167" s="1965">
        <v>2</v>
      </c>
      <c r="Q167" s="1966" t="s">
        <v>2571</v>
      </c>
    </row>
    <row r="168" spans="1:17" ht="12.75" customHeight="1">
      <c r="A168" s="1962"/>
      <c r="B168" s="1840"/>
      <c r="C168" s="1850" t="s">
        <v>2792</v>
      </c>
      <c r="D168" s="1934"/>
      <c r="E168" s="1934">
        <v>3</v>
      </c>
      <c r="F168" s="1905"/>
      <c r="G168" s="1963" t="s">
        <v>2573</v>
      </c>
      <c r="H168" s="1964" t="s">
        <v>2602</v>
      </c>
      <c r="I168" s="2310"/>
      <c r="J168" s="2534">
        <v>965</v>
      </c>
      <c r="K168" s="1615">
        <v>0</v>
      </c>
      <c r="L168" s="1636">
        <v>0</v>
      </c>
      <c r="M168" s="1636"/>
      <c r="N168" s="1615"/>
      <c r="O168" s="1635"/>
      <c r="P168" s="1965">
        <v>27</v>
      </c>
      <c r="Q168" s="1966" t="s">
        <v>2571</v>
      </c>
    </row>
    <row r="169" spans="1:17" ht="12.75" customHeight="1">
      <c r="A169" s="1962"/>
      <c r="B169" s="1840"/>
      <c r="C169" s="1850" t="s">
        <v>2793</v>
      </c>
      <c r="D169" s="1934"/>
      <c r="E169" s="1934">
        <v>3</v>
      </c>
      <c r="F169" s="1905"/>
      <c r="G169" s="1963" t="s">
        <v>2578</v>
      </c>
      <c r="H169" s="1964" t="s">
        <v>2697</v>
      </c>
      <c r="I169" s="2310"/>
      <c r="J169" s="2534">
        <v>0</v>
      </c>
      <c r="K169" s="1615">
        <v>0</v>
      </c>
      <c r="L169" s="1636">
        <v>0</v>
      </c>
      <c r="M169" s="1636"/>
      <c r="N169" s="1615"/>
      <c r="O169" s="1635"/>
      <c r="P169" s="1965">
        <v>14</v>
      </c>
      <c r="Q169" s="1966" t="s">
        <v>2571</v>
      </c>
    </row>
    <row r="170" spans="1:17" ht="12.75" customHeight="1">
      <c r="A170" s="1962"/>
      <c r="B170" s="1840"/>
      <c r="C170" s="1850" t="s">
        <v>2794</v>
      </c>
      <c r="D170" s="1934"/>
      <c r="E170" s="1934">
        <v>3</v>
      </c>
      <c r="F170" s="1905"/>
      <c r="G170" s="1963" t="s">
        <v>2573</v>
      </c>
      <c r="H170" s="1964" t="s">
        <v>2594</v>
      </c>
      <c r="I170" s="2310"/>
      <c r="J170" s="2534">
        <v>6100</v>
      </c>
      <c r="K170" s="1615">
        <v>0</v>
      </c>
      <c r="L170" s="1636">
        <v>0</v>
      </c>
      <c r="M170" s="1636"/>
      <c r="N170" s="1615"/>
      <c r="O170" s="1635"/>
      <c r="P170" s="1965">
        <v>11</v>
      </c>
      <c r="Q170" s="1966" t="s">
        <v>2571</v>
      </c>
    </row>
    <row r="171" spans="1:17" ht="12.75" customHeight="1">
      <c r="A171" s="1962"/>
      <c r="B171" s="1840"/>
      <c r="C171" s="1850" t="s">
        <v>2795</v>
      </c>
      <c r="D171" s="1934"/>
      <c r="E171" s="1934">
        <v>3</v>
      </c>
      <c r="F171" s="1905"/>
      <c r="G171" s="1963" t="s">
        <v>2578</v>
      </c>
      <c r="H171" s="1964" t="s">
        <v>2796</v>
      </c>
      <c r="I171" s="2310"/>
      <c r="J171" s="2534">
        <v>5754</v>
      </c>
      <c r="K171" s="1615">
        <v>0</v>
      </c>
      <c r="L171" s="1636">
        <v>0</v>
      </c>
      <c r="M171" s="1636"/>
      <c r="N171" s="1615"/>
      <c r="O171" s="1635"/>
      <c r="P171" s="1965">
        <v>36</v>
      </c>
      <c r="Q171" s="1966" t="s">
        <v>2571</v>
      </c>
    </row>
    <row r="172" spans="1:17" ht="12.75" customHeight="1">
      <c r="A172" s="1962"/>
      <c r="B172" s="1840"/>
      <c r="C172" s="1850" t="s">
        <v>2797</v>
      </c>
      <c r="D172" s="1934"/>
      <c r="E172" s="1934">
        <v>3</v>
      </c>
      <c r="F172" s="1905"/>
      <c r="G172" s="1963" t="s">
        <v>2581</v>
      </c>
      <c r="H172" s="1964" t="s">
        <v>2798</v>
      </c>
      <c r="I172" s="2310"/>
      <c r="J172" s="2534">
        <v>17801</v>
      </c>
      <c r="K172" s="1615">
        <v>0</v>
      </c>
      <c r="L172" s="1636">
        <v>0</v>
      </c>
      <c r="M172" s="1636"/>
      <c r="N172" s="1615"/>
      <c r="O172" s="1635"/>
      <c r="P172" s="1965">
        <v>1</v>
      </c>
      <c r="Q172" s="1966" t="s">
        <v>2571</v>
      </c>
    </row>
    <row r="173" spans="1:17" ht="12.75" customHeight="1">
      <c r="A173" s="1962"/>
      <c r="B173" s="1840"/>
      <c r="C173" s="1850" t="s">
        <v>2799</v>
      </c>
      <c r="D173" s="1934"/>
      <c r="E173" s="1934">
        <v>3</v>
      </c>
      <c r="F173" s="1905"/>
      <c r="G173" s="1963" t="s">
        <v>2581</v>
      </c>
      <c r="H173" s="1964" t="s">
        <v>2798</v>
      </c>
      <c r="I173" s="2310"/>
      <c r="J173" s="2534">
        <v>34142</v>
      </c>
      <c r="K173" s="1615">
        <v>0</v>
      </c>
      <c r="L173" s="1636">
        <v>0</v>
      </c>
      <c r="M173" s="1636"/>
      <c r="N173" s="1615"/>
      <c r="O173" s="1635"/>
      <c r="P173" s="1965">
        <v>2</v>
      </c>
      <c r="Q173" s="1966" t="s">
        <v>2571</v>
      </c>
    </row>
    <row r="174" spans="1:17" ht="12.75" customHeight="1">
      <c r="A174" s="1962"/>
      <c r="B174" s="1840"/>
      <c r="C174" s="1850" t="s">
        <v>2800</v>
      </c>
      <c r="D174" s="1934"/>
      <c r="E174" s="1934">
        <v>3</v>
      </c>
      <c r="F174" s="1905"/>
      <c r="G174" s="1963" t="s">
        <v>2581</v>
      </c>
      <c r="H174" s="1964" t="s">
        <v>2798</v>
      </c>
      <c r="I174" s="2310"/>
      <c r="J174" s="2534">
        <v>29292</v>
      </c>
      <c r="K174" s="1615">
        <v>0</v>
      </c>
      <c r="L174" s="1636">
        <v>0</v>
      </c>
      <c r="M174" s="1636"/>
      <c r="N174" s="1615"/>
      <c r="O174" s="1635"/>
      <c r="P174" s="1965">
        <v>9</v>
      </c>
      <c r="Q174" s="1966" t="s">
        <v>2571</v>
      </c>
    </row>
    <row r="175" spans="1:17" ht="12.75" customHeight="1">
      <c r="A175" s="1962"/>
      <c r="B175" s="1840"/>
      <c r="C175" s="1850" t="s">
        <v>2801</v>
      </c>
      <c r="D175" s="1934"/>
      <c r="E175" s="1934">
        <v>3</v>
      </c>
      <c r="F175" s="1905"/>
      <c r="G175" s="1963" t="s">
        <v>2581</v>
      </c>
      <c r="H175" s="1964" t="s">
        <v>2798</v>
      </c>
      <c r="I175" s="2310"/>
      <c r="J175" s="2534">
        <v>24990</v>
      </c>
      <c r="K175" s="1615">
        <v>0</v>
      </c>
      <c r="L175" s="1636">
        <v>0</v>
      </c>
      <c r="M175" s="1636"/>
      <c r="N175" s="1615"/>
      <c r="O175" s="1635"/>
      <c r="P175" s="1965">
        <v>11</v>
      </c>
      <c r="Q175" s="1966" t="s">
        <v>2571</v>
      </c>
    </row>
    <row r="176" spans="1:17" ht="12.75" customHeight="1">
      <c r="A176" s="1962"/>
      <c r="B176" s="1840"/>
      <c r="C176" s="1850" t="s">
        <v>2802</v>
      </c>
      <c r="D176" s="1934"/>
      <c r="E176" s="1934">
        <v>3</v>
      </c>
      <c r="F176" s="1905"/>
      <c r="G176" s="1963" t="s">
        <v>2581</v>
      </c>
      <c r="H176" s="1964" t="s">
        <v>2798</v>
      </c>
      <c r="I176" s="2310"/>
      <c r="J176" s="2534">
        <v>37600</v>
      </c>
      <c r="K176" s="1615">
        <v>0</v>
      </c>
      <c r="L176" s="1636">
        <v>0</v>
      </c>
      <c r="M176" s="1636"/>
      <c r="N176" s="1615"/>
      <c r="O176" s="1635"/>
      <c r="P176" s="1965">
        <v>14</v>
      </c>
      <c r="Q176" s="1966" t="s">
        <v>2571</v>
      </c>
    </row>
    <row r="177" spans="1:17" ht="12.75" customHeight="1">
      <c r="A177" s="1962"/>
      <c r="B177" s="1840"/>
      <c r="C177" s="1850" t="s">
        <v>2803</v>
      </c>
      <c r="D177" s="1934"/>
      <c r="E177" s="1934">
        <v>3</v>
      </c>
      <c r="F177" s="1905"/>
      <c r="G177" s="1963" t="s">
        <v>2581</v>
      </c>
      <c r="H177" s="1964" t="s">
        <v>2798</v>
      </c>
      <c r="I177" s="2310"/>
      <c r="J177" s="2534">
        <v>34057</v>
      </c>
      <c r="K177" s="1615">
        <v>0</v>
      </c>
      <c r="L177" s="1636">
        <v>0</v>
      </c>
      <c r="M177" s="1636"/>
      <c r="N177" s="1615"/>
      <c r="O177" s="1635"/>
      <c r="P177" s="1965">
        <v>21</v>
      </c>
      <c r="Q177" s="1966" t="s">
        <v>2571</v>
      </c>
    </row>
    <row r="178" spans="1:17" ht="12.75" customHeight="1">
      <c r="A178" s="1962"/>
      <c r="B178" s="1840"/>
      <c r="C178" s="1850" t="s">
        <v>2804</v>
      </c>
      <c r="D178" s="1934"/>
      <c r="E178" s="1934">
        <v>3</v>
      </c>
      <c r="F178" s="1905"/>
      <c r="G178" s="1963" t="s">
        <v>2581</v>
      </c>
      <c r="H178" s="1964" t="s">
        <v>2798</v>
      </c>
      <c r="I178" s="2310"/>
      <c r="J178" s="2534">
        <v>29375</v>
      </c>
      <c r="K178" s="1615">
        <v>0</v>
      </c>
      <c r="L178" s="1636">
        <v>0</v>
      </c>
      <c r="M178" s="1636"/>
      <c r="N178" s="1615"/>
      <c r="O178" s="1635"/>
      <c r="P178" s="1965">
        <v>25</v>
      </c>
      <c r="Q178" s="1966" t="s">
        <v>2571</v>
      </c>
    </row>
    <row r="179" spans="1:17" ht="12.75" customHeight="1">
      <c r="A179" s="1962"/>
      <c r="B179" s="1840"/>
      <c r="C179" s="1850" t="s">
        <v>2805</v>
      </c>
      <c r="D179" s="1934"/>
      <c r="E179" s="1934">
        <v>3</v>
      </c>
      <c r="F179" s="1905"/>
      <c r="G179" s="1963" t="s">
        <v>2581</v>
      </c>
      <c r="H179" s="1964" t="s">
        <v>2798</v>
      </c>
      <c r="I179" s="2310"/>
      <c r="J179" s="2534">
        <v>12632</v>
      </c>
      <c r="K179" s="1615">
        <v>0</v>
      </c>
      <c r="L179" s="1636">
        <v>0</v>
      </c>
      <c r="M179" s="1636"/>
      <c r="N179" s="1615"/>
      <c r="O179" s="1635"/>
      <c r="P179" s="1965">
        <v>25</v>
      </c>
      <c r="Q179" s="1966" t="s">
        <v>2571</v>
      </c>
    </row>
    <row r="180" spans="1:17" ht="12.75" customHeight="1">
      <c r="A180" s="1962"/>
      <c r="B180" s="1840"/>
      <c r="C180" s="1850" t="s">
        <v>2806</v>
      </c>
      <c r="D180" s="1934"/>
      <c r="E180" s="1934">
        <v>3</v>
      </c>
      <c r="F180" s="1905"/>
      <c r="G180" s="1963" t="s">
        <v>2581</v>
      </c>
      <c r="H180" s="1964" t="s">
        <v>2798</v>
      </c>
      <c r="I180" s="2310"/>
      <c r="J180" s="2534">
        <v>15852</v>
      </c>
      <c r="K180" s="1615">
        <v>0</v>
      </c>
      <c r="L180" s="1636">
        <v>0</v>
      </c>
      <c r="M180" s="1636"/>
      <c r="N180" s="1615"/>
      <c r="O180" s="1635"/>
      <c r="P180" s="1965">
        <v>27</v>
      </c>
      <c r="Q180" s="1966" t="s">
        <v>2571</v>
      </c>
    </row>
    <row r="181" spans="1:17" ht="12.75" customHeight="1">
      <c r="A181" s="1962"/>
      <c r="B181" s="1840"/>
      <c r="C181" s="1850" t="s">
        <v>2807</v>
      </c>
      <c r="D181" s="1934"/>
      <c r="E181" s="1934">
        <v>3</v>
      </c>
      <c r="F181" s="1905"/>
      <c r="G181" s="1963" t="s">
        <v>2581</v>
      </c>
      <c r="H181" s="1964" t="s">
        <v>2798</v>
      </c>
      <c r="I181" s="2310"/>
      <c r="J181" s="2534">
        <v>14795</v>
      </c>
      <c r="K181" s="1615">
        <v>0</v>
      </c>
      <c r="L181" s="1636">
        <v>0</v>
      </c>
      <c r="M181" s="1636"/>
      <c r="N181" s="1615"/>
      <c r="O181" s="1635"/>
      <c r="P181" s="1965">
        <v>30</v>
      </c>
      <c r="Q181" s="1966" t="s">
        <v>2571</v>
      </c>
    </row>
    <row r="182" spans="1:17" ht="12.75" customHeight="1">
      <c r="A182" s="1962"/>
      <c r="B182" s="1840"/>
      <c r="C182" s="1850" t="s">
        <v>2808</v>
      </c>
      <c r="D182" s="1934"/>
      <c r="E182" s="1934">
        <v>3</v>
      </c>
      <c r="F182" s="1905"/>
      <c r="G182" s="1963" t="s">
        <v>2581</v>
      </c>
      <c r="H182" s="1964" t="s">
        <v>2798</v>
      </c>
      <c r="I182" s="2310"/>
      <c r="J182" s="2534">
        <v>16889</v>
      </c>
      <c r="K182" s="1615">
        <v>0</v>
      </c>
      <c r="L182" s="1636">
        <v>0</v>
      </c>
      <c r="M182" s="1636"/>
      <c r="N182" s="1615"/>
      <c r="O182" s="1635"/>
      <c r="P182" s="1965">
        <v>31</v>
      </c>
      <c r="Q182" s="1966" t="s">
        <v>2571</v>
      </c>
    </row>
    <row r="183" spans="1:17" ht="12.75" customHeight="1">
      <c r="A183" s="1962"/>
      <c r="B183" s="1840"/>
      <c r="C183" s="1850" t="s">
        <v>2809</v>
      </c>
      <c r="D183" s="1934"/>
      <c r="E183" s="1934">
        <v>3</v>
      </c>
      <c r="F183" s="1905"/>
      <c r="G183" s="1963" t="s">
        <v>2581</v>
      </c>
      <c r="H183" s="1964" t="s">
        <v>2798</v>
      </c>
      <c r="I183" s="2310"/>
      <c r="J183" s="2534">
        <v>10323</v>
      </c>
      <c r="K183" s="1615">
        <v>0</v>
      </c>
      <c r="L183" s="1636">
        <v>0</v>
      </c>
      <c r="M183" s="1636"/>
      <c r="N183" s="1615"/>
      <c r="O183" s="1635"/>
      <c r="P183" s="1965">
        <v>36</v>
      </c>
      <c r="Q183" s="1966" t="s">
        <v>2571</v>
      </c>
    </row>
    <row r="184" spans="1:17" ht="12.75" customHeight="1">
      <c r="A184" s="1962"/>
      <c r="B184" s="1840"/>
      <c r="C184" s="1850" t="s">
        <v>2810</v>
      </c>
      <c r="D184" s="1934"/>
      <c r="E184" s="1934">
        <v>3</v>
      </c>
      <c r="F184" s="1905"/>
      <c r="G184" s="1963" t="s">
        <v>2581</v>
      </c>
      <c r="H184" s="1964" t="s">
        <v>2798</v>
      </c>
      <c r="I184" s="2310"/>
      <c r="J184" s="2534">
        <v>34836</v>
      </c>
      <c r="K184" s="1615">
        <v>0</v>
      </c>
      <c r="L184" s="1636">
        <v>0</v>
      </c>
      <c r="M184" s="1636"/>
      <c r="N184" s="1615"/>
      <c r="O184" s="1635"/>
      <c r="P184" s="1965">
        <v>13</v>
      </c>
      <c r="Q184" s="1966" t="s">
        <v>2571</v>
      </c>
    </row>
    <row r="185" spans="1:17" ht="12.75" customHeight="1">
      <c r="A185" s="1962"/>
      <c r="B185" s="1840"/>
      <c r="C185" s="1850" t="s">
        <v>2811</v>
      </c>
      <c r="D185" s="1934"/>
      <c r="E185" s="1934">
        <v>3</v>
      </c>
      <c r="F185" s="1905"/>
      <c r="G185" s="1963" t="s">
        <v>2578</v>
      </c>
      <c r="H185" s="1964" t="s">
        <v>2697</v>
      </c>
      <c r="I185" s="2310"/>
      <c r="J185" s="2534">
        <v>48750</v>
      </c>
      <c r="K185" s="1615">
        <v>0</v>
      </c>
      <c r="L185" s="1636">
        <v>0</v>
      </c>
      <c r="M185" s="1636"/>
      <c r="N185" s="1615"/>
      <c r="O185" s="1635"/>
      <c r="P185" s="1965">
        <v>13</v>
      </c>
      <c r="Q185" s="1966" t="s">
        <v>2571</v>
      </c>
    </row>
    <row r="186" spans="1:17" ht="12.75" customHeight="1">
      <c r="A186" s="1962"/>
      <c r="B186" s="1840"/>
      <c r="C186" s="1850" t="s">
        <v>2812</v>
      </c>
      <c r="D186" s="1934"/>
      <c r="E186" s="1934">
        <v>3</v>
      </c>
      <c r="F186" s="1905"/>
      <c r="G186" s="1963" t="s">
        <v>2573</v>
      </c>
      <c r="H186" s="1964" t="s">
        <v>2594</v>
      </c>
      <c r="I186" s="2310"/>
      <c r="J186" s="2534">
        <v>6775</v>
      </c>
      <c r="K186" s="1615">
        <v>0</v>
      </c>
      <c r="L186" s="1636">
        <v>0</v>
      </c>
      <c r="M186" s="1636"/>
      <c r="N186" s="1615"/>
      <c r="O186" s="1635"/>
      <c r="P186" s="1965">
        <v>36</v>
      </c>
      <c r="Q186" s="1966" t="s">
        <v>2571</v>
      </c>
    </row>
    <row r="187" spans="1:17" ht="12.75" customHeight="1">
      <c r="A187" s="1962"/>
      <c r="B187" s="1840"/>
      <c r="C187" s="1850" t="s">
        <v>2813</v>
      </c>
      <c r="D187" s="1934"/>
      <c r="E187" s="1934">
        <v>2</v>
      </c>
      <c r="F187" s="1905"/>
      <c r="G187" s="1963" t="s">
        <v>2578</v>
      </c>
      <c r="H187" s="1964" t="s">
        <v>2814</v>
      </c>
      <c r="I187" s="2310"/>
      <c r="J187" s="2534">
        <v>0</v>
      </c>
      <c r="K187" s="1615">
        <v>0</v>
      </c>
      <c r="L187" s="1636">
        <v>0</v>
      </c>
      <c r="M187" s="1636"/>
      <c r="N187" s="1615"/>
      <c r="O187" s="1635"/>
      <c r="P187" s="1965" t="s">
        <v>2815</v>
      </c>
      <c r="Q187" s="1966" t="s">
        <v>2571</v>
      </c>
    </row>
    <row r="188" spans="1:17" ht="12.75" customHeight="1">
      <c r="A188" s="1962"/>
      <c r="B188" s="1840"/>
      <c r="C188" s="1850" t="s">
        <v>2816</v>
      </c>
      <c r="D188" s="1934"/>
      <c r="E188" s="1934">
        <v>2</v>
      </c>
      <c r="F188" s="1905"/>
      <c r="G188" s="1963" t="s">
        <v>2573</v>
      </c>
      <c r="H188" s="1964" t="s">
        <v>2586</v>
      </c>
      <c r="I188" s="2310"/>
      <c r="J188" s="2534">
        <v>0</v>
      </c>
      <c r="K188" s="1615">
        <v>0</v>
      </c>
      <c r="L188" s="1636">
        <v>0</v>
      </c>
      <c r="M188" s="1636"/>
      <c r="N188" s="1615"/>
      <c r="O188" s="1635"/>
      <c r="P188" s="1965" t="s">
        <v>2566</v>
      </c>
      <c r="Q188" s="1966" t="s">
        <v>2571</v>
      </c>
    </row>
    <row r="189" spans="1:17" ht="12.75" customHeight="1">
      <c r="A189" s="1962"/>
      <c r="B189" s="1840"/>
      <c r="C189" s="1850" t="s">
        <v>2817</v>
      </c>
      <c r="D189" s="1934"/>
      <c r="E189" s="1934">
        <v>2</v>
      </c>
      <c r="F189" s="1905"/>
      <c r="G189" s="1963" t="s">
        <v>2578</v>
      </c>
      <c r="H189" s="1964" t="s">
        <v>2818</v>
      </c>
      <c r="I189" s="2310"/>
      <c r="J189" s="2534">
        <v>103000</v>
      </c>
      <c r="K189" s="1615">
        <v>0</v>
      </c>
      <c r="L189" s="1636">
        <v>0</v>
      </c>
      <c r="M189" s="1636"/>
      <c r="N189" s="1615"/>
      <c r="O189" s="1635"/>
      <c r="P189" s="1965" t="s">
        <v>2566</v>
      </c>
      <c r="Q189" s="1966" t="s">
        <v>2571</v>
      </c>
    </row>
    <row r="190" spans="1:17" ht="12.75" customHeight="1">
      <c r="A190" s="1962"/>
      <c r="B190" s="1840"/>
      <c r="C190" s="1850" t="s">
        <v>2819</v>
      </c>
      <c r="D190" s="1934"/>
      <c r="E190" s="1934">
        <v>2</v>
      </c>
      <c r="F190" s="1905"/>
      <c r="G190" s="1963" t="s">
        <v>2578</v>
      </c>
      <c r="H190" s="1964" t="s">
        <v>2820</v>
      </c>
      <c r="I190" s="2310"/>
      <c r="J190" s="2534">
        <v>447710</v>
      </c>
      <c r="K190" s="1615">
        <v>0</v>
      </c>
      <c r="L190" s="1636">
        <v>0</v>
      </c>
      <c r="M190" s="1636"/>
      <c r="N190" s="1615"/>
      <c r="O190" s="1635"/>
      <c r="P190" s="1965" t="s">
        <v>2566</v>
      </c>
      <c r="Q190" s="1966" t="s">
        <v>2571</v>
      </c>
    </row>
    <row r="191" spans="1:17" ht="12.75" customHeight="1">
      <c r="A191" s="1962"/>
      <c r="B191" s="1840"/>
      <c r="C191" s="1850" t="s">
        <v>2821</v>
      </c>
      <c r="D191" s="1934"/>
      <c r="E191" s="1934">
        <v>2</v>
      </c>
      <c r="F191" s="1905"/>
      <c r="G191" s="1963" t="s">
        <v>2578</v>
      </c>
      <c r="H191" s="1964" t="s">
        <v>2814</v>
      </c>
      <c r="I191" s="2310"/>
      <c r="J191" s="2534">
        <v>0</v>
      </c>
      <c r="K191" s="1615">
        <v>0</v>
      </c>
      <c r="L191" s="1636">
        <v>0</v>
      </c>
      <c r="M191" s="1636"/>
      <c r="N191" s="1615"/>
      <c r="O191" s="1635"/>
      <c r="P191" s="1965">
        <v>29</v>
      </c>
      <c r="Q191" s="1966" t="s">
        <v>2571</v>
      </c>
    </row>
    <row r="192" spans="1:17" ht="12.75" customHeight="1">
      <c r="A192" s="1962"/>
      <c r="B192" s="1840"/>
      <c r="C192" s="1850" t="s">
        <v>2822</v>
      </c>
      <c r="D192" s="1934"/>
      <c r="E192" s="1934">
        <v>2</v>
      </c>
      <c r="F192" s="1905"/>
      <c r="G192" s="1963" t="s">
        <v>2578</v>
      </c>
      <c r="H192" s="1964" t="s">
        <v>2814</v>
      </c>
      <c r="I192" s="2310"/>
      <c r="J192" s="2534">
        <v>1755440</v>
      </c>
      <c r="K192" s="1615">
        <v>0</v>
      </c>
      <c r="L192" s="1636">
        <v>0</v>
      </c>
      <c r="M192" s="1636"/>
      <c r="N192" s="1615"/>
      <c r="O192" s="1635"/>
      <c r="P192" s="1965">
        <v>29</v>
      </c>
      <c r="Q192" s="1966" t="s">
        <v>2571</v>
      </c>
    </row>
    <row r="193" spans="1:17" ht="12.75" customHeight="1">
      <c r="A193" s="1962"/>
      <c r="B193" s="1840"/>
      <c r="C193" s="1850" t="s">
        <v>2823</v>
      </c>
      <c r="D193" s="1934"/>
      <c r="E193" s="1934">
        <v>2</v>
      </c>
      <c r="F193" s="1905"/>
      <c r="G193" s="1963" t="s">
        <v>2578</v>
      </c>
      <c r="H193" s="1964" t="s">
        <v>2814</v>
      </c>
      <c r="I193" s="2310"/>
      <c r="J193" s="2534">
        <v>2377619</v>
      </c>
      <c r="K193" s="1615">
        <v>0</v>
      </c>
      <c r="L193" s="1636">
        <v>0</v>
      </c>
      <c r="M193" s="1636"/>
      <c r="N193" s="1615"/>
      <c r="O193" s="1635"/>
      <c r="P193" s="1965">
        <v>35</v>
      </c>
      <c r="Q193" s="1966" t="s">
        <v>2571</v>
      </c>
    </row>
    <row r="194" spans="1:17" ht="12.75" customHeight="1">
      <c r="A194" s="1962"/>
      <c r="B194" s="1840"/>
      <c r="C194" s="1850" t="s">
        <v>2824</v>
      </c>
      <c r="D194" s="1934"/>
      <c r="E194" s="1934">
        <v>2</v>
      </c>
      <c r="F194" s="1905"/>
      <c r="G194" s="1963" t="s">
        <v>2578</v>
      </c>
      <c r="H194" s="1964" t="s">
        <v>2814</v>
      </c>
      <c r="I194" s="2310"/>
      <c r="J194" s="2534">
        <v>320332</v>
      </c>
      <c r="K194" s="1615">
        <v>0</v>
      </c>
      <c r="L194" s="1636">
        <v>0</v>
      </c>
      <c r="M194" s="1636"/>
      <c r="N194" s="1615"/>
      <c r="O194" s="1635"/>
      <c r="P194" s="1965">
        <v>34</v>
      </c>
      <c r="Q194" s="1966" t="s">
        <v>2571</v>
      </c>
    </row>
    <row r="195" spans="1:17" ht="12.75" customHeight="1">
      <c r="A195" s="1962"/>
      <c r="B195" s="1840"/>
      <c r="C195" s="1850" t="s">
        <v>2825</v>
      </c>
      <c r="D195" s="1934"/>
      <c r="E195" s="1934">
        <v>2</v>
      </c>
      <c r="F195" s="1905"/>
      <c r="G195" s="1963" t="s">
        <v>2578</v>
      </c>
      <c r="H195" s="1964" t="s">
        <v>2814</v>
      </c>
      <c r="I195" s="2310"/>
      <c r="J195" s="2534">
        <v>2005605</v>
      </c>
      <c r="K195" s="1615">
        <v>0</v>
      </c>
      <c r="L195" s="1636">
        <v>0</v>
      </c>
      <c r="M195" s="1636"/>
      <c r="N195" s="1615"/>
      <c r="O195" s="1635"/>
      <c r="P195" s="1965">
        <v>30</v>
      </c>
      <c r="Q195" s="1966" t="s">
        <v>2571</v>
      </c>
    </row>
    <row r="196" spans="1:17" ht="12.75" customHeight="1">
      <c r="A196" s="1962"/>
      <c r="B196" s="1840"/>
      <c r="C196" s="1850" t="s">
        <v>2826</v>
      </c>
      <c r="D196" s="1934"/>
      <c r="E196" s="1934">
        <v>2</v>
      </c>
      <c r="F196" s="1905"/>
      <c r="G196" s="1963" t="s">
        <v>2578</v>
      </c>
      <c r="H196" s="1964" t="s">
        <v>2814</v>
      </c>
      <c r="I196" s="2310"/>
      <c r="J196" s="2534">
        <v>0</v>
      </c>
      <c r="K196" s="1615">
        <v>0</v>
      </c>
      <c r="L196" s="1636">
        <v>0</v>
      </c>
      <c r="M196" s="1636"/>
      <c r="N196" s="1615"/>
      <c r="O196" s="1635"/>
      <c r="P196" s="1965" t="s">
        <v>2827</v>
      </c>
      <c r="Q196" s="1966" t="s">
        <v>2571</v>
      </c>
    </row>
    <row r="197" spans="1:17" ht="12.75" customHeight="1">
      <c r="A197" s="1962"/>
      <c r="B197" s="1840"/>
      <c r="C197" s="1850" t="s">
        <v>2828</v>
      </c>
      <c r="D197" s="1934"/>
      <c r="E197" s="1934">
        <v>2</v>
      </c>
      <c r="F197" s="1905"/>
      <c r="G197" s="1963" t="s">
        <v>2578</v>
      </c>
      <c r="H197" s="1964" t="s">
        <v>2814</v>
      </c>
      <c r="I197" s="2310"/>
      <c r="J197" s="2534">
        <v>18017</v>
      </c>
      <c r="K197" s="1615">
        <v>0</v>
      </c>
      <c r="L197" s="1636">
        <v>0</v>
      </c>
      <c r="M197" s="1636"/>
      <c r="N197" s="1615"/>
      <c r="O197" s="1635"/>
      <c r="P197" s="1965">
        <v>35</v>
      </c>
      <c r="Q197" s="1966" t="s">
        <v>2571</v>
      </c>
    </row>
    <row r="198" spans="1:17" ht="12.75" customHeight="1">
      <c r="A198" s="1962"/>
      <c r="B198" s="1840"/>
      <c r="C198" s="1850" t="s">
        <v>2829</v>
      </c>
      <c r="D198" s="1934"/>
      <c r="E198" s="1934">
        <v>2</v>
      </c>
      <c r="F198" s="1905"/>
      <c r="G198" s="1963" t="s">
        <v>2578</v>
      </c>
      <c r="H198" s="1964" t="s">
        <v>2814</v>
      </c>
      <c r="I198" s="2310"/>
      <c r="J198" s="2534">
        <v>0</v>
      </c>
      <c r="K198" s="1615">
        <v>0</v>
      </c>
      <c r="L198" s="1636">
        <v>0</v>
      </c>
      <c r="M198" s="1636"/>
      <c r="N198" s="1615"/>
      <c r="O198" s="1635"/>
      <c r="P198" s="1965">
        <v>8</v>
      </c>
      <c r="Q198" s="1966" t="s">
        <v>2571</v>
      </c>
    </row>
    <row r="199" spans="1:17" ht="12.75" customHeight="1">
      <c r="A199" s="1962"/>
      <c r="B199" s="1840"/>
      <c r="C199" s="1850" t="s">
        <v>2830</v>
      </c>
      <c r="D199" s="1934"/>
      <c r="E199" s="1934">
        <v>2</v>
      </c>
      <c r="F199" s="1905"/>
      <c r="G199" s="1963" t="s">
        <v>2578</v>
      </c>
      <c r="H199" s="1964" t="s">
        <v>2814</v>
      </c>
      <c r="I199" s="2310"/>
      <c r="J199" s="2534">
        <v>3351260</v>
      </c>
      <c r="K199" s="1615">
        <v>0</v>
      </c>
      <c r="L199" s="1636">
        <v>0</v>
      </c>
      <c r="M199" s="1636"/>
      <c r="N199" s="1615"/>
      <c r="O199" s="1635"/>
      <c r="P199" s="1965">
        <v>29</v>
      </c>
      <c r="Q199" s="1966" t="s">
        <v>2571</v>
      </c>
    </row>
    <row r="200" spans="1:17" ht="12.75" customHeight="1">
      <c r="A200" s="1962"/>
      <c r="B200" s="1840"/>
      <c r="C200" s="1850" t="s">
        <v>2831</v>
      </c>
      <c r="D200" s="1934"/>
      <c r="E200" s="1934">
        <v>2</v>
      </c>
      <c r="F200" s="1905"/>
      <c r="G200" s="1963" t="s">
        <v>2578</v>
      </c>
      <c r="H200" s="1964" t="s">
        <v>2814</v>
      </c>
      <c r="I200" s="2310"/>
      <c r="J200" s="2534">
        <v>0</v>
      </c>
      <c r="K200" s="1615">
        <v>0</v>
      </c>
      <c r="L200" s="1636">
        <v>0</v>
      </c>
      <c r="M200" s="1636"/>
      <c r="N200" s="1615"/>
      <c r="O200" s="1635"/>
      <c r="P200" s="1965">
        <v>29</v>
      </c>
      <c r="Q200" s="1966" t="s">
        <v>2571</v>
      </c>
    </row>
    <row r="201" spans="1:17" ht="12.75" customHeight="1">
      <c r="A201" s="1962"/>
      <c r="B201" s="1840"/>
      <c r="C201" s="1850" t="s">
        <v>2832</v>
      </c>
      <c r="D201" s="1934"/>
      <c r="E201" s="1934">
        <v>2</v>
      </c>
      <c r="F201" s="1905"/>
      <c r="G201" s="1963" t="s">
        <v>2578</v>
      </c>
      <c r="H201" s="1964" t="s">
        <v>2814</v>
      </c>
      <c r="I201" s="2310"/>
      <c r="J201" s="2534">
        <v>0</v>
      </c>
      <c r="K201" s="1615">
        <v>0</v>
      </c>
      <c r="L201" s="1636">
        <v>0</v>
      </c>
      <c r="M201" s="1636"/>
      <c r="N201" s="1615"/>
      <c r="O201" s="1635"/>
      <c r="P201" s="1965">
        <v>29</v>
      </c>
      <c r="Q201" s="1966" t="s">
        <v>2571</v>
      </c>
    </row>
    <row r="202" spans="1:17" ht="12.75" customHeight="1">
      <c r="A202" s="1962"/>
      <c r="B202" s="1840"/>
      <c r="C202" s="1850" t="s">
        <v>2833</v>
      </c>
      <c r="D202" s="1934"/>
      <c r="E202" s="1934">
        <v>2</v>
      </c>
      <c r="F202" s="1905"/>
      <c r="G202" s="1963" t="s">
        <v>2578</v>
      </c>
      <c r="H202" s="1964" t="s">
        <v>2814</v>
      </c>
      <c r="I202" s="2310"/>
      <c r="J202" s="2534">
        <v>233808</v>
      </c>
      <c r="K202" s="1615">
        <v>0</v>
      </c>
      <c r="L202" s="1636">
        <v>0</v>
      </c>
      <c r="M202" s="1636"/>
      <c r="N202" s="1615"/>
      <c r="O202" s="1635"/>
      <c r="P202" s="1965">
        <v>2</v>
      </c>
      <c r="Q202" s="1966" t="s">
        <v>2571</v>
      </c>
    </row>
    <row r="203" spans="1:17" ht="12.75" customHeight="1">
      <c r="A203" s="1962"/>
      <c r="B203" s="1840"/>
      <c r="C203" s="1850" t="s">
        <v>2834</v>
      </c>
      <c r="D203" s="1934"/>
      <c r="E203" s="1934">
        <v>2</v>
      </c>
      <c r="F203" s="1905"/>
      <c r="G203" s="1963" t="s">
        <v>2578</v>
      </c>
      <c r="H203" s="1964" t="s">
        <v>2814</v>
      </c>
      <c r="I203" s="2310"/>
      <c r="J203" s="2534">
        <v>1096939</v>
      </c>
      <c r="K203" s="1615">
        <v>0</v>
      </c>
      <c r="L203" s="1636">
        <v>0</v>
      </c>
      <c r="M203" s="1636"/>
      <c r="N203" s="1615"/>
      <c r="O203" s="1635"/>
      <c r="P203" s="1965" t="s">
        <v>2566</v>
      </c>
      <c r="Q203" s="1966" t="s">
        <v>2571</v>
      </c>
    </row>
    <row r="204" spans="1:17" ht="12.75" customHeight="1">
      <c r="A204" s="1962"/>
      <c r="B204" s="1840"/>
      <c r="C204" s="1850" t="s">
        <v>2835</v>
      </c>
      <c r="D204" s="1934"/>
      <c r="E204" s="1934">
        <v>2</v>
      </c>
      <c r="F204" s="1905"/>
      <c r="G204" s="1963" t="s">
        <v>2578</v>
      </c>
      <c r="H204" s="1964" t="s">
        <v>2836</v>
      </c>
      <c r="I204" s="2310"/>
      <c r="J204" s="2534">
        <v>7602010</v>
      </c>
      <c r="K204" s="1615">
        <v>0</v>
      </c>
      <c r="L204" s="1636">
        <v>0</v>
      </c>
      <c r="M204" s="1636"/>
      <c r="N204" s="1615"/>
      <c r="O204" s="1635"/>
      <c r="P204" s="1965">
        <v>17</v>
      </c>
      <c r="Q204" s="1966" t="s">
        <v>2571</v>
      </c>
    </row>
    <row r="205" spans="1:17" ht="12.75" customHeight="1">
      <c r="A205" s="1962"/>
      <c r="B205" s="1840"/>
      <c r="C205" s="1850" t="s">
        <v>2837</v>
      </c>
      <c r="D205" s="1934"/>
      <c r="E205" s="1934">
        <v>2</v>
      </c>
      <c r="F205" s="1905"/>
      <c r="G205" s="1963" t="s">
        <v>2578</v>
      </c>
      <c r="H205" s="1964" t="s">
        <v>2838</v>
      </c>
      <c r="I205" s="2310"/>
      <c r="J205" s="2534">
        <v>21000</v>
      </c>
      <c r="K205" s="1615">
        <v>0</v>
      </c>
      <c r="L205" s="1636">
        <v>0</v>
      </c>
      <c r="M205" s="1636"/>
      <c r="N205" s="1615"/>
      <c r="O205" s="1635"/>
      <c r="P205" s="1965" t="s">
        <v>2566</v>
      </c>
      <c r="Q205" s="1966" t="s">
        <v>2571</v>
      </c>
    </row>
    <row r="206" spans="1:17" ht="12.75" customHeight="1">
      <c r="A206" s="1962"/>
      <c r="B206" s="1840"/>
      <c r="C206" s="1850" t="s">
        <v>2839</v>
      </c>
      <c r="D206" s="1934"/>
      <c r="E206" s="1934">
        <v>2</v>
      </c>
      <c r="F206" s="1905"/>
      <c r="G206" s="1963" t="s">
        <v>2578</v>
      </c>
      <c r="H206" s="1964" t="s">
        <v>2838</v>
      </c>
      <c r="I206" s="2310"/>
      <c r="J206" s="2534">
        <v>0</v>
      </c>
      <c r="K206" s="1615">
        <v>0</v>
      </c>
      <c r="L206" s="1636">
        <v>0</v>
      </c>
      <c r="M206" s="1636"/>
      <c r="N206" s="1615"/>
      <c r="O206" s="1635"/>
      <c r="P206" s="1965" t="s">
        <v>2566</v>
      </c>
      <c r="Q206" s="1966" t="s">
        <v>2571</v>
      </c>
    </row>
    <row r="207" spans="1:17" ht="12.75" customHeight="1">
      <c r="A207" s="1962"/>
      <c r="B207" s="1840"/>
      <c r="C207" s="1850" t="s">
        <v>2840</v>
      </c>
      <c r="D207" s="1934"/>
      <c r="E207" s="1934">
        <v>2</v>
      </c>
      <c r="F207" s="1905"/>
      <c r="G207" s="1963" t="s">
        <v>2578</v>
      </c>
      <c r="H207" s="1964" t="s">
        <v>2838</v>
      </c>
      <c r="I207" s="2310"/>
      <c r="J207" s="2534">
        <v>0</v>
      </c>
      <c r="K207" s="1615">
        <v>0</v>
      </c>
      <c r="L207" s="1636">
        <v>0</v>
      </c>
      <c r="M207" s="1636"/>
      <c r="N207" s="1615"/>
      <c r="O207" s="1635"/>
      <c r="P207" s="1965">
        <v>16</v>
      </c>
      <c r="Q207" s="1966" t="s">
        <v>2571</v>
      </c>
    </row>
    <row r="208" spans="1:17" ht="12.75" customHeight="1">
      <c r="A208" s="1962"/>
      <c r="B208" s="1840"/>
      <c r="C208" s="1850" t="s">
        <v>2841</v>
      </c>
      <c r="D208" s="1934"/>
      <c r="E208" s="1934">
        <v>2</v>
      </c>
      <c r="F208" s="1905"/>
      <c r="G208" s="1963" t="s">
        <v>2578</v>
      </c>
      <c r="H208" s="1964" t="s">
        <v>2836</v>
      </c>
      <c r="I208" s="2310"/>
      <c r="J208" s="2534">
        <v>2257540</v>
      </c>
      <c r="K208" s="1615">
        <v>0</v>
      </c>
      <c r="L208" s="1636">
        <v>0</v>
      </c>
      <c r="M208" s="1636"/>
      <c r="N208" s="1615"/>
      <c r="O208" s="1635"/>
      <c r="P208" s="1965">
        <v>17</v>
      </c>
      <c r="Q208" s="1966" t="s">
        <v>2571</v>
      </c>
    </row>
    <row r="209" spans="1:17" ht="12.75" customHeight="1">
      <c r="A209" s="1962"/>
      <c r="B209" s="1840"/>
      <c r="C209" s="1850" t="s">
        <v>2842</v>
      </c>
      <c r="D209" s="1934"/>
      <c r="E209" s="1934">
        <v>2</v>
      </c>
      <c r="F209" s="1905"/>
      <c r="G209" s="1963" t="s">
        <v>2578</v>
      </c>
      <c r="H209" s="1964" t="s">
        <v>2843</v>
      </c>
      <c r="I209" s="2310"/>
      <c r="J209" s="2534">
        <v>768169</v>
      </c>
      <c r="K209" s="1615">
        <v>0</v>
      </c>
      <c r="L209" s="1636">
        <v>0</v>
      </c>
      <c r="M209" s="1636"/>
      <c r="N209" s="1615"/>
      <c r="O209" s="1635"/>
      <c r="P209" s="1965" t="s">
        <v>2566</v>
      </c>
      <c r="Q209" s="1966" t="s">
        <v>2571</v>
      </c>
    </row>
    <row r="210" spans="1:17" ht="12.75" customHeight="1">
      <c r="A210" s="1962"/>
      <c r="B210" s="1840"/>
      <c r="C210" s="1850" t="s">
        <v>2844</v>
      </c>
      <c r="D210" s="1934"/>
      <c r="E210" s="1934">
        <v>2</v>
      </c>
      <c r="F210" s="1905"/>
      <c r="G210" s="1963" t="s">
        <v>2578</v>
      </c>
      <c r="H210" s="1964" t="s">
        <v>2845</v>
      </c>
      <c r="I210" s="2310"/>
      <c r="J210" s="2534">
        <v>2663592</v>
      </c>
      <c r="K210" s="1615">
        <v>0</v>
      </c>
      <c r="L210" s="1636">
        <v>0</v>
      </c>
      <c r="M210" s="1636"/>
      <c r="N210" s="1615"/>
      <c r="O210" s="1635"/>
      <c r="P210" s="1965">
        <v>14</v>
      </c>
      <c r="Q210" s="1966" t="s">
        <v>2571</v>
      </c>
    </row>
    <row r="211" spans="1:17" ht="12.75" customHeight="1">
      <c r="A211" s="1962"/>
      <c r="B211" s="1840"/>
      <c r="C211" s="1850" t="s">
        <v>2846</v>
      </c>
      <c r="D211" s="1934"/>
      <c r="E211" s="1934">
        <v>2</v>
      </c>
      <c r="F211" s="1905"/>
      <c r="G211" s="1963" t="s">
        <v>2578</v>
      </c>
      <c r="H211" s="1964" t="s">
        <v>2697</v>
      </c>
      <c r="I211" s="2310"/>
      <c r="J211" s="2534">
        <v>175202</v>
      </c>
      <c r="K211" s="1615">
        <v>0</v>
      </c>
      <c r="L211" s="1636">
        <v>0</v>
      </c>
      <c r="M211" s="1636"/>
      <c r="N211" s="1615"/>
      <c r="O211" s="1635"/>
      <c r="P211" s="1965" t="s">
        <v>2566</v>
      </c>
      <c r="Q211" s="1966" t="s">
        <v>2571</v>
      </c>
    </row>
    <row r="212" spans="1:17" ht="12.75" customHeight="1">
      <c r="A212" s="1962"/>
      <c r="B212" s="1840"/>
      <c r="C212" s="1850" t="s">
        <v>2847</v>
      </c>
      <c r="D212" s="1934"/>
      <c r="E212" s="1934">
        <v>2</v>
      </c>
      <c r="F212" s="1905"/>
      <c r="G212" s="1963" t="s">
        <v>2578</v>
      </c>
      <c r="H212" s="1964" t="s">
        <v>2848</v>
      </c>
      <c r="I212" s="2310"/>
      <c r="J212" s="2534">
        <v>176517</v>
      </c>
      <c r="K212" s="1615">
        <v>0</v>
      </c>
      <c r="L212" s="1636">
        <v>0</v>
      </c>
      <c r="M212" s="1636"/>
      <c r="N212" s="1615"/>
      <c r="O212" s="1635"/>
      <c r="P212" s="1965" t="s">
        <v>2566</v>
      </c>
      <c r="Q212" s="1966" t="s">
        <v>2571</v>
      </c>
    </row>
    <row r="213" spans="1:17" ht="12.75" customHeight="1">
      <c r="A213" s="1962"/>
      <c r="B213" s="1840"/>
      <c r="C213" s="1850" t="s">
        <v>2849</v>
      </c>
      <c r="D213" s="1934"/>
      <c r="E213" s="1934">
        <v>2</v>
      </c>
      <c r="F213" s="1905"/>
      <c r="G213" s="1963" t="s">
        <v>2578</v>
      </c>
      <c r="H213" s="1964" t="s">
        <v>2845</v>
      </c>
      <c r="I213" s="2310"/>
      <c r="J213" s="2534">
        <v>0</v>
      </c>
      <c r="K213" s="1615">
        <v>0</v>
      </c>
      <c r="L213" s="1636">
        <v>0</v>
      </c>
      <c r="M213" s="1636"/>
      <c r="N213" s="1615"/>
      <c r="O213" s="1635"/>
      <c r="P213" s="1965" t="s">
        <v>2566</v>
      </c>
      <c r="Q213" s="1966" t="s">
        <v>2571</v>
      </c>
    </row>
    <row r="214" spans="1:17" ht="12.75" customHeight="1">
      <c r="A214" s="1962"/>
      <c r="B214" s="1840"/>
      <c r="C214" s="1850" t="s">
        <v>2850</v>
      </c>
      <c r="D214" s="1934"/>
      <c r="E214" s="1934">
        <v>2</v>
      </c>
      <c r="F214" s="1905"/>
      <c r="G214" s="1963" t="s">
        <v>2578</v>
      </c>
      <c r="H214" s="1964" t="s">
        <v>2851</v>
      </c>
      <c r="I214" s="2310"/>
      <c r="J214" s="2534">
        <v>432837</v>
      </c>
      <c r="K214" s="1615">
        <v>0</v>
      </c>
      <c r="L214" s="1636">
        <v>0</v>
      </c>
      <c r="M214" s="1636"/>
      <c r="N214" s="1615"/>
      <c r="O214" s="1635"/>
      <c r="P214" s="1965">
        <v>14</v>
      </c>
      <c r="Q214" s="1966" t="s">
        <v>2571</v>
      </c>
    </row>
    <row r="215" spans="1:17" ht="12.75" customHeight="1">
      <c r="A215" s="1962"/>
      <c r="B215" s="1840"/>
      <c r="C215" s="1850" t="s">
        <v>2852</v>
      </c>
      <c r="D215" s="1934"/>
      <c r="E215" s="1934">
        <v>2</v>
      </c>
      <c r="F215" s="1905"/>
      <c r="G215" s="1963" t="s">
        <v>2578</v>
      </c>
      <c r="H215" s="1964" t="s">
        <v>2853</v>
      </c>
      <c r="I215" s="2310"/>
      <c r="J215" s="2534">
        <v>198676</v>
      </c>
      <c r="K215" s="1615">
        <v>0</v>
      </c>
      <c r="L215" s="1636">
        <v>0</v>
      </c>
      <c r="M215" s="1636"/>
      <c r="N215" s="1615"/>
      <c r="O215" s="1635"/>
      <c r="P215" s="1965" t="s">
        <v>2566</v>
      </c>
      <c r="Q215" s="1966" t="s">
        <v>2571</v>
      </c>
    </row>
    <row r="216" spans="1:17" ht="12.75" customHeight="1">
      <c r="A216" s="1962"/>
      <c r="B216" s="1840"/>
      <c r="C216" s="1850" t="s">
        <v>2854</v>
      </c>
      <c r="D216" s="1934"/>
      <c r="E216" s="1934">
        <v>2</v>
      </c>
      <c r="F216" s="1905"/>
      <c r="G216" s="1963" t="s">
        <v>2573</v>
      </c>
      <c r="H216" s="1964" t="s">
        <v>2657</v>
      </c>
      <c r="I216" s="2310"/>
      <c r="J216" s="2534">
        <v>28975</v>
      </c>
      <c r="K216" s="1615">
        <v>0</v>
      </c>
      <c r="L216" s="1636">
        <v>0</v>
      </c>
      <c r="M216" s="1636"/>
      <c r="N216" s="1615"/>
      <c r="O216" s="1635"/>
      <c r="P216" s="1965" t="s">
        <v>2566</v>
      </c>
      <c r="Q216" s="1966" t="s">
        <v>2571</v>
      </c>
    </row>
    <row r="217" spans="1:17" ht="12.75" customHeight="1">
      <c r="A217" s="1962"/>
      <c r="B217" s="1840"/>
      <c r="C217" s="1850" t="s">
        <v>2855</v>
      </c>
      <c r="D217" s="1934"/>
      <c r="E217" s="1934">
        <v>2</v>
      </c>
      <c r="F217" s="1905"/>
      <c r="G217" s="1963" t="s">
        <v>2578</v>
      </c>
      <c r="H217" s="1964" t="s">
        <v>2856</v>
      </c>
      <c r="I217" s="2310"/>
      <c r="J217" s="2534">
        <v>99188</v>
      </c>
      <c r="K217" s="1615">
        <v>0</v>
      </c>
      <c r="L217" s="1636">
        <v>0</v>
      </c>
      <c r="M217" s="1636"/>
      <c r="N217" s="1615"/>
      <c r="O217" s="1635"/>
      <c r="P217" s="1965" t="s">
        <v>2566</v>
      </c>
      <c r="Q217" s="1966" t="s">
        <v>2571</v>
      </c>
    </row>
    <row r="218" spans="1:17" ht="12.75" customHeight="1">
      <c r="A218" s="1962"/>
      <c r="B218" s="1840"/>
      <c r="C218" s="1850" t="s">
        <v>2857</v>
      </c>
      <c r="D218" s="1934"/>
      <c r="E218" s="1934">
        <v>2</v>
      </c>
      <c r="F218" s="1905"/>
      <c r="G218" s="1963" t="s">
        <v>2578</v>
      </c>
      <c r="H218" s="1964" t="s">
        <v>2836</v>
      </c>
      <c r="I218" s="2310"/>
      <c r="J218" s="2534">
        <v>339267</v>
      </c>
      <c r="K218" s="1615">
        <v>0</v>
      </c>
      <c r="L218" s="1636">
        <v>0</v>
      </c>
      <c r="M218" s="1636"/>
      <c r="N218" s="1615"/>
      <c r="O218" s="1635"/>
      <c r="P218" s="1965" t="s">
        <v>2566</v>
      </c>
      <c r="Q218" s="1966" t="s">
        <v>2571</v>
      </c>
    </row>
    <row r="219" spans="1:17" ht="12.75" customHeight="1">
      <c r="A219" s="1962"/>
      <c r="B219" s="1840"/>
      <c r="C219" s="1850" t="s">
        <v>2858</v>
      </c>
      <c r="D219" s="1934"/>
      <c r="E219" s="1934">
        <v>2</v>
      </c>
      <c r="F219" s="1905"/>
      <c r="G219" s="1963" t="s">
        <v>2573</v>
      </c>
      <c r="H219" s="1964" t="s">
        <v>2564</v>
      </c>
      <c r="I219" s="2310"/>
      <c r="J219" s="2534">
        <v>0</v>
      </c>
      <c r="K219" s="1615">
        <v>0</v>
      </c>
      <c r="L219" s="1636">
        <v>0</v>
      </c>
      <c r="M219" s="1636"/>
      <c r="N219" s="1615"/>
      <c r="O219" s="1635"/>
      <c r="P219" s="1965" t="s">
        <v>2566</v>
      </c>
      <c r="Q219" s="1966" t="s">
        <v>2571</v>
      </c>
    </row>
    <row r="220" spans="1:17" ht="12.75" customHeight="1">
      <c r="A220" s="1962"/>
      <c r="B220" s="1840"/>
      <c r="C220" s="1850" t="s">
        <v>2859</v>
      </c>
      <c r="D220" s="1934"/>
      <c r="E220" s="1934">
        <v>2</v>
      </c>
      <c r="F220" s="1905"/>
      <c r="G220" s="1963" t="s">
        <v>2578</v>
      </c>
      <c r="H220" s="1964" t="s">
        <v>2860</v>
      </c>
      <c r="I220" s="2310"/>
      <c r="J220" s="2534">
        <v>12000</v>
      </c>
      <c r="K220" s="1615">
        <v>0</v>
      </c>
      <c r="L220" s="1636">
        <v>0</v>
      </c>
      <c r="M220" s="1636"/>
      <c r="N220" s="1615"/>
      <c r="O220" s="1635"/>
      <c r="P220" s="1965" t="s">
        <v>2566</v>
      </c>
      <c r="Q220" s="1966" t="s">
        <v>2571</v>
      </c>
    </row>
    <row r="221" spans="1:17" ht="12.75" customHeight="1">
      <c r="A221" s="1962"/>
      <c r="B221" s="1840"/>
      <c r="C221" s="1850" t="s">
        <v>2861</v>
      </c>
      <c r="D221" s="1934"/>
      <c r="E221" s="1934">
        <v>2</v>
      </c>
      <c r="F221" s="1905"/>
      <c r="G221" s="1963" t="s">
        <v>2578</v>
      </c>
      <c r="H221" s="1964" t="s">
        <v>2862</v>
      </c>
      <c r="I221" s="2310"/>
      <c r="J221" s="2534">
        <v>327923</v>
      </c>
      <c r="K221" s="1615">
        <v>0</v>
      </c>
      <c r="L221" s="1636">
        <v>0</v>
      </c>
      <c r="M221" s="1636"/>
      <c r="N221" s="1615"/>
      <c r="O221" s="1635"/>
      <c r="P221" s="1965" t="s">
        <v>2566</v>
      </c>
      <c r="Q221" s="1966" t="s">
        <v>2571</v>
      </c>
    </row>
    <row r="222" spans="1:17" ht="12.75" customHeight="1">
      <c r="A222" s="1962"/>
      <c r="B222" s="1840"/>
      <c r="C222" s="1850" t="s">
        <v>2863</v>
      </c>
      <c r="D222" s="1934"/>
      <c r="E222" s="1934">
        <v>2</v>
      </c>
      <c r="F222" s="1905"/>
      <c r="G222" s="1963" t="s">
        <v>2578</v>
      </c>
      <c r="H222" s="1964" t="s">
        <v>2864</v>
      </c>
      <c r="I222" s="2310"/>
      <c r="J222" s="2534">
        <v>0</v>
      </c>
      <c r="K222" s="1615">
        <v>0</v>
      </c>
      <c r="L222" s="1636">
        <v>0</v>
      </c>
      <c r="M222" s="1636"/>
      <c r="N222" s="1615"/>
      <c r="O222" s="1635"/>
      <c r="P222" s="1965" t="s">
        <v>2566</v>
      </c>
      <c r="Q222" s="1966" t="s">
        <v>2571</v>
      </c>
    </row>
    <row r="223" spans="1:17" ht="12.75" customHeight="1">
      <c r="A223" s="1962"/>
      <c r="B223" s="1840"/>
      <c r="C223" s="1850" t="s">
        <v>2865</v>
      </c>
      <c r="D223" s="1934"/>
      <c r="E223" s="1934">
        <v>2</v>
      </c>
      <c r="F223" s="1905"/>
      <c r="G223" s="1963" t="s">
        <v>2578</v>
      </c>
      <c r="H223" s="1964" t="s">
        <v>2838</v>
      </c>
      <c r="I223" s="2310"/>
      <c r="J223" s="2534">
        <v>53081</v>
      </c>
      <c r="K223" s="1615">
        <v>0</v>
      </c>
      <c r="L223" s="1636">
        <v>0</v>
      </c>
      <c r="M223" s="1636"/>
      <c r="N223" s="1615"/>
      <c r="O223" s="1635"/>
      <c r="P223" s="1965" t="s">
        <v>2566</v>
      </c>
      <c r="Q223" s="1966" t="s">
        <v>2571</v>
      </c>
    </row>
    <row r="224" spans="1:17" ht="12.75" customHeight="1">
      <c r="A224" s="1962"/>
      <c r="B224" s="1840"/>
      <c r="C224" s="1850" t="s">
        <v>2866</v>
      </c>
      <c r="D224" s="1934"/>
      <c r="E224" s="1934">
        <v>2</v>
      </c>
      <c r="F224" s="1905"/>
      <c r="G224" s="1963" t="s">
        <v>2578</v>
      </c>
      <c r="H224" s="1964" t="s">
        <v>2867</v>
      </c>
      <c r="I224" s="2310"/>
      <c r="J224" s="2534">
        <v>149425</v>
      </c>
      <c r="K224" s="1615">
        <v>0</v>
      </c>
      <c r="L224" s="1636">
        <v>0</v>
      </c>
      <c r="M224" s="1636"/>
      <c r="N224" s="1615"/>
      <c r="O224" s="1635"/>
      <c r="P224" s="1965" t="s">
        <v>2566</v>
      </c>
      <c r="Q224" s="1966" t="s">
        <v>2571</v>
      </c>
    </row>
    <row r="225" spans="1:17" ht="12.75" customHeight="1">
      <c r="A225" s="1962"/>
      <c r="B225" s="1840"/>
      <c r="C225" s="1850" t="s">
        <v>2868</v>
      </c>
      <c r="D225" s="1934"/>
      <c r="E225" s="1934">
        <v>2</v>
      </c>
      <c r="F225" s="1905"/>
      <c r="G225" s="1963" t="s">
        <v>2573</v>
      </c>
      <c r="H225" s="1964" t="s">
        <v>2869</v>
      </c>
      <c r="I225" s="2310"/>
      <c r="J225" s="2534">
        <v>15526</v>
      </c>
      <c r="K225" s="1615">
        <v>0</v>
      </c>
      <c r="L225" s="1636">
        <v>0</v>
      </c>
      <c r="M225" s="1636"/>
      <c r="N225" s="1615"/>
      <c r="O225" s="1635"/>
      <c r="P225" s="1965" t="s">
        <v>2566</v>
      </c>
      <c r="Q225" s="1966" t="s">
        <v>2571</v>
      </c>
    </row>
    <row r="226" spans="1:17" ht="12.75" customHeight="1">
      <c r="A226" s="1962"/>
      <c r="B226" s="1840"/>
      <c r="C226" s="1850" t="s">
        <v>2870</v>
      </c>
      <c r="D226" s="1934"/>
      <c r="E226" s="1934">
        <v>2</v>
      </c>
      <c r="F226" s="1905"/>
      <c r="G226" s="1963" t="s">
        <v>2573</v>
      </c>
      <c r="H226" s="1964" t="s">
        <v>2871</v>
      </c>
      <c r="I226" s="2310"/>
      <c r="J226" s="2534">
        <v>2850</v>
      </c>
      <c r="K226" s="1615">
        <v>0</v>
      </c>
      <c r="L226" s="1636">
        <v>0</v>
      </c>
      <c r="M226" s="1636"/>
      <c r="N226" s="1615"/>
      <c r="O226" s="1635"/>
      <c r="P226" s="1965" t="s">
        <v>2566</v>
      </c>
      <c r="Q226" s="1966" t="s">
        <v>2571</v>
      </c>
    </row>
    <row r="227" spans="1:17" ht="12.75" customHeight="1">
      <c r="A227" s="1962"/>
      <c r="B227" s="1840"/>
      <c r="C227" s="1850" t="s">
        <v>2872</v>
      </c>
      <c r="D227" s="1934"/>
      <c r="E227" s="1934">
        <v>2</v>
      </c>
      <c r="F227" s="1905"/>
      <c r="G227" s="1963" t="s">
        <v>2573</v>
      </c>
      <c r="H227" s="1964" t="s">
        <v>2873</v>
      </c>
      <c r="I227" s="2310"/>
      <c r="J227" s="2534">
        <v>0</v>
      </c>
      <c r="K227" s="1615">
        <v>0</v>
      </c>
      <c r="L227" s="1636">
        <v>0</v>
      </c>
      <c r="M227" s="1636"/>
      <c r="N227" s="1615"/>
      <c r="O227" s="1635"/>
      <c r="P227" s="1965" t="s">
        <v>2566</v>
      </c>
      <c r="Q227" s="1966" t="s">
        <v>2571</v>
      </c>
    </row>
    <row r="228" spans="1:17" ht="12.75" customHeight="1">
      <c r="A228" s="1962"/>
      <c r="B228" s="1840"/>
      <c r="C228" s="1850" t="s">
        <v>2874</v>
      </c>
      <c r="D228" s="1934"/>
      <c r="E228" s="1934">
        <v>2</v>
      </c>
      <c r="F228" s="1905"/>
      <c r="G228" s="1963" t="s">
        <v>2578</v>
      </c>
      <c r="H228" s="1964" t="s">
        <v>2875</v>
      </c>
      <c r="I228" s="2310"/>
      <c r="J228" s="2534">
        <v>19289</v>
      </c>
      <c r="K228" s="1615">
        <v>0</v>
      </c>
      <c r="L228" s="1636">
        <v>0</v>
      </c>
      <c r="M228" s="1636"/>
      <c r="N228" s="1615"/>
      <c r="O228" s="1635"/>
      <c r="P228" s="1965" t="s">
        <v>2566</v>
      </c>
      <c r="Q228" s="1966" t="s">
        <v>2571</v>
      </c>
    </row>
    <row r="229" spans="1:17" ht="12.75" customHeight="1">
      <c r="A229" s="1962"/>
      <c r="B229" s="1840"/>
      <c r="C229" s="1850" t="s">
        <v>2876</v>
      </c>
      <c r="D229" s="1934"/>
      <c r="E229" s="1934">
        <v>2</v>
      </c>
      <c r="F229" s="1905"/>
      <c r="G229" s="1963" t="s">
        <v>2573</v>
      </c>
      <c r="H229" s="1964" t="s">
        <v>2594</v>
      </c>
      <c r="I229" s="2310"/>
      <c r="J229" s="2534">
        <v>7860</v>
      </c>
      <c r="K229" s="1615">
        <v>0</v>
      </c>
      <c r="L229" s="1636">
        <v>0</v>
      </c>
      <c r="M229" s="1636"/>
      <c r="N229" s="1615"/>
      <c r="O229" s="1635"/>
      <c r="P229" s="1965" t="s">
        <v>2566</v>
      </c>
      <c r="Q229" s="1966" t="s">
        <v>2571</v>
      </c>
    </row>
    <row r="230" spans="1:17" ht="12.75" customHeight="1">
      <c r="A230" s="1962"/>
      <c r="B230" s="1840"/>
      <c r="C230" s="1850" t="s">
        <v>2877</v>
      </c>
      <c r="D230" s="1934"/>
      <c r="E230" s="1934">
        <v>2</v>
      </c>
      <c r="F230" s="1905"/>
      <c r="G230" s="1963" t="s">
        <v>2573</v>
      </c>
      <c r="H230" s="1964" t="s">
        <v>2878</v>
      </c>
      <c r="I230" s="2310"/>
      <c r="J230" s="2534">
        <v>26713</v>
      </c>
      <c r="K230" s="1615">
        <v>0</v>
      </c>
      <c r="L230" s="1636">
        <v>0</v>
      </c>
      <c r="M230" s="1636"/>
      <c r="N230" s="1615"/>
      <c r="O230" s="1635"/>
      <c r="P230" s="1965" t="s">
        <v>2566</v>
      </c>
      <c r="Q230" s="1966" t="s">
        <v>2571</v>
      </c>
    </row>
    <row r="231" spans="1:17" ht="12.75" customHeight="1">
      <c r="A231" s="1962"/>
      <c r="B231" s="1840"/>
      <c r="C231" s="1850" t="s">
        <v>2879</v>
      </c>
      <c r="D231" s="1934"/>
      <c r="E231" s="1934">
        <v>2</v>
      </c>
      <c r="F231" s="1905"/>
      <c r="G231" s="1963" t="s">
        <v>2573</v>
      </c>
      <c r="H231" s="1964" t="s">
        <v>2564</v>
      </c>
      <c r="I231" s="2310"/>
      <c r="J231" s="2534">
        <v>0</v>
      </c>
      <c r="K231" s="1615">
        <v>0</v>
      </c>
      <c r="L231" s="1636">
        <v>0</v>
      </c>
      <c r="M231" s="1636"/>
      <c r="N231" s="1615"/>
      <c r="O231" s="1635"/>
      <c r="P231" s="1965" t="s">
        <v>2566</v>
      </c>
      <c r="Q231" s="1966" t="s">
        <v>2571</v>
      </c>
    </row>
    <row r="232" spans="1:17" ht="12.75" customHeight="1">
      <c r="A232" s="1962"/>
      <c r="B232" s="1840"/>
      <c r="C232" s="1850" t="s">
        <v>2880</v>
      </c>
      <c r="D232" s="1934"/>
      <c r="E232" s="1934">
        <v>2</v>
      </c>
      <c r="F232" s="1905"/>
      <c r="G232" s="1963" t="s">
        <v>2573</v>
      </c>
      <c r="H232" s="1964" t="s">
        <v>2881</v>
      </c>
      <c r="I232" s="2310"/>
      <c r="J232" s="2534">
        <v>15263</v>
      </c>
      <c r="K232" s="1615">
        <v>0</v>
      </c>
      <c r="L232" s="1636">
        <v>0</v>
      </c>
      <c r="M232" s="1636"/>
      <c r="N232" s="1615"/>
      <c r="O232" s="1635"/>
      <c r="P232" s="1965" t="s">
        <v>2566</v>
      </c>
      <c r="Q232" s="1966" t="s">
        <v>2571</v>
      </c>
    </row>
    <row r="233" spans="1:17" ht="12.75" customHeight="1">
      <c r="A233" s="1962"/>
      <c r="B233" s="1840"/>
      <c r="C233" s="1850" t="s">
        <v>2882</v>
      </c>
      <c r="D233" s="1934"/>
      <c r="E233" s="1934">
        <v>2</v>
      </c>
      <c r="F233" s="1905"/>
      <c r="G233" s="1963" t="s">
        <v>2573</v>
      </c>
      <c r="H233" s="1964" t="s">
        <v>2883</v>
      </c>
      <c r="I233" s="2310"/>
      <c r="J233" s="2534">
        <v>3200</v>
      </c>
      <c r="K233" s="1615">
        <v>0</v>
      </c>
      <c r="L233" s="1636">
        <v>0</v>
      </c>
      <c r="M233" s="1636"/>
      <c r="N233" s="1615"/>
      <c r="O233" s="1635"/>
      <c r="P233" s="1965" t="s">
        <v>2566</v>
      </c>
      <c r="Q233" s="1966" t="s">
        <v>2571</v>
      </c>
    </row>
    <row r="234" spans="1:17" ht="12.75" customHeight="1">
      <c r="A234" s="1962"/>
      <c r="B234" s="1840"/>
      <c r="C234" s="1850" t="s">
        <v>2884</v>
      </c>
      <c r="D234" s="1934"/>
      <c r="E234" s="1934">
        <v>2</v>
      </c>
      <c r="F234" s="1905"/>
      <c r="G234" s="1963" t="s">
        <v>2573</v>
      </c>
      <c r="H234" s="1964" t="s">
        <v>2885</v>
      </c>
      <c r="I234" s="2310"/>
      <c r="J234" s="2534">
        <v>17306</v>
      </c>
      <c r="K234" s="1615">
        <v>0</v>
      </c>
      <c r="L234" s="1636">
        <v>0</v>
      </c>
      <c r="M234" s="1636"/>
      <c r="N234" s="1615"/>
      <c r="O234" s="1635"/>
      <c r="P234" s="1965" t="s">
        <v>2566</v>
      </c>
      <c r="Q234" s="1966" t="s">
        <v>2571</v>
      </c>
    </row>
    <row r="235" spans="1:17" ht="12.75" customHeight="1">
      <c r="A235" s="1962"/>
      <c r="B235" s="1840"/>
      <c r="C235" s="1850" t="s">
        <v>2886</v>
      </c>
      <c r="D235" s="1934"/>
      <c r="E235" s="1934">
        <v>2</v>
      </c>
      <c r="F235" s="1905"/>
      <c r="G235" s="1963" t="s">
        <v>2573</v>
      </c>
      <c r="H235" s="1964" t="s">
        <v>2887</v>
      </c>
      <c r="I235" s="2310"/>
      <c r="J235" s="2534">
        <v>35689</v>
      </c>
      <c r="K235" s="1615">
        <v>0</v>
      </c>
      <c r="L235" s="1636">
        <v>0</v>
      </c>
      <c r="M235" s="1636"/>
      <c r="N235" s="1615"/>
      <c r="O235" s="1635"/>
      <c r="P235" s="1965" t="s">
        <v>2566</v>
      </c>
      <c r="Q235" s="1966" t="s">
        <v>2571</v>
      </c>
    </row>
    <row r="236" spans="1:17" ht="12.75" customHeight="1">
      <c r="A236" s="1962"/>
      <c r="B236" s="1840"/>
      <c r="C236" s="1850" t="s">
        <v>2888</v>
      </c>
      <c r="D236" s="1934"/>
      <c r="E236" s="1934">
        <v>2</v>
      </c>
      <c r="F236" s="1905"/>
      <c r="G236" s="1963" t="s">
        <v>2578</v>
      </c>
      <c r="H236" s="1964" t="s">
        <v>2845</v>
      </c>
      <c r="I236" s="2310"/>
      <c r="J236" s="2534">
        <v>3958807</v>
      </c>
      <c r="K236" s="1615">
        <v>0</v>
      </c>
      <c r="L236" s="1636">
        <v>0</v>
      </c>
      <c r="M236" s="1636"/>
      <c r="N236" s="1615"/>
      <c r="O236" s="1635"/>
      <c r="P236" s="1965">
        <v>20</v>
      </c>
      <c r="Q236" s="1966" t="s">
        <v>2571</v>
      </c>
    </row>
    <row r="237" spans="1:17" ht="12.75" customHeight="1">
      <c r="A237" s="1962"/>
      <c r="B237" s="1840"/>
      <c r="C237" s="1850" t="s">
        <v>2889</v>
      </c>
      <c r="D237" s="1934"/>
      <c r="E237" s="1934">
        <v>2</v>
      </c>
      <c r="F237" s="1905"/>
      <c r="G237" s="1963" t="s">
        <v>2578</v>
      </c>
      <c r="H237" s="1964" t="s">
        <v>2845</v>
      </c>
      <c r="I237" s="2310"/>
      <c r="J237" s="2534">
        <v>3058048</v>
      </c>
      <c r="K237" s="1615">
        <v>0</v>
      </c>
      <c r="L237" s="1636">
        <v>0</v>
      </c>
      <c r="M237" s="1636"/>
      <c r="N237" s="1615"/>
      <c r="O237" s="1635"/>
      <c r="P237" s="1965">
        <v>20</v>
      </c>
      <c r="Q237" s="1966" t="s">
        <v>2571</v>
      </c>
    </row>
    <row r="238" spans="1:17" ht="12.75" customHeight="1">
      <c r="A238" s="1962"/>
      <c r="B238" s="1840"/>
      <c r="C238" s="1850" t="s">
        <v>2890</v>
      </c>
      <c r="D238" s="1934"/>
      <c r="E238" s="1934">
        <v>2</v>
      </c>
      <c r="F238" s="1905"/>
      <c r="G238" s="1963" t="s">
        <v>2578</v>
      </c>
      <c r="H238" s="1964" t="s">
        <v>2845</v>
      </c>
      <c r="I238" s="2310"/>
      <c r="J238" s="2534">
        <v>3960400</v>
      </c>
      <c r="K238" s="1615">
        <v>0</v>
      </c>
      <c r="L238" s="1636">
        <v>0</v>
      </c>
      <c r="M238" s="1636"/>
      <c r="N238" s="1615"/>
      <c r="O238" s="1635"/>
      <c r="P238" s="1965">
        <v>18</v>
      </c>
      <c r="Q238" s="1966" t="s">
        <v>2571</v>
      </c>
    </row>
    <row r="239" spans="1:17" ht="12.75" customHeight="1">
      <c r="A239" s="1962"/>
      <c r="B239" s="1840"/>
      <c r="C239" s="1850" t="s">
        <v>2891</v>
      </c>
      <c r="D239" s="1934"/>
      <c r="E239" s="1934">
        <v>2</v>
      </c>
      <c r="F239" s="1905"/>
      <c r="G239" s="1963" t="s">
        <v>2578</v>
      </c>
      <c r="H239" s="1964" t="s">
        <v>2845</v>
      </c>
      <c r="I239" s="2310"/>
      <c r="J239" s="2534">
        <v>1016972</v>
      </c>
      <c r="K239" s="1615">
        <v>0</v>
      </c>
      <c r="L239" s="1636">
        <v>0</v>
      </c>
      <c r="M239" s="1636"/>
      <c r="N239" s="1615"/>
      <c r="O239" s="1635"/>
      <c r="P239" s="1965">
        <v>18</v>
      </c>
      <c r="Q239" s="1966" t="s">
        <v>2571</v>
      </c>
    </row>
    <row r="240" spans="1:17" ht="12.75" customHeight="1">
      <c r="A240" s="1962"/>
      <c r="B240" s="1840"/>
      <c r="C240" s="1850" t="s">
        <v>2892</v>
      </c>
      <c r="D240" s="1934"/>
      <c r="E240" s="1934">
        <v>2</v>
      </c>
      <c r="F240" s="1905"/>
      <c r="G240" s="1963" t="s">
        <v>2573</v>
      </c>
      <c r="H240" s="1964" t="s">
        <v>2586</v>
      </c>
      <c r="I240" s="2310"/>
      <c r="J240" s="2534">
        <v>485427</v>
      </c>
      <c r="K240" s="1615">
        <v>0</v>
      </c>
      <c r="L240" s="1636">
        <v>0</v>
      </c>
      <c r="M240" s="1636"/>
      <c r="N240" s="1615"/>
      <c r="O240" s="1635"/>
      <c r="P240" s="1965" t="s">
        <v>2566</v>
      </c>
      <c r="Q240" s="1966" t="s">
        <v>2571</v>
      </c>
    </row>
    <row r="241" spans="1:17" ht="12.75" customHeight="1">
      <c r="A241" s="1962"/>
      <c r="B241" s="1840"/>
      <c r="C241" s="1850" t="s">
        <v>2893</v>
      </c>
      <c r="D241" s="1934"/>
      <c r="E241" s="1934">
        <v>2</v>
      </c>
      <c r="F241" s="1905"/>
      <c r="G241" s="1963" t="s">
        <v>2578</v>
      </c>
      <c r="H241" s="1964" t="s">
        <v>2579</v>
      </c>
      <c r="I241" s="2310"/>
      <c r="J241" s="2534">
        <v>44000</v>
      </c>
      <c r="K241" s="1615">
        <v>0</v>
      </c>
      <c r="L241" s="1636">
        <v>0</v>
      </c>
      <c r="M241" s="1636"/>
      <c r="N241" s="1615"/>
      <c r="O241" s="1635"/>
      <c r="P241" s="1965" t="s">
        <v>2566</v>
      </c>
      <c r="Q241" s="1966" t="s">
        <v>2571</v>
      </c>
    </row>
    <row r="242" spans="1:17" ht="12.75" customHeight="1">
      <c r="A242" s="1962"/>
      <c r="B242" s="1840"/>
      <c r="C242" s="1850" t="s">
        <v>2834</v>
      </c>
      <c r="D242" s="1934"/>
      <c r="E242" s="1934">
        <v>2</v>
      </c>
      <c r="F242" s="1905"/>
      <c r="G242" s="1963" t="s">
        <v>2578</v>
      </c>
      <c r="H242" s="1964" t="s">
        <v>2894</v>
      </c>
      <c r="I242" s="2310"/>
      <c r="J242" s="2534">
        <v>7661309</v>
      </c>
      <c r="K242" s="1615"/>
      <c r="L242" s="1636"/>
      <c r="M242" s="1636"/>
      <c r="N242" s="1615"/>
      <c r="O242" s="1635"/>
      <c r="P242" s="1965"/>
      <c r="Q242" s="1966"/>
    </row>
    <row r="243" spans="1:17" ht="12.75" customHeight="1">
      <c r="A243" s="1962"/>
      <c r="B243" s="1840"/>
      <c r="C243" s="1850" t="s">
        <v>2895</v>
      </c>
      <c r="D243" s="1934"/>
      <c r="E243" s="1934">
        <v>2</v>
      </c>
      <c r="F243" s="1905"/>
      <c r="G243" s="1963" t="s">
        <v>2578</v>
      </c>
      <c r="H243" s="1964" t="s">
        <v>2648</v>
      </c>
      <c r="I243" s="2310"/>
      <c r="J243" s="2534">
        <v>1204100</v>
      </c>
      <c r="K243" s="1615">
        <v>0</v>
      </c>
      <c r="L243" s="1636">
        <v>0</v>
      </c>
      <c r="M243" s="1636"/>
      <c r="N243" s="1615"/>
      <c r="O243" s="1635"/>
      <c r="P243" s="1965" t="s">
        <v>2566</v>
      </c>
      <c r="Q243" s="1966" t="s">
        <v>2571</v>
      </c>
    </row>
    <row r="244" spans="1:17" ht="12.75" customHeight="1">
      <c r="A244" s="1962"/>
      <c r="B244" s="1840"/>
      <c r="C244" s="1850" t="s">
        <v>2896</v>
      </c>
      <c r="D244" s="1934"/>
      <c r="E244" s="1934">
        <v>2</v>
      </c>
      <c r="F244" s="1905"/>
      <c r="G244" s="1963" t="s">
        <v>2578</v>
      </c>
      <c r="H244" s="1964" t="s">
        <v>2897</v>
      </c>
      <c r="I244" s="2310"/>
      <c r="J244" s="2534">
        <v>4746424</v>
      </c>
      <c r="K244" s="1615">
        <v>0</v>
      </c>
      <c r="L244" s="1636">
        <v>0</v>
      </c>
      <c r="M244" s="1636"/>
      <c r="N244" s="1615"/>
      <c r="O244" s="1635"/>
      <c r="P244" s="1965" t="s">
        <v>2898</v>
      </c>
      <c r="Q244" s="1966" t="s">
        <v>2571</v>
      </c>
    </row>
    <row r="245" spans="1:17" ht="12.75" customHeight="1">
      <c r="A245" s="1962"/>
      <c r="B245" s="1840"/>
      <c r="C245" s="1850" t="s">
        <v>2899</v>
      </c>
      <c r="D245" s="1934"/>
      <c r="E245" s="1934">
        <v>2</v>
      </c>
      <c r="F245" s="1905"/>
      <c r="G245" s="1963" t="s">
        <v>2573</v>
      </c>
      <c r="H245" s="1964" t="s">
        <v>2586</v>
      </c>
      <c r="I245" s="2310"/>
      <c r="J245" s="2534">
        <v>461999</v>
      </c>
      <c r="K245" s="1615">
        <v>0</v>
      </c>
      <c r="L245" s="1636">
        <v>0</v>
      </c>
      <c r="M245" s="1636"/>
      <c r="N245" s="1615"/>
      <c r="O245" s="1635"/>
      <c r="P245" s="1965" t="s">
        <v>2566</v>
      </c>
      <c r="Q245" s="1966" t="s">
        <v>2571</v>
      </c>
    </row>
    <row r="246" spans="1:17" ht="12.75" customHeight="1">
      <c r="A246" s="1962"/>
      <c r="B246" s="1840"/>
      <c r="C246" s="1850" t="s">
        <v>2900</v>
      </c>
      <c r="D246" s="1934"/>
      <c r="E246" s="1934">
        <v>2</v>
      </c>
      <c r="F246" s="1905"/>
      <c r="G246" s="1963" t="s">
        <v>2573</v>
      </c>
      <c r="H246" s="1964" t="s">
        <v>2901</v>
      </c>
      <c r="I246" s="2310"/>
      <c r="J246" s="2534">
        <v>1991300</v>
      </c>
      <c r="K246" s="1615">
        <v>0</v>
      </c>
      <c r="L246" s="1636">
        <v>0</v>
      </c>
      <c r="M246" s="1636"/>
      <c r="N246" s="1615"/>
      <c r="O246" s="1635"/>
      <c r="P246" s="1965" t="s">
        <v>2566</v>
      </c>
      <c r="Q246" s="1966" t="s">
        <v>2571</v>
      </c>
    </row>
    <row r="247" spans="1:17" ht="12.75" customHeight="1">
      <c r="A247" s="1962"/>
      <c r="B247" s="1840"/>
      <c r="C247" s="1850" t="s">
        <v>2902</v>
      </c>
      <c r="D247" s="1934"/>
      <c r="E247" s="1934">
        <v>2</v>
      </c>
      <c r="F247" s="1905"/>
      <c r="G247" s="1963" t="s">
        <v>2578</v>
      </c>
      <c r="H247" s="1964" t="s">
        <v>2897</v>
      </c>
      <c r="I247" s="2310"/>
      <c r="J247" s="2534">
        <v>1695975</v>
      </c>
      <c r="K247" s="1615">
        <v>0</v>
      </c>
      <c r="L247" s="1636">
        <v>0</v>
      </c>
      <c r="M247" s="1636"/>
      <c r="N247" s="1615"/>
      <c r="O247" s="1635"/>
      <c r="P247" s="1965" t="s">
        <v>2566</v>
      </c>
      <c r="Q247" s="1966" t="s">
        <v>2571</v>
      </c>
    </row>
    <row r="248" spans="1:17" ht="12.75" customHeight="1">
      <c r="A248" s="1962"/>
      <c r="B248" s="1840"/>
      <c r="C248" s="1850" t="s">
        <v>2903</v>
      </c>
      <c r="D248" s="1934"/>
      <c r="E248" s="1934">
        <v>2</v>
      </c>
      <c r="F248" s="1905"/>
      <c r="G248" s="1963" t="s">
        <v>2578</v>
      </c>
      <c r="H248" s="1964" t="s">
        <v>2904</v>
      </c>
      <c r="I248" s="2310"/>
      <c r="J248" s="2534">
        <v>0</v>
      </c>
      <c r="K248" s="1615">
        <v>0</v>
      </c>
      <c r="L248" s="1636">
        <v>0</v>
      </c>
      <c r="M248" s="1636"/>
      <c r="N248" s="1615"/>
      <c r="O248" s="1635"/>
      <c r="P248" s="1965"/>
      <c r="Q248" s="1966"/>
    </row>
    <row r="249" spans="1:17" ht="12.75" customHeight="1">
      <c r="A249" s="1962"/>
      <c r="B249" s="1840"/>
      <c r="C249" s="1850" t="s">
        <v>2905</v>
      </c>
      <c r="D249" s="1934"/>
      <c r="E249" s="1934">
        <v>2</v>
      </c>
      <c r="F249" s="1905"/>
      <c r="G249" s="1963" t="s">
        <v>2578</v>
      </c>
      <c r="H249" s="1964" t="s">
        <v>2906</v>
      </c>
      <c r="I249" s="2310"/>
      <c r="J249" s="2534">
        <v>1740722</v>
      </c>
      <c r="K249" s="1615">
        <v>0</v>
      </c>
      <c r="L249" s="1636">
        <v>0</v>
      </c>
      <c r="M249" s="1636"/>
      <c r="N249" s="1615"/>
      <c r="O249" s="1635"/>
      <c r="P249" s="1965">
        <v>33</v>
      </c>
      <c r="Q249" s="1966" t="s">
        <v>2571</v>
      </c>
    </row>
    <row r="250" spans="1:17" ht="12.75" customHeight="1">
      <c r="A250" s="1962"/>
      <c r="B250" s="1840"/>
      <c r="C250" s="1850" t="s">
        <v>2907</v>
      </c>
      <c r="D250" s="1934"/>
      <c r="E250" s="1934">
        <v>2</v>
      </c>
      <c r="F250" s="1905"/>
      <c r="G250" s="1963" t="s">
        <v>2578</v>
      </c>
      <c r="H250" s="1964" t="s">
        <v>2906</v>
      </c>
      <c r="I250" s="2310"/>
      <c r="J250" s="2534">
        <v>6896304</v>
      </c>
      <c r="K250" s="1615">
        <v>0</v>
      </c>
      <c r="L250" s="1636">
        <v>0</v>
      </c>
      <c r="M250" s="1636"/>
      <c r="N250" s="1615"/>
      <c r="O250" s="1635"/>
      <c r="P250" s="1965">
        <v>20</v>
      </c>
      <c r="Q250" s="1966" t="s">
        <v>2571</v>
      </c>
    </row>
    <row r="251" spans="1:17" ht="12.75" customHeight="1">
      <c r="A251" s="1962"/>
      <c r="B251" s="1840"/>
      <c r="C251" s="1850" t="s">
        <v>2907</v>
      </c>
      <c r="D251" s="1934"/>
      <c r="E251" s="1934">
        <v>2</v>
      </c>
      <c r="F251" s="1905"/>
      <c r="G251" s="1963" t="s">
        <v>2578</v>
      </c>
      <c r="H251" s="1964" t="s">
        <v>2906</v>
      </c>
      <c r="I251" s="2310"/>
      <c r="J251" s="2534">
        <v>15300584</v>
      </c>
      <c r="K251" s="1615">
        <v>0</v>
      </c>
      <c r="L251" s="1636">
        <v>0</v>
      </c>
      <c r="M251" s="1636"/>
      <c r="N251" s="1615"/>
      <c r="O251" s="1635"/>
      <c r="P251" s="1965">
        <v>19</v>
      </c>
      <c r="Q251" s="1966" t="s">
        <v>2571</v>
      </c>
    </row>
    <row r="252" spans="1:17" ht="12.75" customHeight="1">
      <c r="A252" s="1962"/>
      <c r="B252" s="1840"/>
      <c r="C252" s="1850" t="s">
        <v>2908</v>
      </c>
      <c r="D252" s="1934"/>
      <c r="E252" s="1934">
        <v>2</v>
      </c>
      <c r="F252" s="1905"/>
      <c r="G252" s="1963" t="s">
        <v>2578</v>
      </c>
      <c r="H252" s="1964" t="s">
        <v>2906</v>
      </c>
      <c r="I252" s="2310"/>
      <c r="J252" s="2534">
        <v>10863835</v>
      </c>
      <c r="K252" s="1615">
        <v>0</v>
      </c>
      <c r="L252" s="1636">
        <v>0</v>
      </c>
      <c r="M252" s="1636"/>
      <c r="N252" s="1615"/>
      <c r="O252" s="1635"/>
      <c r="P252" s="1965">
        <v>22</v>
      </c>
      <c r="Q252" s="1966" t="s">
        <v>2571</v>
      </c>
    </row>
    <row r="253" spans="1:17" ht="12.75" customHeight="1">
      <c r="A253" s="1962"/>
      <c r="B253" s="1840"/>
      <c r="C253" s="1850" t="s">
        <v>2909</v>
      </c>
      <c r="D253" s="1934"/>
      <c r="E253" s="1934">
        <v>2</v>
      </c>
      <c r="F253" s="1905"/>
      <c r="G253" s="1963" t="s">
        <v>2578</v>
      </c>
      <c r="H253" s="1964" t="s">
        <v>2906</v>
      </c>
      <c r="I253" s="2310"/>
      <c r="J253" s="2534">
        <v>9557845</v>
      </c>
      <c r="K253" s="1615">
        <v>0</v>
      </c>
      <c r="L253" s="1636">
        <v>0</v>
      </c>
      <c r="M253" s="1636"/>
      <c r="N253" s="1615"/>
      <c r="O253" s="1635"/>
      <c r="P253" s="1965">
        <v>25</v>
      </c>
      <c r="Q253" s="1966" t="s">
        <v>2571</v>
      </c>
    </row>
    <row r="254" spans="1:17" ht="12.75" customHeight="1">
      <c r="A254" s="1962"/>
      <c r="B254" s="1840"/>
      <c r="C254" s="1850" t="s">
        <v>2910</v>
      </c>
      <c r="D254" s="1934"/>
      <c r="E254" s="1934">
        <v>2</v>
      </c>
      <c r="F254" s="1905"/>
      <c r="G254" s="1963" t="s">
        <v>2578</v>
      </c>
      <c r="H254" s="1964" t="s">
        <v>2906</v>
      </c>
      <c r="I254" s="2310"/>
      <c r="J254" s="2534">
        <v>6306805</v>
      </c>
      <c r="K254" s="1615">
        <v>0</v>
      </c>
      <c r="L254" s="1636">
        <v>0</v>
      </c>
      <c r="M254" s="1636"/>
      <c r="N254" s="1615"/>
      <c r="O254" s="1635"/>
      <c r="P254" s="1965">
        <v>27</v>
      </c>
      <c r="Q254" s="1966" t="s">
        <v>2571</v>
      </c>
    </row>
    <row r="255" spans="1:17" ht="12.75" customHeight="1">
      <c r="A255" s="1962"/>
      <c r="B255" s="1840"/>
      <c r="C255" s="1850" t="s">
        <v>2910</v>
      </c>
      <c r="D255" s="1934"/>
      <c r="E255" s="1934">
        <v>2</v>
      </c>
      <c r="F255" s="1905"/>
      <c r="G255" s="1963" t="s">
        <v>2578</v>
      </c>
      <c r="H255" s="1964" t="s">
        <v>2906</v>
      </c>
      <c r="I255" s="2310"/>
      <c r="J255" s="2534">
        <v>7803435</v>
      </c>
      <c r="K255" s="1615">
        <v>0</v>
      </c>
      <c r="L255" s="1636">
        <v>0</v>
      </c>
      <c r="M255" s="1636"/>
      <c r="N255" s="1615"/>
      <c r="O255" s="1635"/>
      <c r="P255" s="1965">
        <v>28</v>
      </c>
      <c r="Q255" s="1966" t="s">
        <v>2571</v>
      </c>
    </row>
    <row r="256" spans="1:17" ht="12.75" customHeight="1">
      <c r="A256" s="1962"/>
      <c r="B256" s="1840"/>
      <c r="C256" s="1850" t="s">
        <v>2907</v>
      </c>
      <c r="D256" s="1934"/>
      <c r="E256" s="1934">
        <v>2</v>
      </c>
      <c r="F256" s="1905"/>
      <c r="G256" s="1963" t="s">
        <v>2578</v>
      </c>
      <c r="H256" s="1964" t="s">
        <v>2906</v>
      </c>
      <c r="I256" s="2310"/>
      <c r="J256" s="2534">
        <v>11683032</v>
      </c>
      <c r="K256" s="1615">
        <v>0</v>
      </c>
      <c r="L256" s="1636">
        <v>0</v>
      </c>
      <c r="M256" s="1636"/>
      <c r="N256" s="1615"/>
      <c r="O256" s="1635"/>
      <c r="P256" s="1965">
        <v>21</v>
      </c>
      <c r="Q256" s="1966" t="s">
        <v>2571</v>
      </c>
    </row>
    <row r="257" spans="1:17" ht="12.75" customHeight="1">
      <c r="A257" s="1962"/>
      <c r="B257" s="1840"/>
      <c r="C257" s="1850" t="s">
        <v>2911</v>
      </c>
      <c r="D257" s="1934"/>
      <c r="E257" s="1934">
        <v>2</v>
      </c>
      <c r="F257" s="1905"/>
      <c r="G257" s="1963" t="s">
        <v>2578</v>
      </c>
      <c r="H257" s="1964" t="s">
        <v>2897</v>
      </c>
      <c r="I257" s="2310"/>
      <c r="J257" s="2534">
        <v>2987759</v>
      </c>
      <c r="K257" s="1615">
        <v>0</v>
      </c>
      <c r="L257" s="1636">
        <v>0</v>
      </c>
      <c r="M257" s="1636"/>
      <c r="N257" s="1615"/>
      <c r="O257" s="1635"/>
      <c r="P257" s="1965">
        <v>36</v>
      </c>
      <c r="Q257" s="1966" t="s">
        <v>2571</v>
      </c>
    </row>
    <row r="258" spans="1:17" ht="12.75" customHeight="1">
      <c r="A258" s="1962"/>
      <c r="B258" s="1840"/>
      <c r="C258" s="1850" t="s">
        <v>2912</v>
      </c>
      <c r="D258" s="1934"/>
      <c r="E258" s="1934">
        <v>2</v>
      </c>
      <c r="F258" s="1905"/>
      <c r="G258" s="1963" t="s">
        <v>2578</v>
      </c>
      <c r="H258" s="1964" t="s">
        <v>2906</v>
      </c>
      <c r="I258" s="2310"/>
      <c r="J258" s="2534">
        <v>300422</v>
      </c>
      <c r="K258" s="1615">
        <v>0</v>
      </c>
      <c r="L258" s="1636">
        <v>0</v>
      </c>
      <c r="M258" s="1636"/>
      <c r="N258" s="1615"/>
      <c r="O258" s="1635"/>
      <c r="P258" s="1965">
        <v>30</v>
      </c>
      <c r="Q258" s="1966" t="s">
        <v>2571</v>
      </c>
    </row>
    <row r="259" spans="1:17" ht="12.75" customHeight="1">
      <c r="A259" s="1962"/>
      <c r="B259" s="1840"/>
      <c r="C259" s="1850" t="s">
        <v>2913</v>
      </c>
      <c r="D259" s="1934"/>
      <c r="E259" s="1934">
        <v>2</v>
      </c>
      <c r="F259" s="1905"/>
      <c r="G259" s="1963" t="s">
        <v>2578</v>
      </c>
      <c r="H259" s="1964" t="s">
        <v>2906</v>
      </c>
      <c r="I259" s="2310"/>
      <c r="J259" s="2534">
        <v>78701</v>
      </c>
      <c r="K259" s="1615">
        <v>0</v>
      </c>
      <c r="L259" s="1636">
        <v>0</v>
      </c>
      <c r="M259" s="1636"/>
      <c r="N259" s="1615"/>
      <c r="O259" s="1635"/>
      <c r="P259" s="1965">
        <v>30</v>
      </c>
      <c r="Q259" s="1966" t="s">
        <v>2571</v>
      </c>
    </row>
    <row r="260" spans="1:17" ht="12.75" customHeight="1">
      <c r="A260" s="1962"/>
      <c r="B260" s="1840"/>
      <c r="C260" s="1850" t="s">
        <v>2914</v>
      </c>
      <c r="D260" s="1934"/>
      <c r="E260" s="1934">
        <v>2</v>
      </c>
      <c r="F260" s="1905"/>
      <c r="G260" s="1963" t="s">
        <v>2578</v>
      </c>
      <c r="H260" s="1964" t="s">
        <v>2906</v>
      </c>
      <c r="I260" s="2310"/>
      <c r="J260" s="2534">
        <v>36539</v>
      </c>
      <c r="K260" s="1615">
        <v>0</v>
      </c>
      <c r="L260" s="1636">
        <v>0</v>
      </c>
      <c r="M260" s="1636"/>
      <c r="N260" s="1615"/>
      <c r="O260" s="1635"/>
      <c r="P260" s="1965">
        <v>29</v>
      </c>
      <c r="Q260" s="1966" t="s">
        <v>2571</v>
      </c>
    </row>
    <row r="261" spans="1:17" ht="12.75" customHeight="1">
      <c r="A261" s="1962"/>
      <c r="B261" s="1840"/>
      <c r="C261" s="1850" t="s">
        <v>2915</v>
      </c>
      <c r="D261" s="1934"/>
      <c r="E261" s="1934">
        <v>2</v>
      </c>
      <c r="F261" s="1905"/>
      <c r="G261" s="1963" t="s">
        <v>2578</v>
      </c>
      <c r="H261" s="1964" t="s">
        <v>2906</v>
      </c>
      <c r="I261" s="2310"/>
      <c r="J261" s="2534">
        <v>0</v>
      </c>
      <c r="K261" s="1615">
        <v>0</v>
      </c>
      <c r="L261" s="1636">
        <v>0</v>
      </c>
      <c r="M261" s="1636"/>
      <c r="N261" s="1615"/>
      <c r="O261" s="1635"/>
      <c r="P261" s="1965"/>
      <c r="Q261" s="1966"/>
    </row>
    <row r="262" spans="1:17" ht="12.75" customHeight="1">
      <c r="A262" s="1962"/>
      <c r="B262" s="1840"/>
      <c r="C262" s="1850" t="s">
        <v>2916</v>
      </c>
      <c r="D262" s="1934"/>
      <c r="E262" s="1934">
        <v>2</v>
      </c>
      <c r="F262" s="1905"/>
      <c r="G262" s="1963" t="s">
        <v>2578</v>
      </c>
      <c r="H262" s="1964" t="s">
        <v>2906</v>
      </c>
      <c r="I262" s="2310"/>
      <c r="J262" s="2534">
        <v>1780833</v>
      </c>
      <c r="K262" s="1615">
        <v>0</v>
      </c>
      <c r="L262" s="1636">
        <v>0</v>
      </c>
      <c r="M262" s="1636"/>
      <c r="N262" s="1615"/>
      <c r="O262" s="1635"/>
      <c r="P262" s="1965">
        <v>18</v>
      </c>
      <c r="Q262" s="1966" t="s">
        <v>2571</v>
      </c>
    </row>
    <row r="263" spans="1:17" ht="12.75" customHeight="1">
      <c r="A263" s="1962"/>
      <c r="B263" s="1840"/>
      <c r="C263" s="1850" t="s">
        <v>2917</v>
      </c>
      <c r="D263" s="1934"/>
      <c r="E263" s="1934">
        <v>2</v>
      </c>
      <c r="F263" s="1905"/>
      <c r="G263" s="1963" t="s">
        <v>2578</v>
      </c>
      <c r="H263" s="1964" t="s">
        <v>2906</v>
      </c>
      <c r="I263" s="2310"/>
      <c r="J263" s="2534">
        <v>10550309</v>
      </c>
      <c r="K263" s="1615">
        <v>0</v>
      </c>
      <c r="L263" s="1636">
        <v>0</v>
      </c>
      <c r="M263" s="1636"/>
      <c r="N263" s="1615"/>
      <c r="O263" s="1635"/>
      <c r="P263" s="1965">
        <v>18</v>
      </c>
      <c r="Q263" s="1966" t="s">
        <v>2571</v>
      </c>
    </row>
    <row r="264" spans="1:17" ht="12.75" customHeight="1">
      <c r="A264" s="1962"/>
      <c r="B264" s="1840"/>
      <c r="C264" s="1850" t="s">
        <v>2918</v>
      </c>
      <c r="D264" s="1934"/>
      <c r="E264" s="1934">
        <v>2</v>
      </c>
      <c r="F264" s="1905"/>
      <c r="G264" s="1963" t="s">
        <v>2578</v>
      </c>
      <c r="H264" s="1964" t="s">
        <v>2919</v>
      </c>
      <c r="I264" s="2310"/>
      <c r="J264" s="2534">
        <v>684965</v>
      </c>
      <c r="K264" s="1615">
        <v>0</v>
      </c>
      <c r="L264" s="1636">
        <v>0</v>
      </c>
      <c r="M264" s="1636"/>
      <c r="N264" s="1615"/>
      <c r="O264" s="1635"/>
      <c r="P264" s="1965" t="s">
        <v>2920</v>
      </c>
      <c r="Q264" s="1966" t="s">
        <v>2571</v>
      </c>
    </row>
    <row r="265" spans="1:17" ht="12.75" customHeight="1">
      <c r="A265" s="1962"/>
      <c r="B265" s="1840"/>
      <c r="C265" s="1850" t="s">
        <v>2921</v>
      </c>
      <c r="D265" s="1934"/>
      <c r="E265" s="1934">
        <v>2</v>
      </c>
      <c r="F265" s="1905"/>
      <c r="G265" s="1963" t="s">
        <v>2578</v>
      </c>
      <c r="H265" s="1964" t="s">
        <v>2919</v>
      </c>
      <c r="I265" s="2310"/>
      <c r="J265" s="2534">
        <v>475891</v>
      </c>
      <c r="K265" s="1615">
        <v>0</v>
      </c>
      <c r="L265" s="1636">
        <v>0</v>
      </c>
      <c r="M265" s="1636"/>
      <c r="N265" s="1615"/>
      <c r="O265" s="1635"/>
      <c r="P265" s="1965">
        <v>14</v>
      </c>
      <c r="Q265" s="1966" t="s">
        <v>2571</v>
      </c>
    </row>
    <row r="266" spans="1:17" ht="12.75" customHeight="1">
      <c r="A266" s="1962"/>
      <c r="B266" s="1840"/>
      <c r="C266" s="1850" t="s">
        <v>2922</v>
      </c>
      <c r="D266" s="1934"/>
      <c r="E266" s="1934">
        <v>2</v>
      </c>
      <c r="F266" s="1905"/>
      <c r="G266" s="1963" t="s">
        <v>2578</v>
      </c>
      <c r="H266" s="1964" t="s">
        <v>2923</v>
      </c>
      <c r="I266" s="2310"/>
      <c r="J266" s="2534">
        <v>223085</v>
      </c>
      <c r="K266" s="1615">
        <v>0</v>
      </c>
      <c r="L266" s="1636">
        <v>0</v>
      </c>
      <c r="M266" s="1636"/>
      <c r="N266" s="1615"/>
      <c r="O266" s="1635"/>
      <c r="P266" s="1965" t="s">
        <v>2566</v>
      </c>
      <c r="Q266" s="1966" t="s">
        <v>2571</v>
      </c>
    </row>
    <row r="267" spans="1:17" ht="12.75" customHeight="1">
      <c r="A267" s="1962"/>
      <c r="B267" s="1840"/>
      <c r="C267" s="1850" t="s">
        <v>2924</v>
      </c>
      <c r="D267" s="1934"/>
      <c r="E267" s="1934">
        <v>2</v>
      </c>
      <c r="F267" s="1905"/>
      <c r="G267" s="1963" t="s">
        <v>2578</v>
      </c>
      <c r="H267" s="1964" t="s">
        <v>2925</v>
      </c>
      <c r="I267" s="2310"/>
      <c r="J267" s="2534">
        <v>194520</v>
      </c>
      <c r="K267" s="1615">
        <v>0</v>
      </c>
      <c r="L267" s="1636">
        <v>0</v>
      </c>
      <c r="M267" s="1636"/>
      <c r="N267" s="1615"/>
      <c r="O267" s="1635"/>
      <c r="P267" s="1965">
        <v>31</v>
      </c>
      <c r="Q267" s="1966" t="s">
        <v>2571</v>
      </c>
    </row>
    <row r="268" spans="1:17" ht="12.75" customHeight="1">
      <c r="A268" s="1962"/>
      <c r="B268" s="1840"/>
      <c r="C268" s="1850" t="s">
        <v>2926</v>
      </c>
      <c r="D268" s="1934"/>
      <c r="E268" s="1934">
        <v>2</v>
      </c>
      <c r="F268" s="1905"/>
      <c r="G268" s="1963" t="s">
        <v>2578</v>
      </c>
      <c r="H268" s="1964" t="s">
        <v>2709</v>
      </c>
      <c r="I268" s="2310"/>
      <c r="J268" s="2534">
        <v>2184560</v>
      </c>
      <c r="K268" s="1615">
        <v>0</v>
      </c>
      <c r="L268" s="1636">
        <v>0</v>
      </c>
      <c r="M268" s="1636"/>
      <c r="N268" s="1615"/>
      <c r="O268" s="1635"/>
      <c r="P268" s="1965" t="s">
        <v>2566</v>
      </c>
      <c r="Q268" s="1966" t="s">
        <v>2927</v>
      </c>
    </row>
    <row r="269" spans="1:17" ht="12.75" customHeight="1">
      <c r="A269" s="1962"/>
      <c r="B269" s="1840"/>
      <c r="C269" s="1850" t="s">
        <v>2928</v>
      </c>
      <c r="D269" s="1934"/>
      <c r="E269" s="1934">
        <v>2</v>
      </c>
      <c r="F269" s="1905"/>
      <c r="G269" s="1963" t="s">
        <v>2573</v>
      </c>
      <c r="H269" s="1964" t="s">
        <v>2586</v>
      </c>
      <c r="I269" s="2310"/>
      <c r="J269" s="2534">
        <v>0</v>
      </c>
      <c r="K269" s="1615">
        <v>0</v>
      </c>
      <c r="L269" s="1636">
        <v>0</v>
      </c>
      <c r="M269" s="1636"/>
      <c r="N269" s="1615"/>
      <c r="O269" s="1635"/>
      <c r="P269" s="1965" t="s">
        <v>2566</v>
      </c>
      <c r="Q269" s="1966" t="s">
        <v>2927</v>
      </c>
    </row>
    <row r="270" spans="1:17" ht="12.75" customHeight="1">
      <c r="A270" s="1962"/>
      <c r="B270" s="1840"/>
      <c r="C270" s="1850" t="s">
        <v>2929</v>
      </c>
      <c r="D270" s="1934"/>
      <c r="E270" s="1934">
        <v>2</v>
      </c>
      <c r="F270" s="1905"/>
      <c r="G270" s="1963" t="s">
        <v>2573</v>
      </c>
      <c r="H270" s="1964" t="s">
        <v>2930</v>
      </c>
      <c r="I270" s="2310"/>
      <c r="J270" s="2534">
        <v>175088</v>
      </c>
      <c r="K270" s="1615">
        <v>0</v>
      </c>
      <c r="L270" s="1636">
        <v>0</v>
      </c>
      <c r="M270" s="1636"/>
      <c r="N270" s="1615"/>
      <c r="O270" s="1635"/>
      <c r="P270" s="1965" t="s">
        <v>2566</v>
      </c>
      <c r="Q270" s="1966" t="s">
        <v>2927</v>
      </c>
    </row>
    <row r="271" spans="1:17" ht="12.75" customHeight="1">
      <c r="A271" s="1962"/>
      <c r="B271" s="1840"/>
      <c r="C271" s="1850" t="s">
        <v>2931</v>
      </c>
      <c r="D271" s="1934"/>
      <c r="E271" s="1934">
        <v>2</v>
      </c>
      <c r="F271" s="1905"/>
      <c r="G271" s="1963" t="s">
        <v>2573</v>
      </c>
      <c r="H271" s="1964" t="s">
        <v>2932</v>
      </c>
      <c r="I271" s="2310"/>
      <c r="J271" s="2534">
        <v>5246</v>
      </c>
      <c r="K271" s="1615">
        <v>0</v>
      </c>
      <c r="L271" s="1636">
        <v>0</v>
      </c>
      <c r="M271" s="1636"/>
      <c r="N271" s="1615"/>
      <c r="O271" s="1635"/>
      <c r="P271" s="1965" t="s">
        <v>2566</v>
      </c>
      <c r="Q271" s="1966" t="s">
        <v>2927</v>
      </c>
    </row>
    <row r="272" spans="1:17" ht="12.75" customHeight="1">
      <c r="A272" s="1962"/>
      <c r="B272" s="1840"/>
      <c r="C272" s="1850" t="s">
        <v>2834</v>
      </c>
      <c r="D272" s="1934"/>
      <c r="E272" s="1934">
        <v>2</v>
      </c>
      <c r="F272" s="1905"/>
      <c r="G272" s="1963" t="s">
        <v>2578</v>
      </c>
      <c r="H272" s="1964" t="s">
        <v>2933</v>
      </c>
      <c r="I272" s="2310"/>
      <c r="J272" s="2534">
        <v>120136</v>
      </c>
      <c r="K272" s="1615"/>
      <c r="L272" s="1636"/>
      <c r="M272" s="1636"/>
      <c r="N272" s="1615"/>
      <c r="O272" s="1635"/>
      <c r="P272" s="1965"/>
      <c r="Q272" s="1966"/>
    </row>
    <row r="273" spans="1:17" ht="12.75" customHeight="1">
      <c r="A273" s="1962"/>
      <c r="B273" s="1840"/>
      <c r="C273" s="1850" t="s">
        <v>2934</v>
      </c>
      <c r="D273" s="1934"/>
      <c r="E273" s="1934">
        <v>2</v>
      </c>
      <c r="F273" s="1905"/>
      <c r="G273" s="1963" t="s">
        <v>2581</v>
      </c>
      <c r="H273" s="1964" t="s">
        <v>2713</v>
      </c>
      <c r="I273" s="2310"/>
      <c r="J273" s="2534">
        <v>200000</v>
      </c>
      <c r="K273" s="1615">
        <v>0</v>
      </c>
      <c r="L273" s="1636">
        <v>0</v>
      </c>
      <c r="M273" s="1636"/>
      <c r="N273" s="1615"/>
      <c r="O273" s="1635"/>
      <c r="P273" s="1965" t="s">
        <v>2566</v>
      </c>
      <c r="Q273" s="1966" t="s">
        <v>2927</v>
      </c>
    </row>
    <row r="274" spans="1:17" ht="12.75" customHeight="1">
      <c r="A274" s="1962"/>
      <c r="B274" s="1840"/>
      <c r="C274" s="1850" t="s">
        <v>2935</v>
      </c>
      <c r="D274" s="1934"/>
      <c r="E274" s="1934">
        <v>2</v>
      </c>
      <c r="F274" s="1905"/>
      <c r="G274" s="1963" t="s">
        <v>2573</v>
      </c>
      <c r="H274" s="1964" t="s">
        <v>2930</v>
      </c>
      <c r="I274" s="2310"/>
      <c r="J274" s="2534">
        <v>273780</v>
      </c>
      <c r="K274" s="1615">
        <v>0</v>
      </c>
      <c r="L274" s="1636">
        <v>0</v>
      </c>
      <c r="M274" s="1636"/>
      <c r="N274" s="1615"/>
      <c r="O274" s="1635"/>
      <c r="P274" s="1965" t="s">
        <v>2566</v>
      </c>
      <c r="Q274" s="1966" t="s">
        <v>2927</v>
      </c>
    </row>
    <row r="275" spans="1:17" ht="12.75" customHeight="1">
      <c r="A275" s="1962"/>
      <c r="B275" s="1840"/>
      <c r="C275" s="1850" t="s">
        <v>2936</v>
      </c>
      <c r="D275" s="1934"/>
      <c r="E275" s="1934">
        <v>2</v>
      </c>
      <c r="F275" s="1905"/>
      <c r="G275" s="1963" t="s">
        <v>2573</v>
      </c>
      <c r="H275" s="1964" t="s">
        <v>2607</v>
      </c>
      <c r="I275" s="2310"/>
      <c r="J275" s="2534">
        <v>17085</v>
      </c>
      <c r="K275" s="1615">
        <v>0</v>
      </c>
      <c r="L275" s="1636">
        <v>0</v>
      </c>
      <c r="M275" s="1636"/>
      <c r="N275" s="1615"/>
      <c r="O275" s="1635"/>
      <c r="P275" s="1965" t="s">
        <v>2566</v>
      </c>
      <c r="Q275" s="1966" t="s">
        <v>2927</v>
      </c>
    </row>
    <row r="276" spans="1:17" ht="12.75" customHeight="1">
      <c r="A276" s="1962"/>
      <c r="B276" s="1840"/>
      <c r="C276" s="1850" t="s">
        <v>2563</v>
      </c>
      <c r="D276" s="1934"/>
      <c r="E276" s="1934">
        <v>2</v>
      </c>
      <c r="F276" s="1905"/>
      <c r="G276" s="1963" t="s">
        <v>2573</v>
      </c>
      <c r="H276" s="1964" t="s">
        <v>2591</v>
      </c>
      <c r="I276" s="2310"/>
      <c r="J276" s="2534">
        <v>63198</v>
      </c>
      <c r="K276" s="1615">
        <v>0</v>
      </c>
      <c r="L276" s="1636">
        <v>0</v>
      </c>
      <c r="M276" s="1636"/>
      <c r="N276" s="1615"/>
      <c r="O276" s="1635"/>
      <c r="P276" s="1965" t="s">
        <v>2566</v>
      </c>
      <c r="Q276" s="1966" t="s">
        <v>2927</v>
      </c>
    </row>
    <row r="277" spans="1:17" ht="12.75" customHeight="1">
      <c r="A277" s="1962"/>
      <c r="B277" s="1840"/>
      <c r="C277" s="1850" t="s">
        <v>2937</v>
      </c>
      <c r="D277" s="1934"/>
      <c r="E277" s="1934">
        <v>2</v>
      </c>
      <c r="F277" s="1905"/>
      <c r="G277" s="1963" t="s">
        <v>2573</v>
      </c>
      <c r="H277" s="1964" t="s">
        <v>2930</v>
      </c>
      <c r="I277" s="2310"/>
      <c r="J277" s="2534">
        <v>353228</v>
      </c>
      <c r="K277" s="1615">
        <v>0</v>
      </c>
      <c r="L277" s="1636">
        <v>0</v>
      </c>
      <c r="M277" s="1636"/>
      <c r="N277" s="1615"/>
      <c r="O277" s="1635"/>
      <c r="P277" s="1965" t="s">
        <v>2566</v>
      </c>
      <c r="Q277" s="1966" t="s">
        <v>2927</v>
      </c>
    </row>
    <row r="278" spans="1:17" ht="12.75" customHeight="1">
      <c r="A278" s="1962"/>
      <c r="B278" s="1840"/>
      <c r="C278" s="1850" t="s">
        <v>2938</v>
      </c>
      <c r="D278" s="1934"/>
      <c r="E278" s="1934">
        <v>2</v>
      </c>
      <c r="F278" s="1905"/>
      <c r="G278" s="1963" t="s">
        <v>2564</v>
      </c>
      <c r="H278" s="1964" t="s">
        <v>2611</v>
      </c>
      <c r="I278" s="2310"/>
      <c r="J278" s="2534">
        <v>2627</v>
      </c>
      <c r="K278" s="1615"/>
      <c r="L278" s="1636"/>
      <c r="M278" s="1636"/>
      <c r="N278" s="1615"/>
      <c r="O278" s="1635"/>
      <c r="P278" s="1965"/>
      <c r="Q278" s="1966"/>
    </row>
    <row r="279" spans="1:17" ht="12.75" customHeight="1">
      <c r="A279" s="1962"/>
      <c r="B279" s="1840"/>
      <c r="C279" s="1850" t="s">
        <v>2939</v>
      </c>
      <c r="D279" s="1934"/>
      <c r="E279" s="1934">
        <v>2</v>
      </c>
      <c r="F279" s="1905"/>
      <c r="G279" s="1963" t="s">
        <v>2573</v>
      </c>
      <c r="H279" s="1964" t="s">
        <v>2940</v>
      </c>
      <c r="I279" s="2310"/>
      <c r="J279" s="2534">
        <v>1194875</v>
      </c>
      <c r="K279" s="1615">
        <v>0</v>
      </c>
      <c r="L279" s="1636">
        <v>0</v>
      </c>
      <c r="M279" s="1636"/>
      <c r="N279" s="1615"/>
      <c r="O279" s="1635"/>
      <c r="P279" s="1965" t="s">
        <v>2566</v>
      </c>
      <c r="Q279" s="1966" t="s">
        <v>2927</v>
      </c>
    </row>
    <row r="280" spans="1:17" ht="12.75" customHeight="1">
      <c r="A280" s="1962"/>
      <c r="B280" s="1840"/>
      <c r="C280" s="1850" t="s">
        <v>2941</v>
      </c>
      <c r="D280" s="1934" t="s">
        <v>2942</v>
      </c>
      <c r="E280" s="1934">
        <v>2</v>
      </c>
      <c r="F280" s="1905"/>
      <c r="G280" s="1963" t="s">
        <v>2573</v>
      </c>
      <c r="H280" s="1964" t="s">
        <v>2943</v>
      </c>
      <c r="I280" s="2310"/>
      <c r="J280" s="2534">
        <v>764857</v>
      </c>
      <c r="K280" s="1615">
        <v>0</v>
      </c>
      <c r="L280" s="1636">
        <v>0</v>
      </c>
      <c r="M280" s="1636"/>
      <c r="N280" s="1615"/>
      <c r="O280" s="1635"/>
      <c r="P280" s="1965" t="s">
        <v>2566</v>
      </c>
      <c r="Q280" s="1966" t="s">
        <v>2927</v>
      </c>
    </row>
    <row r="281" spans="1:17" ht="12.75" customHeight="1">
      <c r="A281" s="1962"/>
      <c r="B281" s="1840"/>
      <c r="C281" s="1850" t="s">
        <v>2944</v>
      </c>
      <c r="D281" s="1934"/>
      <c r="E281" s="1934">
        <v>2</v>
      </c>
      <c r="F281" s="1905"/>
      <c r="G281" s="1963" t="s">
        <v>2573</v>
      </c>
      <c r="H281" s="1964" t="s">
        <v>2943</v>
      </c>
      <c r="I281" s="2310"/>
      <c r="J281" s="2534">
        <v>976544</v>
      </c>
      <c r="K281" s="1615">
        <v>0</v>
      </c>
      <c r="L281" s="1636">
        <v>0</v>
      </c>
      <c r="M281" s="1636"/>
      <c r="N281" s="1615"/>
      <c r="O281" s="1635"/>
      <c r="P281" s="1965" t="s">
        <v>2566</v>
      </c>
      <c r="Q281" s="1966" t="s">
        <v>2927</v>
      </c>
    </row>
    <row r="282" spans="1:17" ht="12.75" customHeight="1">
      <c r="A282" s="1962"/>
      <c r="B282" s="1840"/>
      <c r="C282" s="1850" t="s">
        <v>2945</v>
      </c>
      <c r="D282" s="1934"/>
      <c r="E282" s="1934">
        <v>2</v>
      </c>
      <c r="F282" s="1905"/>
      <c r="G282" s="1963" t="s">
        <v>2573</v>
      </c>
      <c r="H282" s="1964" t="s">
        <v>2943</v>
      </c>
      <c r="I282" s="2310"/>
      <c r="J282" s="2534">
        <v>1435865</v>
      </c>
      <c r="K282" s="1615">
        <v>0</v>
      </c>
      <c r="L282" s="1636">
        <v>0</v>
      </c>
      <c r="M282" s="1636"/>
      <c r="N282" s="1615"/>
      <c r="O282" s="1635"/>
      <c r="P282" s="1965" t="s">
        <v>2566</v>
      </c>
      <c r="Q282" s="1966" t="s">
        <v>2927</v>
      </c>
    </row>
    <row r="283" spans="1:17" ht="12.75" customHeight="1">
      <c r="A283" s="1962"/>
      <c r="B283" s="1840"/>
      <c r="C283" s="1850" t="s">
        <v>2940</v>
      </c>
      <c r="D283" s="1934"/>
      <c r="E283" s="1934">
        <v>2</v>
      </c>
      <c r="F283" s="1905"/>
      <c r="G283" s="1963" t="s">
        <v>2573</v>
      </c>
      <c r="H283" s="1964" t="s">
        <v>2940</v>
      </c>
      <c r="I283" s="2310"/>
      <c r="J283" s="2534">
        <v>6187260</v>
      </c>
      <c r="K283" s="1615">
        <v>0</v>
      </c>
      <c r="L283" s="1636">
        <v>0</v>
      </c>
      <c r="M283" s="1636"/>
      <c r="N283" s="1615"/>
      <c r="O283" s="1635"/>
      <c r="P283" s="1965" t="s">
        <v>2566</v>
      </c>
      <c r="Q283" s="1966" t="s">
        <v>2927</v>
      </c>
    </row>
    <row r="284" spans="1:17" ht="12.75" customHeight="1">
      <c r="A284" s="1962"/>
      <c r="B284" s="1840"/>
      <c r="C284" s="1850" t="s">
        <v>2946</v>
      </c>
      <c r="D284" s="1934"/>
      <c r="E284" s="1934">
        <v>2</v>
      </c>
      <c r="F284" s="1905"/>
      <c r="G284" s="1963" t="s">
        <v>2573</v>
      </c>
      <c r="H284" s="1964" t="s">
        <v>2947</v>
      </c>
      <c r="I284" s="2310"/>
      <c r="J284" s="2534">
        <v>1150025</v>
      </c>
      <c r="K284" s="1615">
        <v>0</v>
      </c>
      <c r="L284" s="1636">
        <v>0</v>
      </c>
      <c r="M284" s="1636"/>
      <c r="N284" s="1615"/>
      <c r="O284" s="1635"/>
      <c r="P284" s="1965" t="s">
        <v>2566</v>
      </c>
      <c r="Q284" s="1966" t="s">
        <v>2927</v>
      </c>
    </row>
    <row r="285" spans="1:17" ht="12.75" customHeight="1">
      <c r="A285" s="1962"/>
      <c r="B285" s="1840"/>
      <c r="C285" s="1850" t="s">
        <v>2948</v>
      </c>
      <c r="D285" s="1934"/>
      <c r="E285" s="1934">
        <v>2</v>
      </c>
      <c r="F285" s="1905"/>
      <c r="G285" s="1963" t="s">
        <v>2573</v>
      </c>
      <c r="H285" s="1964" t="s">
        <v>2586</v>
      </c>
      <c r="I285" s="2310"/>
      <c r="J285" s="2534">
        <v>0</v>
      </c>
      <c r="K285" s="1615">
        <v>0</v>
      </c>
      <c r="L285" s="1636">
        <v>0</v>
      </c>
      <c r="M285" s="1636"/>
      <c r="N285" s="1615"/>
      <c r="O285" s="1635"/>
      <c r="P285" s="1965" t="s">
        <v>2566</v>
      </c>
      <c r="Q285" s="1966" t="s">
        <v>2927</v>
      </c>
    </row>
    <row r="286" spans="1:17" ht="12.75" customHeight="1">
      <c r="A286" s="1962"/>
      <c r="B286" s="1840"/>
      <c r="C286" s="1850" t="s">
        <v>2949</v>
      </c>
      <c r="D286" s="1934"/>
      <c r="E286" s="1934">
        <v>2</v>
      </c>
      <c r="F286" s="1905"/>
      <c r="G286" s="1963" t="s">
        <v>2573</v>
      </c>
      <c r="H286" s="1964" t="s">
        <v>2586</v>
      </c>
      <c r="I286" s="2310"/>
      <c r="J286" s="2534">
        <v>7219682</v>
      </c>
      <c r="K286" s="1615">
        <v>0</v>
      </c>
      <c r="L286" s="1636">
        <v>0</v>
      </c>
      <c r="M286" s="1636"/>
      <c r="N286" s="1615"/>
      <c r="O286" s="1635"/>
      <c r="P286" s="1965" t="s">
        <v>2566</v>
      </c>
      <c r="Q286" s="1966" t="s">
        <v>2571</v>
      </c>
    </row>
    <row r="287" spans="1:17" ht="12.75" customHeight="1">
      <c r="A287" s="1962"/>
      <c r="B287" s="1840"/>
      <c r="C287" s="1850" t="s">
        <v>2950</v>
      </c>
      <c r="D287" s="1934"/>
      <c r="E287" s="1934">
        <v>2</v>
      </c>
      <c r="F287" s="1905"/>
      <c r="G287" s="1963" t="s">
        <v>2578</v>
      </c>
      <c r="H287" s="1964" t="s">
        <v>2845</v>
      </c>
      <c r="I287" s="2310"/>
      <c r="J287" s="2534">
        <v>0</v>
      </c>
      <c r="K287" s="1615">
        <v>0</v>
      </c>
      <c r="L287" s="1636">
        <v>0</v>
      </c>
      <c r="M287" s="1636"/>
      <c r="N287" s="1615"/>
      <c r="O287" s="1635"/>
      <c r="P287" s="1965">
        <v>36</v>
      </c>
      <c r="Q287" s="1966" t="s">
        <v>2571</v>
      </c>
    </row>
    <row r="288" spans="1:17" ht="12.75" customHeight="1">
      <c r="A288" s="1962"/>
      <c r="B288" s="1840"/>
      <c r="C288" s="1850" t="s">
        <v>2951</v>
      </c>
      <c r="D288" s="1934"/>
      <c r="E288" s="1934">
        <v>2</v>
      </c>
      <c r="F288" s="1905"/>
      <c r="G288" s="1963" t="s">
        <v>2578</v>
      </c>
      <c r="H288" s="1964" t="s">
        <v>2845</v>
      </c>
      <c r="I288" s="2310"/>
      <c r="J288" s="2534">
        <v>0</v>
      </c>
      <c r="K288" s="1615">
        <v>0</v>
      </c>
      <c r="L288" s="1636">
        <v>0</v>
      </c>
      <c r="M288" s="1636"/>
      <c r="N288" s="1615"/>
      <c r="O288" s="1635"/>
      <c r="P288" s="1965"/>
      <c r="Q288" s="1966"/>
    </row>
    <row r="289" spans="1:17" ht="12.75" customHeight="1">
      <c r="A289" s="1962"/>
      <c r="B289" s="1840"/>
      <c r="C289" s="1850" t="s">
        <v>2952</v>
      </c>
      <c r="D289" s="1934"/>
      <c r="E289" s="1934">
        <v>2</v>
      </c>
      <c r="F289" s="1905"/>
      <c r="G289" s="1963" t="s">
        <v>2578</v>
      </c>
      <c r="H289" s="1964" t="s">
        <v>2845</v>
      </c>
      <c r="I289" s="2310"/>
      <c r="J289" s="2534">
        <v>874561</v>
      </c>
      <c r="K289" s="1615">
        <v>0</v>
      </c>
      <c r="L289" s="1636">
        <v>0</v>
      </c>
      <c r="M289" s="1636"/>
      <c r="N289" s="1615"/>
      <c r="O289" s="1635"/>
      <c r="P289" s="1965">
        <v>29</v>
      </c>
      <c r="Q289" s="1966" t="s">
        <v>2571</v>
      </c>
    </row>
    <row r="290" spans="1:17" ht="12.75" customHeight="1">
      <c r="A290" s="1962"/>
      <c r="B290" s="1840"/>
      <c r="C290" s="1850" t="s">
        <v>2953</v>
      </c>
      <c r="D290" s="1934"/>
      <c r="E290" s="1934">
        <v>2</v>
      </c>
      <c r="F290" s="1905"/>
      <c r="G290" s="1963" t="s">
        <v>2578</v>
      </c>
      <c r="H290" s="1964" t="s">
        <v>2845</v>
      </c>
      <c r="I290" s="2310"/>
      <c r="J290" s="2534">
        <v>0</v>
      </c>
      <c r="K290" s="1615">
        <v>0</v>
      </c>
      <c r="L290" s="1636">
        <v>0</v>
      </c>
      <c r="M290" s="1636"/>
      <c r="N290" s="1615"/>
      <c r="O290" s="1635"/>
      <c r="P290" s="1965">
        <v>21</v>
      </c>
      <c r="Q290" s="1966" t="s">
        <v>2571</v>
      </c>
    </row>
    <row r="291" spans="1:17" ht="12.75" customHeight="1">
      <c r="A291" s="1962"/>
      <c r="B291" s="1840"/>
      <c r="C291" s="1850" t="s">
        <v>2954</v>
      </c>
      <c r="D291" s="1934"/>
      <c r="E291" s="1934">
        <v>2</v>
      </c>
      <c r="F291" s="1905"/>
      <c r="G291" s="1963" t="s">
        <v>2578</v>
      </c>
      <c r="H291" s="1964" t="s">
        <v>2845</v>
      </c>
      <c r="I291" s="2310"/>
      <c r="J291" s="2534">
        <v>502789</v>
      </c>
      <c r="K291" s="1615">
        <v>0</v>
      </c>
      <c r="L291" s="1636">
        <v>0</v>
      </c>
      <c r="M291" s="1636"/>
      <c r="N291" s="1615"/>
      <c r="O291" s="1635"/>
      <c r="P291" s="1965">
        <v>25</v>
      </c>
      <c r="Q291" s="1966" t="s">
        <v>2571</v>
      </c>
    </row>
    <row r="292" spans="1:17" ht="12.75" customHeight="1">
      <c r="A292" s="1962"/>
      <c r="B292" s="1840"/>
      <c r="C292" s="1850" t="s">
        <v>2955</v>
      </c>
      <c r="D292" s="1934"/>
      <c r="E292" s="1934">
        <v>2</v>
      </c>
      <c r="F292" s="1905"/>
      <c r="G292" s="1963" t="s">
        <v>2578</v>
      </c>
      <c r="H292" s="1964" t="s">
        <v>2845</v>
      </c>
      <c r="I292" s="2310"/>
      <c r="J292" s="2534">
        <v>285761</v>
      </c>
      <c r="K292" s="1615">
        <v>0</v>
      </c>
      <c r="L292" s="1636">
        <v>0</v>
      </c>
      <c r="M292" s="1636"/>
      <c r="N292" s="1615"/>
      <c r="O292" s="1635"/>
      <c r="P292" s="1965"/>
      <c r="Q292" s="1966"/>
    </row>
    <row r="293" spans="1:17" ht="12.75" customHeight="1">
      <c r="A293" s="1962"/>
      <c r="B293" s="1840"/>
      <c r="C293" s="1850" t="s">
        <v>2956</v>
      </c>
      <c r="D293" s="1934"/>
      <c r="E293" s="1934">
        <v>2</v>
      </c>
      <c r="F293" s="1905"/>
      <c r="G293" s="1963" t="s">
        <v>2573</v>
      </c>
      <c r="H293" s="1964" t="s">
        <v>2594</v>
      </c>
      <c r="I293" s="2310"/>
      <c r="J293" s="2534">
        <v>39000</v>
      </c>
      <c r="K293" s="1615">
        <v>0</v>
      </c>
      <c r="L293" s="1636">
        <v>0</v>
      </c>
      <c r="M293" s="1636"/>
      <c r="N293" s="1615"/>
      <c r="O293" s="1635"/>
      <c r="P293" s="1965" t="s">
        <v>2566</v>
      </c>
      <c r="Q293" s="1966" t="s">
        <v>2571</v>
      </c>
    </row>
    <row r="294" spans="1:17" ht="12.75" customHeight="1">
      <c r="A294" s="1962"/>
      <c r="B294" s="1840"/>
      <c r="C294" s="1850" t="s">
        <v>2957</v>
      </c>
      <c r="D294" s="1934"/>
      <c r="E294" s="1934">
        <v>2</v>
      </c>
      <c r="F294" s="1905"/>
      <c r="G294" s="1963" t="s">
        <v>2573</v>
      </c>
      <c r="H294" s="1964" t="s">
        <v>2958</v>
      </c>
      <c r="I294" s="2310"/>
      <c r="J294" s="2534">
        <v>0</v>
      </c>
      <c r="K294" s="1615">
        <v>150000</v>
      </c>
      <c r="L294" s="1636">
        <v>0</v>
      </c>
      <c r="M294" s="1636"/>
      <c r="N294" s="1615"/>
      <c r="O294" s="1635"/>
      <c r="P294" s="1965" t="s">
        <v>2566</v>
      </c>
      <c r="Q294" s="1966" t="s">
        <v>2571</v>
      </c>
    </row>
    <row r="295" spans="1:17" ht="12.75" customHeight="1">
      <c r="A295" s="1962"/>
      <c r="B295" s="1840"/>
      <c r="C295" s="1850" t="s">
        <v>2959</v>
      </c>
      <c r="D295" s="1934"/>
      <c r="E295" s="1934">
        <v>3</v>
      </c>
      <c r="F295" s="1905"/>
      <c r="G295" s="1963" t="s">
        <v>2573</v>
      </c>
      <c r="H295" s="1964" t="s">
        <v>2960</v>
      </c>
      <c r="I295" s="2310"/>
      <c r="J295" s="2534">
        <v>0</v>
      </c>
      <c r="K295" s="1615">
        <v>50000</v>
      </c>
      <c r="L295" s="1636">
        <v>0</v>
      </c>
      <c r="M295" s="1636"/>
      <c r="N295" s="1615"/>
      <c r="O295" s="1635"/>
      <c r="P295" s="1965" t="s">
        <v>2566</v>
      </c>
      <c r="Q295" s="1966" t="s">
        <v>2587</v>
      </c>
    </row>
    <row r="296" spans="1:17" ht="12.75" customHeight="1">
      <c r="A296" s="1962"/>
      <c r="B296" s="1840"/>
      <c r="C296" s="1850" t="s">
        <v>2595</v>
      </c>
      <c r="D296" s="1934"/>
      <c r="E296" s="1934">
        <v>8</v>
      </c>
      <c r="F296" s="1905"/>
      <c r="G296" s="1963" t="s">
        <v>2573</v>
      </c>
      <c r="H296" s="1964" t="s">
        <v>2595</v>
      </c>
      <c r="I296" s="2310"/>
      <c r="J296" s="2534">
        <v>0</v>
      </c>
      <c r="K296" s="1615">
        <v>5000</v>
      </c>
      <c r="L296" s="1636">
        <v>0</v>
      </c>
      <c r="M296" s="1636"/>
      <c r="N296" s="1615"/>
      <c r="O296" s="1635"/>
      <c r="P296" s="1965" t="s">
        <v>2566</v>
      </c>
      <c r="Q296" s="1966" t="s">
        <v>2571</v>
      </c>
    </row>
    <row r="297" spans="1:17" ht="12.75" customHeight="1">
      <c r="A297" s="1962"/>
      <c r="B297" s="1840"/>
      <c r="C297" s="1850" t="s">
        <v>2961</v>
      </c>
      <c r="D297" s="1934"/>
      <c r="E297" s="1934"/>
      <c r="F297" s="1905"/>
      <c r="G297" s="1963" t="s">
        <v>2573</v>
      </c>
      <c r="H297" s="1964" t="s">
        <v>2591</v>
      </c>
      <c r="I297" s="2310"/>
      <c r="J297" s="2534">
        <v>0</v>
      </c>
      <c r="K297" s="1615">
        <v>500000</v>
      </c>
      <c r="L297" s="1636">
        <v>0</v>
      </c>
      <c r="M297" s="1636"/>
      <c r="N297" s="1615"/>
      <c r="O297" s="1635"/>
      <c r="P297" s="1965" t="s">
        <v>2566</v>
      </c>
      <c r="Q297" s="1966" t="s">
        <v>2571</v>
      </c>
    </row>
    <row r="298" spans="1:17" ht="12.75" customHeight="1">
      <c r="A298" s="1962"/>
      <c r="B298" s="1840"/>
      <c r="C298" s="1850" t="s">
        <v>2962</v>
      </c>
      <c r="D298" s="1934"/>
      <c r="E298" s="1934">
        <v>2</v>
      </c>
      <c r="F298" s="1905"/>
      <c r="G298" s="1963" t="s">
        <v>2573</v>
      </c>
      <c r="H298" s="1964" t="s">
        <v>2963</v>
      </c>
      <c r="I298" s="2310"/>
      <c r="J298" s="2534">
        <v>0</v>
      </c>
      <c r="K298" s="1615">
        <v>35000</v>
      </c>
      <c r="L298" s="1636">
        <v>0</v>
      </c>
      <c r="M298" s="1636"/>
      <c r="N298" s="1615"/>
      <c r="O298" s="1635"/>
      <c r="P298" s="1965" t="s">
        <v>2964</v>
      </c>
      <c r="Q298" s="1966" t="s">
        <v>2571</v>
      </c>
    </row>
    <row r="299" spans="1:17" ht="12.75" customHeight="1">
      <c r="A299" s="1962"/>
      <c r="B299" s="1840"/>
      <c r="C299" s="1850" t="s">
        <v>2591</v>
      </c>
      <c r="D299" s="1934"/>
      <c r="E299" s="1934">
        <v>1</v>
      </c>
      <c r="F299" s="1905"/>
      <c r="G299" s="1963" t="s">
        <v>2573</v>
      </c>
      <c r="H299" s="1964" t="s">
        <v>2591</v>
      </c>
      <c r="I299" s="2310"/>
      <c r="J299" s="2534">
        <v>0</v>
      </c>
      <c r="K299" s="1615">
        <v>0</v>
      </c>
      <c r="L299" s="1636">
        <v>0</v>
      </c>
      <c r="M299" s="1636"/>
      <c r="N299" s="1615"/>
      <c r="O299" s="1635"/>
      <c r="P299" s="1965" t="s">
        <v>2965</v>
      </c>
      <c r="Q299" s="1966" t="s">
        <v>2571</v>
      </c>
    </row>
    <row r="300" spans="1:17" ht="12.75" customHeight="1">
      <c r="A300" s="1962"/>
      <c r="B300" s="1840"/>
      <c r="C300" s="1850" t="s">
        <v>2966</v>
      </c>
      <c r="D300" s="1934"/>
      <c r="E300" s="1934">
        <v>1</v>
      </c>
      <c r="F300" s="1905"/>
      <c r="G300" s="1963" t="s">
        <v>2578</v>
      </c>
      <c r="H300" s="1964" t="s">
        <v>2697</v>
      </c>
      <c r="I300" s="2310"/>
      <c r="J300" s="2534">
        <v>0</v>
      </c>
      <c r="K300" s="1615">
        <v>250000</v>
      </c>
      <c r="L300" s="1636">
        <v>0</v>
      </c>
      <c r="M300" s="1636"/>
      <c r="N300" s="1615"/>
      <c r="O300" s="1635"/>
      <c r="P300" s="1965" t="s">
        <v>2967</v>
      </c>
      <c r="Q300" s="1966" t="s">
        <v>2571</v>
      </c>
    </row>
    <row r="301" spans="1:17" ht="12.75" customHeight="1">
      <c r="A301" s="1962"/>
      <c r="B301" s="1840"/>
      <c r="C301" s="1850" t="s">
        <v>2968</v>
      </c>
      <c r="D301" s="1934"/>
      <c r="E301" s="1934">
        <v>1</v>
      </c>
      <c r="F301" s="1905"/>
      <c r="G301" s="1963" t="s">
        <v>2573</v>
      </c>
      <c r="H301" s="1964" t="s">
        <v>2564</v>
      </c>
      <c r="I301" s="2310"/>
      <c r="J301" s="2534">
        <v>0</v>
      </c>
      <c r="K301" s="1615">
        <v>0</v>
      </c>
      <c r="L301" s="1636">
        <v>0</v>
      </c>
      <c r="M301" s="1636"/>
      <c r="N301" s="1615"/>
      <c r="O301" s="1635"/>
      <c r="P301" s="1965" t="s">
        <v>2969</v>
      </c>
      <c r="Q301" s="1966" t="s">
        <v>2571</v>
      </c>
    </row>
    <row r="302" spans="1:17" ht="12.75" customHeight="1">
      <c r="A302" s="1962"/>
      <c r="B302" s="1840"/>
      <c r="C302" s="1850" t="s">
        <v>2970</v>
      </c>
      <c r="D302" s="1934"/>
      <c r="E302" s="1934">
        <v>1</v>
      </c>
      <c r="F302" s="1905"/>
      <c r="G302" s="1963" t="s">
        <v>2578</v>
      </c>
      <c r="H302" s="1964" t="s">
        <v>2971</v>
      </c>
      <c r="I302" s="2310"/>
      <c r="J302" s="2534">
        <v>0</v>
      </c>
      <c r="K302" s="1615">
        <v>26000</v>
      </c>
      <c r="L302" s="1636">
        <v>0</v>
      </c>
      <c r="M302" s="1636"/>
      <c r="N302" s="1615"/>
      <c r="O302" s="1635"/>
      <c r="P302" s="1965" t="s">
        <v>2972</v>
      </c>
      <c r="Q302" s="1966" t="s">
        <v>2571</v>
      </c>
    </row>
    <row r="303" spans="1:17" ht="12.75" customHeight="1">
      <c r="A303" s="1962"/>
      <c r="B303" s="1840"/>
      <c r="C303" s="1850" t="s">
        <v>2973</v>
      </c>
      <c r="D303" s="1934"/>
      <c r="E303" s="1934"/>
      <c r="F303" s="1905"/>
      <c r="G303" s="1963" t="s">
        <v>2573</v>
      </c>
      <c r="H303" s="1964" t="s">
        <v>2657</v>
      </c>
      <c r="I303" s="2310"/>
      <c r="J303" s="2534">
        <v>0</v>
      </c>
      <c r="K303" s="1615">
        <v>200000</v>
      </c>
      <c r="L303" s="1636">
        <v>0</v>
      </c>
      <c r="M303" s="1636"/>
      <c r="N303" s="1615"/>
      <c r="O303" s="1635"/>
      <c r="P303" s="1965" t="s">
        <v>2566</v>
      </c>
      <c r="Q303" s="1966" t="s">
        <v>2587</v>
      </c>
    </row>
    <row r="304" spans="1:17" ht="12.75" customHeight="1">
      <c r="A304" s="1962"/>
      <c r="B304" s="1840"/>
      <c r="C304" s="1850" t="s">
        <v>2974</v>
      </c>
      <c r="D304" s="1934"/>
      <c r="E304" s="1934"/>
      <c r="F304" s="1905"/>
      <c r="G304" s="1963" t="s">
        <v>2573</v>
      </c>
      <c r="H304" s="1964" t="s">
        <v>2607</v>
      </c>
      <c r="I304" s="2310"/>
      <c r="J304" s="2534">
        <v>0</v>
      </c>
      <c r="K304" s="1615">
        <v>50000</v>
      </c>
      <c r="L304" s="1636">
        <v>0</v>
      </c>
      <c r="M304" s="1636"/>
      <c r="N304" s="1615"/>
      <c r="O304" s="1635"/>
      <c r="P304" s="1965" t="s">
        <v>2566</v>
      </c>
      <c r="Q304" s="1966" t="s">
        <v>2587</v>
      </c>
    </row>
    <row r="305" spans="1:17" ht="12.75" customHeight="1">
      <c r="A305" s="1962"/>
      <c r="B305" s="1840"/>
      <c r="C305" s="1850" t="s">
        <v>2975</v>
      </c>
      <c r="D305" s="1934"/>
      <c r="E305" s="1934">
        <v>1</v>
      </c>
      <c r="F305" s="1905"/>
      <c r="G305" s="1963" t="s">
        <v>2573</v>
      </c>
      <c r="H305" s="1964" t="s">
        <v>2976</v>
      </c>
      <c r="I305" s="2310"/>
      <c r="J305" s="2534">
        <v>0</v>
      </c>
      <c r="K305" s="1615">
        <v>200000</v>
      </c>
      <c r="L305" s="1636">
        <v>0</v>
      </c>
      <c r="M305" s="1636"/>
      <c r="N305" s="1615"/>
      <c r="O305" s="1635"/>
      <c r="P305" s="1965" t="s">
        <v>2566</v>
      </c>
      <c r="Q305" s="1966" t="s">
        <v>2571</v>
      </c>
    </row>
    <row r="306" spans="1:17" ht="12.75" customHeight="1">
      <c r="A306" s="1962"/>
      <c r="B306" s="1840"/>
      <c r="C306" s="1850" t="s">
        <v>2977</v>
      </c>
      <c r="D306" s="1934"/>
      <c r="E306" s="1934">
        <v>1</v>
      </c>
      <c r="F306" s="1905"/>
      <c r="G306" s="1963" t="s">
        <v>2573</v>
      </c>
      <c r="H306" s="1964" t="s">
        <v>2978</v>
      </c>
      <c r="I306" s="2310"/>
      <c r="J306" s="2534">
        <v>0</v>
      </c>
      <c r="K306" s="1615">
        <v>70000</v>
      </c>
      <c r="L306" s="1636">
        <v>0</v>
      </c>
      <c r="M306" s="1636"/>
      <c r="N306" s="1615"/>
      <c r="O306" s="1635"/>
      <c r="P306" s="1965" t="s">
        <v>2566</v>
      </c>
      <c r="Q306" s="1966" t="s">
        <v>2571</v>
      </c>
    </row>
    <row r="307" spans="1:17" ht="12.75" customHeight="1">
      <c r="A307" s="1962"/>
      <c r="B307" s="1840"/>
      <c r="C307" s="1850" t="s">
        <v>2979</v>
      </c>
      <c r="D307" s="1934"/>
      <c r="E307" s="1934">
        <v>2</v>
      </c>
      <c r="F307" s="1905"/>
      <c r="G307" s="1963" t="s">
        <v>2573</v>
      </c>
      <c r="H307" s="1964" t="s">
        <v>2980</v>
      </c>
      <c r="I307" s="2310"/>
      <c r="J307" s="2534">
        <v>0</v>
      </c>
      <c r="K307" s="1615">
        <v>100000</v>
      </c>
      <c r="L307" s="1636">
        <v>0</v>
      </c>
      <c r="M307" s="1636"/>
      <c r="N307" s="1615"/>
      <c r="O307" s="1635"/>
      <c r="P307" s="1965" t="s">
        <v>2566</v>
      </c>
      <c r="Q307" s="1966" t="s">
        <v>2587</v>
      </c>
    </row>
    <row r="308" spans="1:17" ht="12.75" customHeight="1">
      <c r="A308" s="1962"/>
      <c r="B308" s="1840"/>
      <c r="C308" s="1850" t="s">
        <v>2981</v>
      </c>
      <c r="D308" s="1934"/>
      <c r="E308" s="1934">
        <v>2</v>
      </c>
      <c r="F308" s="1905"/>
      <c r="G308" s="1963" t="s">
        <v>2573</v>
      </c>
      <c r="H308" s="1964" t="s">
        <v>2980</v>
      </c>
      <c r="I308" s="2310"/>
      <c r="J308" s="2534">
        <v>0</v>
      </c>
      <c r="K308" s="1615">
        <v>500000</v>
      </c>
      <c r="L308" s="1636">
        <v>0</v>
      </c>
      <c r="M308" s="1636"/>
      <c r="N308" s="1615"/>
      <c r="O308" s="1635"/>
      <c r="P308" s="1965" t="s">
        <v>2566</v>
      </c>
      <c r="Q308" s="1966" t="s">
        <v>2587</v>
      </c>
    </row>
    <row r="309" spans="1:17" ht="12.75" customHeight="1">
      <c r="A309" s="1962"/>
      <c r="B309" s="1840"/>
      <c r="C309" s="1850" t="s">
        <v>2627</v>
      </c>
      <c r="D309" s="1934"/>
      <c r="E309" s="1934" t="s">
        <v>781</v>
      </c>
      <c r="F309" s="1905"/>
      <c r="G309" s="1963" t="s">
        <v>2573</v>
      </c>
      <c r="H309" s="1964" t="s">
        <v>2627</v>
      </c>
      <c r="I309" s="2310"/>
      <c r="J309" s="2534">
        <v>0</v>
      </c>
      <c r="K309" s="1615">
        <v>3000</v>
      </c>
      <c r="L309" s="1636">
        <v>0</v>
      </c>
      <c r="M309" s="1636"/>
      <c r="N309" s="1615"/>
      <c r="O309" s="1635"/>
      <c r="P309" s="1965" t="s">
        <v>2566</v>
      </c>
      <c r="Q309" s="1966" t="s">
        <v>2571</v>
      </c>
    </row>
    <row r="310" spans="1:17" ht="12.75" customHeight="1">
      <c r="A310" s="1962"/>
      <c r="B310" s="1840"/>
      <c r="C310" s="1850" t="s">
        <v>2982</v>
      </c>
      <c r="D310" s="1934"/>
      <c r="E310" s="1934">
        <v>1</v>
      </c>
      <c r="F310" s="1905"/>
      <c r="G310" s="1963" t="s">
        <v>2573</v>
      </c>
      <c r="H310" s="1964" t="s">
        <v>2983</v>
      </c>
      <c r="I310" s="2310"/>
      <c r="J310" s="2534">
        <v>0</v>
      </c>
      <c r="K310" s="1615">
        <v>20000</v>
      </c>
      <c r="L310" s="1636">
        <v>0</v>
      </c>
      <c r="M310" s="1636"/>
      <c r="N310" s="1615"/>
      <c r="O310" s="1635"/>
      <c r="P310" s="1965" t="s">
        <v>2566</v>
      </c>
      <c r="Q310" s="1966" t="s">
        <v>2571</v>
      </c>
    </row>
    <row r="311" spans="1:17" ht="12.75" customHeight="1">
      <c r="A311" s="1962"/>
      <c r="B311" s="1840"/>
      <c r="C311" s="1850" t="s">
        <v>2596</v>
      </c>
      <c r="D311" s="1934"/>
      <c r="E311" s="1934">
        <v>2</v>
      </c>
      <c r="F311" s="1905"/>
      <c r="G311" s="1963" t="s">
        <v>2573</v>
      </c>
      <c r="H311" s="1964" t="s">
        <v>2596</v>
      </c>
      <c r="I311" s="2310"/>
      <c r="J311" s="2534">
        <v>0</v>
      </c>
      <c r="K311" s="1615">
        <v>330000</v>
      </c>
      <c r="L311" s="1636">
        <v>0</v>
      </c>
      <c r="M311" s="1636"/>
      <c r="N311" s="1615"/>
      <c r="O311" s="1635"/>
      <c r="P311" s="1965" t="s">
        <v>2566</v>
      </c>
      <c r="Q311" s="1966" t="s">
        <v>2587</v>
      </c>
    </row>
    <row r="312" spans="1:17" ht="12.75" customHeight="1">
      <c r="A312" s="1962"/>
      <c r="B312" s="1840"/>
      <c r="C312" s="1850" t="s">
        <v>2984</v>
      </c>
      <c r="D312" s="1934"/>
      <c r="E312" s="1934"/>
      <c r="F312" s="1905"/>
      <c r="G312" s="1963" t="s">
        <v>2573</v>
      </c>
      <c r="H312" s="1964" t="s">
        <v>2980</v>
      </c>
      <c r="I312" s="2310"/>
      <c r="J312" s="2534">
        <v>0</v>
      </c>
      <c r="K312" s="1615">
        <v>15000</v>
      </c>
      <c r="L312" s="1636">
        <v>0</v>
      </c>
      <c r="M312" s="1636"/>
      <c r="N312" s="1615"/>
      <c r="O312" s="1635"/>
      <c r="P312" s="1965" t="s">
        <v>2566</v>
      </c>
      <c r="Q312" s="1966" t="s">
        <v>2571</v>
      </c>
    </row>
    <row r="313" spans="1:17" ht="12.75" customHeight="1">
      <c r="A313" s="1962"/>
      <c r="B313" s="1840"/>
      <c r="C313" s="1850" t="s">
        <v>2985</v>
      </c>
      <c r="D313" s="1934"/>
      <c r="E313" s="1934">
        <v>3</v>
      </c>
      <c r="F313" s="1905"/>
      <c r="G313" s="1963" t="s">
        <v>2573</v>
      </c>
      <c r="H313" s="1964" t="s">
        <v>2986</v>
      </c>
      <c r="I313" s="2310"/>
      <c r="J313" s="2534">
        <v>0</v>
      </c>
      <c r="K313" s="1615">
        <v>70083</v>
      </c>
      <c r="L313" s="1636">
        <v>0</v>
      </c>
      <c r="M313" s="1636"/>
      <c r="N313" s="1615"/>
      <c r="O313" s="1635"/>
      <c r="P313" s="1965" t="s">
        <v>2987</v>
      </c>
      <c r="Q313" s="1966" t="s">
        <v>2571</v>
      </c>
    </row>
    <row r="314" spans="1:17" ht="12.75" customHeight="1">
      <c r="A314" s="1962"/>
      <c r="B314" s="1840"/>
      <c r="C314" s="1850" t="s">
        <v>2988</v>
      </c>
      <c r="D314" s="1934"/>
      <c r="E314" s="1934">
        <v>2</v>
      </c>
      <c r="F314" s="1905"/>
      <c r="G314" s="1963" t="s">
        <v>2581</v>
      </c>
      <c r="H314" s="1964" t="s">
        <v>2989</v>
      </c>
      <c r="I314" s="2310"/>
      <c r="J314" s="2534">
        <v>0</v>
      </c>
      <c r="K314" s="1615">
        <v>4000000</v>
      </c>
      <c r="L314" s="1636">
        <v>0</v>
      </c>
      <c r="M314" s="1636"/>
      <c r="N314" s="1615"/>
      <c r="O314" s="1635"/>
      <c r="P314" s="1965" t="s">
        <v>2566</v>
      </c>
      <c r="Q314" s="1966" t="s">
        <v>2571</v>
      </c>
    </row>
    <row r="315" spans="1:17" ht="12.75" customHeight="1">
      <c r="A315" s="1962"/>
      <c r="B315" s="1840"/>
      <c r="C315" s="1850" t="s">
        <v>2990</v>
      </c>
      <c r="D315" s="1934"/>
      <c r="E315" s="1934">
        <v>3</v>
      </c>
      <c r="F315" s="1905"/>
      <c r="G315" s="1963" t="s">
        <v>2573</v>
      </c>
      <c r="H315" s="1964" t="s">
        <v>2623</v>
      </c>
      <c r="I315" s="2310"/>
      <c r="J315" s="2534">
        <v>2203</v>
      </c>
      <c r="K315" s="1615">
        <v>0</v>
      </c>
      <c r="L315" s="1636">
        <v>0</v>
      </c>
      <c r="M315" s="1636"/>
      <c r="N315" s="1615"/>
      <c r="O315" s="1635"/>
      <c r="P315" s="1965" t="s">
        <v>2566</v>
      </c>
      <c r="Q315" s="1966" t="s">
        <v>2587</v>
      </c>
    </row>
    <row r="316" spans="1:17" ht="12.75" customHeight="1">
      <c r="A316" s="1962"/>
      <c r="B316" s="1840"/>
      <c r="C316" s="1850" t="s">
        <v>2991</v>
      </c>
      <c r="D316" s="1934"/>
      <c r="E316" s="1934">
        <v>4</v>
      </c>
      <c r="F316" s="1905"/>
      <c r="G316" s="1963" t="s">
        <v>2573</v>
      </c>
      <c r="H316" s="1964" t="s">
        <v>2657</v>
      </c>
      <c r="I316" s="2310"/>
      <c r="J316" s="2534">
        <v>0</v>
      </c>
      <c r="K316" s="1615">
        <v>40000</v>
      </c>
      <c r="L316" s="1636">
        <v>0</v>
      </c>
      <c r="M316" s="1636"/>
      <c r="N316" s="1615"/>
      <c r="O316" s="1635"/>
      <c r="P316" s="1965" t="s">
        <v>2566</v>
      </c>
      <c r="Q316" s="1966" t="s">
        <v>2571</v>
      </c>
    </row>
    <row r="317" spans="1:17" ht="12.75" customHeight="1">
      <c r="A317" s="1962"/>
      <c r="B317" s="1840"/>
      <c r="C317" s="1850" t="s">
        <v>2992</v>
      </c>
      <c r="D317" s="1934"/>
      <c r="E317" s="1934">
        <v>4</v>
      </c>
      <c r="F317" s="1905"/>
      <c r="G317" s="1963" t="s">
        <v>2578</v>
      </c>
      <c r="H317" s="1964" t="s">
        <v>2757</v>
      </c>
      <c r="I317" s="2310"/>
      <c r="J317" s="2534">
        <v>0</v>
      </c>
      <c r="K317" s="1615">
        <v>4000000</v>
      </c>
      <c r="L317" s="1636">
        <v>0</v>
      </c>
      <c r="M317" s="1636"/>
      <c r="N317" s="1615"/>
      <c r="O317" s="1635"/>
      <c r="P317" s="1965" t="s">
        <v>2566</v>
      </c>
      <c r="Q317" s="1966" t="s">
        <v>2571</v>
      </c>
    </row>
    <row r="318" spans="1:17" ht="12.75" customHeight="1">
      <c r="A318" s="1962"/>
      <c r="B318" s="1840"/>
      <c r="C318" s="1850" t="s">
        <v>2993</v>
      </c>
      <c r="D318" s="1934"/>
      <c r="E318" s="1934">
        <v>7</v>
      </c>
      <c r="F318" s="1905"/>
      <c r="G318" s="1963" t="s">
        <v>2573</v>
      </c>
      <c r="H318" s="1964" t="s">
        <v>2994</v>
      </c>
      <c r="I318" s="2310"/>
      <c r="J318" s="2534">
        <v>0</v>
      </c>
      <c r="K318" s="1615">
        <v>50000</v>
      </c>
      <c r="L318" s="1636">
        <v>0</v>
      </c>
      <c r="M318" s="1636"/>
      <c r="N318" s="1615"/>
      <c r="O318" s="1635"/>
      <c r="P318" s="1965" t="s">
        <v>2566</v>
      </c>
      <c r="Q318" s="1966" t="s">
        <v>2571</v>
      </c>
    </row>
    <row r="319" spans="1:17" ht="12.75" customHeight="1">
      <c r="A319" s="1962"/>
      <c r="B319" s="1840"/>
      <c r="C319" s="1850" t="s">
        <v>2995</v>
      </c>
      <c r="D319" s="1934"/>
      <c r="E319" s="1934">
        <v>7</v>
      </c>
      <c r="F319" s="1905"/>
      <c r="G319" s="1963" t="s">
        <v>2578</v>
      </c>
      <c r="H319" s="1964" t="s">
        <v>2820</v>
      </c>
      <c r="I319" s="2310"/>
      <c r="J319" s="2534">
        <v>0</v>
      </c>
      <c r="K319" s="1615">
        <v>100000</v>
      </c>
      <c r="L319" s="1636">
        <v>0</v>
      </c>
      <c r="M319" s="1636"/>
      <c r="N319" s="1615"/>
      <c r="O319" s="1635"/>
      <c r="P319" s="1965" t="s">
        <v>2566</v>
      </c>
      <c r="Q319" s="1966" t="s">
        <v>2571</v>
      </c>
    </row>
    <row r="320" spans="1:17" ht="12.75" customHeight="1">
      <c r="A320" s="1962"/>
      <c r="B320" s="1840"/>
      <c r="C320" s="1850" t="s">
        <v>2996</v>
      </c>
      <c r="D320" s="1934"/>
      <c r="E320" s="1934">
        <v>7</v>
      </c>
      <c r="F320" s="1905"/>
      <c r="G320" s="1963" t="s">
        <v>2573</v>
      </c>
      <c r="H320" s="1964" t="s">
        <v>2871</v>
      </c>
      <c r="I320" s="2310"/>
      <c r="J320" s="2534">
        <v>0</v>
      </c>
      <c r="K320" s="1615">
        <v>120000</v>
      </c>
      <c r="L320" s="1636">
        <v>0</v>
      </c>
      <c r="M320" s="1636"/>
      <c r="N320" s="1615"/>
      <c r="O320" s="1635"/>
      <c r="P320" s="1965" t="s">
        <v>2566</v>
      </c>
      <c r="Q320" s="1966" t="s">
        <v>2571</v>
      </c>
    </row>
    <row r="321" spans="1:17" ht="12.75" customHeight="1">
      <c r="A321" s="1962"/>
      <c r="B321" s="1840"/>
      <c r="C321" s="1850" t="s">
        <v>2683</v>
      </c>
      <c r="D321" s="1934"/>
      <c r="E321" s="1934">
        <v>7</v>
      </c>
      <c r="F321" s="1905"/>
      <c r="G321" s="1963" t="s">
        <v>2573</v>
      </c>
      <c r="H321" s="1964" t="s">
        <v>2688</v>
      </c>
      <c r="I321" s="2310"/>
      <c r="J321" s="2534">
        <v>0</v>
      </c>
      <c r="K321" s="1615">
        <v>3000</v>
      </c>
      <c r="L321" s="1636">
        <v>0</v>
      </c>
      <c r="M321" s="1636"/>
      <c r="N321" s="1615"/>
      <c r="O321" s="1635"/>
      <c r="P321" s="1965" t="s">
        <v>2566</v>
      </c>
      <c r="Q321" s="1966" t="s">
        <v>2571</v>
      </c>
    </row>
    <row r="322" spans="1:17" ht="12.75" customHeight="1">
      <c r="A322" s="1962"/>
      <c r="B322" s="1840"/>
      <c r="C322" s="1850" t="s">
        <v>2997</v>
      </c>
      <c r="D322" s="1934"/>
      <c r="E322" s="1934">
        <v>7</v>
      </c>
      <c r="F322" s="1905"/>
      <c r="G322" s="1963" t="s">
        <v>2573</v>
      </c>
      <c r="H322" s="1964" t="s">
        <v>2998</v>
      </c>
      <c r="I322" s="2310"/>
      <c r="J322" s="2534">
        <v>0</v>
      </c>
      <c r="K322" s="1615">
        <v>100000</v>
      </c>
      <c r="L322" s="1636">
        <v>0</v>
      </c>
      <c r="M322" s="1636"/>
      <c r="N322" s="1615"/>
      <c r="O322" s="1635"/>
      <c r="P322" s="1965" t="s">
        <v>2566</v>
      </c>
      <c r="Q322" s="1966" t="s">
        <v>2571</v>
      </c>
    </row>
    <row r="323" spans="1:17" ht="12.75" customHeight="1">
      <c r="A323" s="1962"/>
      <c r="B323" s="1840"/>
      <c r="C323" s="1850" t="s">
        <v>2999</v>
      </c>
      <c r="D323" s="1934"/>
      <c r="E323" s="1934">
        <v>7</v>
      </c>
      <c r="F323" s="1905"/>
      <c r="G323" s="1963" t="s">
        <v>2573</v>
      </c>
      <c r="H323" s="1964" t="s">
        <v>2999</v>
      </c>
      <c r="I323" s="2310"/>
      <c r="J323" s="2534">
        <v>0</v>
      </c>
      <c r="K323" s="1615">
        <v>1000000</v>
      </c>
      <c r="L323" s="1636">
        <v>0</v>
      </c>
      <c r="M323" s="1636"/>
      <c r="N323" s="1615"/>
      <c r="O323" s="1635"/>
      <c r="P323" s="1965" t="s">
        <v>2566</v>
      </c>
      <c r="Q323" s="1966" t="s">
        <v>2571</v>
      </c>
    </row>
    <row r="324" spans="1:17" ht="12.75" customHeight="1">
      <c r="A324" s="1962"/>
      <c r="B324" s="1840"/>
      <c r="C324" s="1850" t="s">
        <v>3000</v>
      </c>
      <c r="D324" s="1934"/>
      <c r="E324" s="1934">
        <v>2</v>
      </c>
      <c r="F324" s="1905"/>
      <c r="G324" s="1963" t="s">
        <v>2581</v>
      </c>
      <c r="H324" s="1964" t="s">
        <v>3001</v>
      </c>
      <c r="I324" s="2310"/>
      <c r="J324" s="2534">
        <v>0</v>
      </c>
      <c r="K324" s="1615">
        <v>100000</v>
      </c>
      <c r="L324" s="1636">
        <v>0</v>
      </c>
      <c r="M324" s="1636"/>
      <c r="N324" s="1615"/>
      <c r="O324" s="1635"/>
      <c r="P324" s="1965">
        <v>17</v>
      </c>
      <c r="Q324" s="1966" t="s">
        <v>2571</v>
      </c>
    </row>
    <row r="325" spans="1:17" ht="12.75" customHeight="1">
      <c r="A325" s="1962"/>
      <c r="B325" s="1840"/>
      <c r="C325" s="1850" t="s">
        <v>3002</v>
      </c>
      <c r="D325" s="1934"/>
      <c r="E325" s="1934">
        <v>2</v>
      </c>
      <c r="F325" s="1905"/>
      <c r="G325" s="1963" t="s">
        <v>2581</v>
      </c>
      <c r="H325" s="1964" t="s">
        <v>3001</v>
      </c>
      <c r="I325" s="2310"/>
      <c r="J325" s="2534">
        <v>0</v>
      </c>
      <c r="K325" s="1615">
        <v>150000</v>
      </c>
      <c r="L325" s="1636">
        <v>0</v>
      </c>
      <c r="M325" s="1636"/>
      <c r="N325" s="1615"/>
      <c r="O325" s="1635"/>
      <c r="P325" s="1965">
        <v>14</v>
      </c>
      <c r="Q325" s="1966" t="s">
        <v>2571</v>
      </c>
    </row>
    <row r="326" spans="1:17" ht="12.75" customHeight="1">
      <c r="A326" s="1962"/>
      <c r="B326" s="1840"/>
      <c r="C326" s="1850" t="s">
        <v>3003</v>
      </c>
      <c r="D326" s="1934"/>
      <c r="E326" s="1934"/>
      <c r="F326" s="1905"/>
      <c r="G326" s="1963" t="s">
        <v>2573</v>
      </c>
      <c r="H326" s="1964" t="s">
        <v>3004</v>
      </c>
      <c r="I326" s="2310"/>
      <c r="J326" s="2534">
        <v>0</v>
      </c>
      <c r="K326" s="1615">
        <v>38000</v>
      </c>
      <c r="L326" s="1636">
        <v>0</v>
      </c>
      <c r="M326" s="1636"/>
      <c r="N326" s="1615"/>
      <c r="O326" s="1635"/>
      <c r="P326" s="1965">
        <v>2</v>
      </c>
      <c r="Q326" s="1966" t="s">
        <v>2571</v>
      </c>
    </row>
    <row r="327" spans="1:17" ht="12.75" customHeight="1">
      <c r="A327" s="1962"/>
      <c r="B327" s="1840"/>
      <c r="C327" s="1850" t="s">
        <v>3005</v>
      </c>
      <c r="D327" s="1934"/>
      <c r="E327" s="1934"/>
      <c r="F327" s="1905"/>
      <c r="G327" s="1963" t="s">
        <v>2573</v>
      </c>
      <c r="H327" s="1964" t="s">
        <v>3006</v>
      </c>
      <c r="I327" s="2310"/>
      <c r="J327" s="2534">
        <v>0</v>
      </c>
      <c r="K327" s="1615">
        <v>300</v>
      </c>
      <c r="L327" s="1636">
        <v>0</v>
      </c>
      <c r="M327" s="1636"/>
      <c r="N327" s="1615"/>
      <c r="O327" s="1635"/>
      <c r="P327" s="1965">
        <v>31</v>
      </c>
      <c r="Q327" s="1966" t="s">
        <v>2571</v>
      </c>
    </row>
    <row r="328" spans="1:17" ht="12.75" customHeight="1">
      <c r="A328" s="1962"/>
      <c r="B328" s="1840"/>
      <c r="C328" s="1850" t="s">
        <v>3007</v>
      </c>
      <c r="D328" s="1934"/>
      <c r="E328" s="1934"/>
      <c r="F328" s="1905"/>
      <c r="G328" s="1963" t="s">
        <v>2573</v>
      </c>
      <c r="H328" s="1964" t="s">
        <v>2602</v>
      </c>
      <c r="I328" s="2310"/>
      <c r="J328" s="2534">
        <v>0</v>
      </c>
      <c r="K328" s="1615">
        <v>1500</v>
      </c>
      <c r="L328" s="1636">
        <v>0</v>
      </c>
      <c r="M328" s="1636"/>
      <c r="N328" s="1615"/>
      <c r="O328" s="1635"/>
      <c r="P328" s="1965">
        <v>36</v>
      </c>
      <c r="Q328" s="1966" t="s">
        <v>2571</v>
      </c>
    </row>
    <row r="329" spans="1:17" ht="12.75" customHeight="1">
      <c r="A329" s="1962"/>
      <c r="B329" s="1840"/>
      <c r="C329" s="1850" t="s">
        <v>3008</v>
      </c>
      <c r="D329" s="1934"/>
      <c r="E329" s="1934"/>
      <c r="F329" s="1905"/>
      <c r="G329" s="1963" t="s">
        <v>2573</v>
      </c>
      <c r="H329" s="1964" t="s">
        <v>2798</v>
      </c>
      <c r="I329" s="2310"/>
      <c r="J329" s="2534">
        <v>0</v>
      </c>
      <c r="K329" s="1615">
        <v>5000</v>
      </c>
      <c r="L329" s="1636">
        <v>0</v>
      </c>
      <c r="M329" s="1636"/>
      <c r="N329" s="1615"/>
      <c r="O329" s="1635"/>
      <c r="P329" s="1965">
        <v>13</v>
      </c>
      <c r="Q329" s="1966" t="s">
        <v>2571</v>
      </c>
    </row>
    <row r="330" spans="1:17" ht="12.75" customHeight="1">
      <c r="A330" s="1962"/>
      <c r="B330" s="1840"/>
      <c r="C330" s="1850" t="s">
        <v>3009</v>
      </c>
      <c r="D330" s="1934"/>
      <c r="E330" s="1934"/>
      <c r="F330" s="1905"/>
      <c r="G330" s="1963" t="s">
        <v>2578</v>
      </c>
      <c r="H330" s="1964" t="s">
        <v>2648</v>
      </c>
      <c r="I330" s="2310"/>
      <c r="J330" s="2534">
        <v>0</v>
      </c>
      <c r="K330" s="1615">
        <v>20000</v>
      </c>
      <c r="L330" s="1636">
        <v>0</v>
      </c>
      <c r="M330" s="1636"/>
      <c r="N330" s="1615"/>
      <c r="O330" s="1635"/>
      <c r="P330" s="1965">
        <v>25</v>
      </c>
      <c r="Q330" s="1966" t="s">
        <v>2571</v>
      </c>
    </row>
    <row r="331" spans="1:17" ht="12.75" customHeight="1">
      <c r="A331" s="1962"/>
      <c r="B331" s="1840"/>
      <c r="C331" s="1850" t="s">
        <v>3010</v>
      </c>
      <c r="D331" s="1934"/>
      <c r="E331" s="1934"/>
      <c r="F331" s="1905"/>
      <c r="G331" s="1963" t="s">
        <v>2573</v>
      </c>
      <c r="H331" s="1964" t="s">
        <v>2564</v>
      </c>
      <c r="I331" s="2310"/>
      <c r="J331" s="2534">
        <v>0</v>
      </c>
      <c r="K331" s="1615">
        <v>5400</v>
      </c>
      <c r="L331" s="1636">
        <v>0</v>
      </c>
      <c r="M331" s="1636"/>
      <c r="N331" s="1615"/>
      <c r="O331" s="1635"/>
      <c r="P331" s="1965">
        <v>21</v>
      </c>
      <c r="Q331" s="1966" t="s">
        <v>2571</v>
      </c>
    </row>
    <row r="332" spans="1:17" ht="12.75" customHeight="1">
      <c r="A332" s="1962"/>
      <c r="B332" s="1840"/>
      <c r="C332" s="1850" t="s">
        <v>3011</v>
      </c>
      <c r="D332" s="1934"/>
      <c r="E332" s="1934"/>
      <c r="F332" s="1905"/>
      <c r="G332" s="1963" t="s">
        <v>2573</v>
      </c>
      <c r="H332" s="1964" t="s">
        <v>2623</v>
      </c>
      <c r="I332" s="2310"/>
      <c r="J332" s="2534">
        <v>0</v>
      </c>
      <c r="K332" s="1615">
        <v>6000</v>
      </c>
      <c r="L332" s="1636">
        <v>0</v>
      </c>
      <c r="M332" s="1636"/>
      <c r="N332" s="1615"/>
      <c r="O332" s="1635"/>
      <c r="P332" s="1965">
        <v>21</v>
      </c>
      <c r="Q332" s="1966" t="s">
        <v>2571</v>
      </c>
    </row>
    <row r="333" spans="1:17" ht="12.75" customHeight="1">
      <c r="A333" s="1962"/>
      <c r="B333" s="1840"/>
      <c r="C333" s="1850" t="s">
        <v>3012</v>
      </c>
      <c r="D333" s="1934"/>
      <c r="E333" s="1934"/>
      <c r="F333" s="1905"/>
      <c r="G333" s="1963" t="s">
        <v>2573</v>
      </c>
      <c r="H333" s="1964" t="s">
        <v>2757</v>
      </c>
      <c r="I333" s="2310"/>
      <c r="J333" s="2534">
        <v>0</v>
      </c>
      <c r="K333" s="1615">
        <v>8000</v>
      </c>
      <c r="L333" s="1636">
        <v>0</v>
      </c>
      <c r="M333" s="1636"/>
      <c r="N333" s="1615"/>
      <c r="O333" s="1635"/>
      <c r="P333" s="1965">
        <v>27</v>
      </c>
      <c r="Q333" s="1966" t="s">
        <v>2571</v>
      </c>
    </row>
    <row r="334" spans="1:17" ht="12.75" customHeight="1">
      <c r="A334" s="1962"/>
      <c r="B334" s="1840"/>
      <c r="C334" s="1850" t="s">
        <v>3013</v>
      </c>
      <c r="D334" s="1934"/>
      <c r="E334" s="1934"/>
      <c r="F334" s="1905"/>
      <c r="G334" s="1963" t="s">
        <v>2573</v>
      </c>
      <c r="H334" s="1964" t="s">
        <v>3014</v>
      </c>
      <c r="I334" s="2310"/>
      <c r="J334" s="2534">
        <v>0</v>
      </c>
      <c r="K334" s="1615">
        <v>5500</v>
      </c>
      <c r="L334" s="1636">
        <v>0</v>
      </c>
      <c r="M334" s="1636"/>
      <c r="N334" s="1615"/>
      <c r="O334" s="1635"/>
      <c r="P334" s="1965">
        <v>30</v>
      </c>
      <c r="Q334" s="1966" t="s">
        <v>2571</v>
      </c>
    </row>
    <row r="335" spans="1:17" ht="12.75" customHeight="1">
      <c r="A335" s="1962"/>
      <c r="B335" s="1840"/>
      <c r="C335" s="1850" t="s">
        <v>3015</v>
      </c>
      <c r="D335" s="1934"/>
      <c r="E335" s="1934"/>
      <c r="F335" s="1905"/>
      <c r="G335" s="1963" t="s">
        <v>2573</v>
      </c>
      <c r="H335" s="1964" t="s">
        <v>2716</v>
      </c>
      <c r="I335" s="2310"/>
      <c r="J335" s="2534">
        <v>0</v>
      </c>
      <c r="K335" s="1615">
        <v>6000</v>
      </c>
      <c r="L335" s="1636">
        <v>0</v>
      </c>
      <c r="M335" s="1636"/>
      <c r="N335" s="1615"/>
      <c r="O335" s="1635"/>
      <c r="P335" s="1965">
        <v>31</v>
      </c>
      <c r="Q335" s="1966" t="s">
        <v>2571</v>
      </c>
    </row>
    <row r="336" spans="1:17" ht="12.75" customHeight="1">
      <c r="A336" s="1962"/>
      <c r="B336" s="1840"/>
      <c r="C336" s="1850" t="s">
        <v>2744</v>
      </c>
      <c r="D336" s="1934"/>
      <c r="E336" s="1934"/>
      <c r="F336" s="1905"/>
      <c r="G336" s="1963" t="s">
        <v>2573</v>
      </c>
      <c r="H336" s="1964" t="s">
        <v>2738</v>
      </c>
      <c r="I336" s="2310"/>
      <c r="J336" s="2534">
        <v>0</v>
      </c>
      <c r="K336" s="1615">
        <v>2500</v>
      </c>
      <c r="L336" s="1636">
        <v>0</v>
      </c>
      <c r="M336" s="1636"/>
      <c r="N336" s="1615"/>
      <c r="O336" s="1635"/>
      <c r="P336" s="1965">
        <v>31</v>
      </c>
      <c r="Q336" s="1966" t="s">
        <v>2571</v>
      </c>
    </row>
    <row r="337" spans="1:17" ht="12.75" customHeight="1">
      <c r="A337" s="1962"/>
      <c r="B337" s="1840"/>
      <c r="C337" s="1850" t="s">
        <v>3016</v>
      </c>
      <c r="D337" s="1934"/>
      <c r="E337" s="1934"/>
      <c r="F337" s="1905"/>
      <c r="G337" s="1963" t="s">
        <v>2573</v>
      </c>
      <c r="H337" s="1964" t="s">
        <v>3017</v>
      </c>
      <c r="I337" s="2310"/>
      <c r="J337" s="2534">
        <v>0</v>
      </c>
      <c r="K337" s="1615">
        <v>25000</v>
      </c>
      <c r="L337" s="1636">
        <v>0</v>
      </c>
      <c r="M337" s="1636"/>
      <c r="N337" s="1615"/>
      <c r="O337" s="1635"/>
      <c r="P337" s="1965">
        <v>31</v>
      </c>
      <c r="Q337" s="1966" t="s">
        <v>2571</v>
      </c>
    </row>
    <row r="338" spans="1:17" ht="12.75" customHeight="1">
      <c r="A338" s="1962"/>
      <c r="B338" s="1840"/>
      <c r="C338" s="1850" t="s">
        <v>3018</v>
      </c>
      <c r="D338" s="1934"/>
      <c r="E338" s="1934"/>
      <c r="F338" s="1905"/>
      <c r="G338" s="1963" t="s">
        <v>2573</v>
      </c>
      <c r="H338" s="1964" t="s">
        <v>3019</v>
      </c>
      <c r="I338" s="2310"/>
      <c r="J338" s="2534">
        <v>0</v>
      </c>
      <c r="K338" s="1615">
        <v>6000</v>
      </c>
      <c r="L338" s="1636">
        <v>0</v>
      </c>
      <c r="M338" s="1636"/>
      <c r="N338" s="1615"/>
      <c r="O338" s="1635"/>
      <c r="P338" s="1965">
        <v>9</v>
      </c>
      <c r="Q338" s="1966" t="s">
        <v>2571</v>
      </c>
    </row>
    <row r="339" spans="1:17" ht="12.75" customHeight="1">
      <c r="A339" s="1962"/>
      <c r="B339" s="1840"/>
      <c r="C339" s="1850" t="s">
        <v>3020</v>
      </c>
      <c r="D339" s="1934"/>
      <c r="E339" s="1934"/>
      <c r="F339" s="1905"/>
      <c r="G339" s="1963" t="s">
        <v>2573</v>
      </c>
      <c r="H339" s="1964" t="s">
        <v>3021</v>
      </c>
      <c r="I339" s="2310"/>
      <c r="J339" s="2534">
        <v>0</v>
      </c>
      <c r="K339" s="1615">
        <v>5000</v>
      </c>
      <c r="L339" s="1636">
        <v>0</v>
      </c>
      <c r="M339" s="1636"/>
      <c r="N339" s="1615"/>
      <c r="O339" s="1635"/>
      <c r="P339" s="1965">
        <v>9</v>
      </c>
      <c r="Q339" s="1966" t="s">
        <v>2571</v>
      </c>
    </row>
    <row r="340" spans="1:17" ht="12.75" customHeight="1">
      <c r="A340" s="1962"/>
      <c r="B340" s="1840"/>
      <c r="C340" s="1850" t="s">
        <v>3022</v>
      </c>
      <c r="D340" s="1934"/>
      <c r="E340" s="1934"/>
      <c r="F340" s="1905"/>
      <c r="G340" s="1963" t="s">
        <v>2573</v>
      </c>
      <c r="H340" s="1964" t="s">
        <v>2716</v>
      </c>
      <c r="I340" s="2310"/>
      <c r="J340" s="2534">
        <v>0</v>
      </c>
      <c r="K340" s="1615">
        <v>5000</v>
      </c>
      <c r="L340" s="1636">
        <v>0</v>
      </c>
      <c r="M340" s="1636"/>
      <c r="N340" s="1615"/>
      <c r="O340" s="1635"/>
      <c r="P340" s="1965">
        <v>9</v>
      </c>
      <c r="Q340" s="1966" t="s">
        <v>2571</v>
      </c>
    </row>
    <row r="341" spans="1:17" ht="12.75" customHeight="1">
      <c r="A341" s="1962"/>
      <c r="B341" s="1840"/>
      <c r="C341" s="1850" t="s">
        <v>3023</v>
      </c>
      <c r="D341" s="1934"/>
      <c r="E341" s="1934"/>
      <c r="F341" s="1905"/>
      <c r="G341" s="1963" t="s">
        <v>2573</v>
      </c>
      <c r="H341" s="1964" t="s">
        <v>3024</v>
      </c>
      <c r="I341" s="2310"/>
      <c r="J341" s="2534">
        <v>0</v>
      </c>
      <c r="K341" s="1615">
        <v>3000</v>
      </c>
      <c r="L341" s="1636">
        <v>0</v>
      </c>
      <c r="M341" s="1636"/>
      <c r="N341" s="1615"/>
      <c r="O341" s="1635"/>
      <c r="P341" s="1965">
        <v>9</v>
      </c>
      <c r="Q341" s="1966" t="s">
        <v>2571</v>
      </c>
    </row>
    <row r="342" spans="1:17" ht="12.75" customHeight="1">
      <c r="A342" s="1962"/>
      <c r="B342" s="1840"/>
      <c r="C342" s="1850" t="s">
        <v>3025</v>
      </c>
      <c r="D342" s="1934"/>
      <c r="E342" s="1934"/>
      <c r="F342" s="1905"/>
      <c r="G342" s="1963" t="s">
        <v>2573</v>
      </c>
      <c r="H342" s="1964" t="s">
        <v>3026</v>
      </c>
      <c r="I342" s="2310"/>
      <c r="J342" s="2534">
        <v>0</v>
      </c>
      <c r="K342" s="1615">
        <v>2500</v>
      </c>
      <c r="L342" s="1636">
        <v>0</v>
      </c>
      <c r="M342" s="1636"/>
      <c r="N342" s="1615"/>
      <c r="O342" s="1635"/>
      <c r="P342" s="1965">
        <v>1</v>
      </c>
      <c r="Q342" s="1966" t="s">
        <v>2571</v>
      </c>
    </row>
    <row r="343" spans="1:17" ht="12.75" customHeight="1">
      <c r="A343" s="1962"/>
      <c r="B343" s="1840"/>
      <c r="C343" s="1850" t="s">
        <v>3027</v>
      </c>
      <c r="D343" s="1934"/>
      <c r="E343" s="1934"/>
      <c r="F343" s="1905"/>
      <c r="G343" s="1963" t="s">
        <v>2573</v>
      </c>
      <c r="H343" s="1964" t="s">
        <v>3028</v>
      </c>
      <c r="I343" s="2310"/>
      <c r="J343" s="2534">
        <v>0</v>
      </c>
      <c r="K343" s="1615">
        <v>18000</v>
      </c>
      <c r="L343" s="1636">
        <v>0</v>
      </c>
      <c r="M343" s="1636"/>
      <c r="N343" s="1615"/>
      <c r="O343" s="1635"/>
      <c r="P343" s="1965">
        <v>1</v>
      </c>
      <c r="Q343" s="1966" t="s">
        <v>2571</v>
      </c>
    </row>
    <row r="344" spans="1:17" ht="12.75" customHeight="1">
      <c r="A344" s="1962"/>
      <c r="B344" s="1840"/>
      <c r="C344" s="1850" t="s">
        <v>3029</v>
      </c>
      <c r="D344" s="1934"/>
      <c r="E344" s="1934"/>
      <c r="F344" s="1905"/>
      <c r="G344" s="1963" t="s">
        <v>2573</v>
      </c>
      <c r="H344" s="1964" t="s">
        <v>2565</v>
      </c>
      <c r="I344" s="2310"/>
      <c r="J344" s="2534">
        <v>0</v>
      </c>
      <c r="K344" s="1615">
        <v>8000</v>
      </c>
      <c r="L344" s="1636">
        <v>0</v>
      </c>
      <c r="M344" s="1636"/>
      <c r="N344" s="1615"/>
      <c r="O344" s="1635"/>
      <c r="P344" s="1965">
        <v>1</v>
      </c>
      <c r="Q344" s="1966" t="s">
        <v>2571</v>
      </c>
    </row>
    <row r="345" spans="1:17" ht="12.75" customHeight="1">
      <c r="A345" s="1962"/>
      <c r="B345" s="1840"/>
      <c r="C345" s="1850" t="s">
        <v>3030</v>
      </c>
      <c r="D345" s="1934"/>
      <c r="E345" s="1934"/>
      <c r="F345" s="1905"/>
      <c r="G345" s="1963" t="s">
        <v>2573</v>
      </c>
      <c r="H345" s="1964" t="s">
        <v>2980</v>
      </c>
      <c r="I345" s="2310"/>
      <c r="J345" s="2534">
        <v>0</v>
      </c>
      <c r="K345" s="1615">
        <v>50000</v>
      </c>
      <c r="L345" s="1636">
        <v>0</v>
      </c>
      <c r="M345" s="1636"/>
      <c r="N345" s="1615"/>
      <c r="O345" s="1635"/>
      <c r="P345" s="1965">
        <v>14</v>
      </c>
      <c r="Q345" s="1966" t="s">
        <v>2571</v>
      </c>
    </row>
    <row r="346" spans="1:17" ht="12.75" customHeight="1">
      <c r="A346" s="1962"/>
      <c r="B346" s="1840"/>
      <c r="C346" s="1850" t="s">
        <v>3031</v>
      </c>
      <c r="D346" s="1934"/>
      <c r="E346" s="1934"/>
      <c r="F346" s="1905"/>
      <c r="G346" s="1963" t="s">
        <v>3032</v>
      </c>
      <c r="H346" s="1964" t="s">
        <v>3033</v>
      </c>
      <c r="I346" s="2310"/>
      <c r="J346" s="2534">
        <v>0</v>
      </c>
      <c r="K346" s="1615">
        <v>60000</v>
      </c>
      <c r="L346" s="1636">
        <v>0</v>
      </c>
      <c r="M346" s="1636"/>
      <c r="N346" s="1615"/>
      <c r="O346" s="1635"/>
      <c r="P346" s="1965">
        <v>21</v>
      </c>
      <c r="Q346" s="1966" t="s">
        <v>2571</v>
      </c>
    </row>
    <row r="347" spans="1:17" ht="12.75" customHeight="1">
      <c r="A347" s="1962"/>
      <c r="B347" s="1840"/>
      <c r="C347" s="1850" t="s">
        <v>3034</v>
      </c>
      <c r="D347" s="1934"/>
      <c r="E347" s="1934"/>
      <c r="F347" s="1905"/>
      <c r="G347" s="1963" t="s">
        <v>2573</v>
      </c>
      <c r="H347" s="1964" t="s">
        <v>3035</v>
      </c>
      <c r="I347" s="2310"/>
      <c r="J347" s="2534">
        <v>0</v>
      </c>
      <c r="K347" s="1615">
        <v>9000</v>
      </c>
      <c r="L347" s="1636">
        <v>0</v>
      </c>
      <c r="M347" s="1636"/>
      <c r="N347" s="1615"/>
      <c r="O347" s="1635"/>
      <c r="P347" s="1965">
        <v>14</v>
      </c>
      <c r="Q347" s="1966" t="s">
        <v>2571</v>
      </c>
    </row>
    <row r="348" spans="1:17" ht="12.75" customHeight="1">
      <c r="A348" s="1962"/>
      <c r="B348" s="1840"/>
      <c r="C348" s="1850" t="s">
        <v>3036</v>
      </c>
      <c r="D348" s="1934"/>
      <c r="E348" s="1934"/>
      <c r="F348" s="1905"/>
      <c r="G348" s="1963" t="s">
        <v>2573</v>
      </c>
      <c r="H348" s="1964" t="s">
        <v>3035</v>
      </c>
      <c r="I348" s="2310"/>
      <c r="J348" s="2534">
        <v>0</v>
      </c>
      <c r="K348" s="1615">
        <v>8000</v>
      </c>
      <c r="L348" s="1636">
        <v>0</v>
      </c>
      <c r="M348" s="1636"/>
      <c r="N348" s="1615"/>
      <c r="O348" s="1635"/>
      <c r="P348" s="1965">
        <v>9</v>
      </c>
      <c r="Q348" s="1966" t="s">
        <v>2571</v>
      </c>
    </row>
    <row r="349" spans="1:17" ht="12.75" customHeight="1">
      <c r="A349" s="1962"/>
      <c r="B349" s="1840"/>
      <c r="C349" s="1850" t="s">
        <v>3037</v>
      </c>
      <c r="D349" s="1934"/>
      <c r="E349" s="1934"/>
      <c r="F349" s="1905"/>
      <c r="G349" s="1963" t="s">
        <v>2573</v>
      </c>
      <c r="H349" s="1964" t="s">
        <v>2623</v>
      </c>
      <c r="I349" s="2310"/>
      <c r="J349" s="2534">
        <v>0</v>
      </c>
      <c r="K349" s="1615">
        <v>3000</v>
      </c>
      <c r="L349" s="1636">
        <v>0</v>
      </c>
      <c r="M349" s="1636"/>
      <c r="N349" s="1615"/>
      <c r="O349" s="1635"/>
      <c r="P349" s="1965">
        <v>14</v>
      </c>
      <c r="Q349" s="1966" t="s">
        <v>2571</v>
      </c>
    </row>
    <row r="350" spans="1:17" ht="12.75" customHeight="1">
      <c r="A350" s="1962"/>
      <c r="B350" s="1840"/>
      <c r="C350" s="1850" t="s">
        <v>3038</v>
      </c>
      <c r="D350" s="1934"/>
      <c r="E350" s="1934"/>
      <c r="F350" s="1905"/>
      <c r="G350" s="1963" t="s">
        <v>2573</v>
      </c>
      <c r="H350" s="1964" t="s">
        <v>3039</v>
      </c>
      <c r="I350" s="2310"/>
      <c r="J350" s="2534">
        <v>0</v>
      </c>
      <c r="K350" s="1615">
        <v>4000</v>
      </c>
      <c r="L350" s="1636">
        <v>0</v>
      </c>
      <c r="M350" s="1636"/>
      <c r="N350" s="1615"/>
      <c r="O350" s="1635"/>
      <c r="P350" s="1965">
        <v>14</v>
      </c>
      <c r="Q350" s="1966" t="s">
        <v>2587</v>
      </c>
    </row>
    <row r="351" spans="1:17" ht="12.75" customHeight="1">
      <c r="A351" s="1962"/>
      <c r="B351" s="1840"/>
      <c r="C351" s="1850" t="s">
        <v>3040</v>
      </c>
      <c r="D351" s="1934"/>
      <c r="E351" s="1934"/>
      <c r="F351" s="1905"/>
      <c r="G351" s="1963" t="s">
        <v>2573</v>
      </c>
      <c r="H351" s="1964" t="s">
        <v>3041</v>
      </c>
      <c r="I351" s="2310"/>
      <c r="J351" s="2534">
        <v>0</v>
      </c>
      <c r="K351" s="1615">
        <v>300</v>
      </c>
      <c r="L351" s="1636">
        <v>0</v>
      </c>
      <c r="M351" s="1636"/>
      <c r="N351" s="1615"/>
      <c r="O351" s="1635"/>
      <c r="P351" s="1965">
        <v>14</v>
      </c>
      <c r="Q351" s="1966" t="s">
        <v>2571</v>
      </c>
    </row>
    <row r="352" spans="1:17" ht="12.75" customHeight="1">
      <c r="A352" s="1962"/>
      <c r="B352" s="1840"/>
      <c r="C352" s="1850" t="s">
        <v>3042</v>
      </c>
      <c r="D352" s="1934"/>
      <c r="E352" s="1934"/>
      <c r="F352" s="1905"/>
      <c r="G352" s="1963" t="s">
        <v>2573</v>
      </c>
      <c r="H352" s="1964" t="s">
        <v>3043</v>
      </c>
      <c r="I352" s="2310"/>
      <c r="J352" s="2534">
        <v>0</v>
      </c>
      <c r="K352" s="1615">
        <v>2000</v>
      </c>
      <c r="L352" s="1636">
        <v>0</v>
      </c>
      <c r="M352" s="1636"/>
      <c r="N352" s="1615"/>
      <c r="O352" s="1635"/>
      <c r="P352" s="1965">
        <v>14</v>
      </c>
      <c r="Q352" s="1966" t="s">
        <v>2571</v>
      </c>
    </row>
    <row r="353" spans="1:17" ht="12.75" customHeight="1">
      <c r="A353" s="1962"/>
      <c r="B353" s="1840"/>
      <c r="C353" s="1850" t="s">
        <v>3044</v>
      </c>
      <c r="D353" s="1934"/>
      <c r="E353" s="1934"/>
      <c r="F353" s="1905"/>
      <c r="G353" s="1963" t="s">
        <v>2578</v>
      </c>
      <c r="H353" s="1964" t="s">
        <v>2697</v>
      </c>
      <c r="I353" s="2310"/>
      <c r="J353" s="2534">
        <v>0</v>
      </c>
      <c r="K353" s="1615">
        <v>30000</v>
      </c>
      <c r="L353" s="1636">
        <v>0</v>
      </c>
      <c r="M353" s="1636"/>
      <c r="N353" s="1615"/>
      <c r="O353" s="1635"/>
      <c r="P353" s="1965">
        <v>11</v>
      </c>
      <c r="Q353" s="1966" t="s">
        <v>2571</v>
      </c>
    </row>
    <row r="354" spans="1:17" ht="12.75" customHeight="1">
      <c r="A354" s="1962"/>
      <c r="B354" s="1840"/>
      <c r="C354" s="1850" t="s">
        <v>3045</v>
      </c>
      <c r="D354" s="1934"/>
      <c r="E354" s="1934"/>
      <c r="F354" s="1905"/>
      <c r="G354" s="1963" t="s">
        <v>2578</v>
      </c>
      <c r="H354" s="1964" t="s">
        <v>2697</v>
      </c>
      <c r="I354" s="2310"/>
      <c r="J354" s="2534">
        <v>0</v>
      </c>
      <c r="K354" s="1615">
        <v>22000</v>
      </c>
      <c r="L354" s="1636">
        <v>0</v>
      </c>
      <c r="M354" s="1636"/>
      <c r="N354" s="1615"/>
      <c r="O354" s="1635"/>
      <c r="P354" s="1965">
        <v>21</v>
      </c>
      <c r="Q354" s="1966" t="s">
        <v>2571</v>
      </c>
    </row>
    <row r="355" spans="1:17" ht="12.75" customHeight="1">
      <c r="A355" s="1962"/>
      <c r="B355" s="1840"/>
      <c r="C355" s="1850" t="s">
        <v>3046</v>
      </c>
      <c r="D355" s="1934"/>
      <c r="E355" s="1934"/>
      <c r="F355" s="1905"/>
      <c r="G355" s="1963" t="s">
        <v>2573</v>
      </c>
      <c r="H355" s="1964" t="s">
        <v>3047</v>
      </c>
      <c r="I355" s="2310"/>
      <c r="J355" s="2534">
        <v>0</v>
      </c>
      <c r="K355" s="1615">
        <v>9000</v>
      </c>
      <c r="L355" s="1636">
        <v>0</v>
      </c>
      <c r="M355" s="1636"/>
      <c r="N355" s="1615"/>
      <c r="O355" s="1635"/>
      <c r="P355" s="1965" t="s">
        <v>2566</v>
      </c>
      <c r="Q355" s="1966" t="s">
        <v>2571</v>
      </c>
    </row>
    <row r="356" spans="1:17" ht="12.75" customHeight="1">
      <c r="A356" s="1962"/>
      <c r="B356" s="1840"/>
      <c r="C356" s="1850" t="s">
        <v>3048</v>
      </c>
      <c r="D356" s="1934"/>
      <c r="E356" s="1934"/>
      <c r="F356" s="1905"/>
      <c r="G356" s="1963" t="s">
        <v>2573</v>
      </c>
      <c r="H356" s="1964" t="s">
        <v>3049</v>
      </c>
      <c r="I356" s="2310"/>
      <c r="J356" s="2534">
        <v>0</v>
      </c>
      <c r="K356" s="1615">
        <v>54000</v>
      </c>
      <c r="L356" s="1636">
        <v>0</v>
      </c>
      <c r="M356" s="1636"/>
      <c r="N356" s="1615"/>
      <c r="O356" s="1635"/>
      <c r="P356" s="1965">
        <v>14</v>
      </c>
      <c r="Q356" s="1966" t="s">
        <v>2571</v>
      </c>
    </row>
    <row r="357" spans="1:17" ht="12.75" customHeight="1">
      <c r="A357" s="1962"/>
      <c r="B357" s="1840"/>
      <c r="C357" s="1850" t="s">
        <v>3050</v>
      </c>
      <c r="D357" s="1934" t="s">
        <v>3051</v>
      </c>
      <c r="E357" s="1934" t="s">
        <v>781</v>
      </c>
      <c r="F357" s="1905"/>
      <c r="G357" s="1963" t="s">
        <v>2578</v>
      </c>
      <c r="H357" s="1964" t="s">
        <v>2814</v>
      </c>
      <c r="I357" s="2310"/>
      <c r="J357" s="2534">
        <v>0</v>
      </c>
      <c r="K357" s="1615">
        <v>1000000</v>
      </c>
      <c r="L357" s="1636">
        <v>0</v>
      </c>
      <c r="M357" s="1636"/>
      <c r="N357" s="1615"/>
      <c r="O357" s="1635"/>
      <c r="P357" s="1965" t="s">
        <v>3052</v>
      </c>
      <c r="Q357" s="1966" t="s">
        <v>2571</v>
      </c>
    </row>
    <row r="358" spans="1:17" ht="12.75" customHeight="1">
      <c r="A358" s="1962"/>
      <c r="B358" s="1840"/>
      <c r="C358" s="1850" t="s">
        <v>3053</v>
      </c>
      <c r="D358" s="1934"/>
      <c r="E358" s="1934" t="s">
        <v>781</v>
      </c>
      <c r="F358" s="1905"/>
      <c r="G358" s="1963" t="s">
        <v>2573</v>
      </c>
      <c r="H358" s="1964" t="s">
        <v>2657</v>
      </c>
      <c r="I358" s="2310"/>
      <c r="J358" s="2534">
        <v>0</v>
      </c>
      <c r="K358" s="1615">
        <v>40000</v>
      </c>
      <c r="L358" s="1636">
        <v>0</v>
      </c>
      <c r="M358" s="1636"/>
      <c r="N358" s="1615"/>
      <c r="O358" s="1635"/>
      <c r="P358" s="1965" t="s">
        <v>2566</v>
      </c>
      <c r="Q358" s="1966" t="s">
        <v>2571</v>
      </c>
    </row>
    <row r="359" spans="1:17" ht="12.75" customHeight="1">
      <c r="A359" s="1962"/>
      <c r="B359" s="1840"/>
      <c r="C359" s="1850" t="s">
        <v>3054</v>
      </c>
      <c r="D359" s="1934" t="s">
        <v>3055</v>
      </c>
      <c r="E359" s="1934" t="s">
        <v>781</v>
      </c>
      <c r="F359" s="1905"/>
      <c r="G359" s="1963" t="s">
        <v>2578</v>
      </c>
      <c r="H359" s="1964" t="s">
        <v>3056</v>
      </c>
      <c r="I359" s="2310"/>
      <c r="J359" s="2534">
        <v>0</v>
      </c>
      <c r="K359" s="1615">
        <v>100000</v>
      </c>
      <c r="L359" s="1636">
        <v>0</v>
      </c>
      <c r="M359" s="1636"/>
      <c r="N359" s="1615"/>
      <c r="O359" s="1635"/>
      <c r="P359" s="1965" t="s">
        <v>3057</v>
      </c>
      <c r="Q359" s="1966" t="s">
        <v>2571</v>
      </c>
    </row>
    <row r="360" spans="1:17" ht="12.75" customHeight="1">
      <c r="A360" s="1962"/>
      <c r="B360" s="1840"/>
      <c r="C360" s="1850" t="s">
        <v>3058</v>
      </c>
      <c r="D360" s="1934" t="s">
        <v>3059</v>
      </c>
      <c r="E360" s="1934" t="s">
        <v>781</v>
      </c>
      <c r="F360" s="1905"/>
      <c r="G360" s="1963" t="s">
        <v>2578</v>
      </c>
      <c r="H360" s="1964" t="s">
        <v>2836</v>
      </c>
      <c r="I360" s="2310"/>
      <c r="J360" s="2534">
        <v>0</v>
      </c>
      <c r="K360" s="1615">
        <v>100000</v>
      </c>
      <c r="L360" s="1636">
        <v>0</v>
      </c>
      <c r="M360" s="1636"/>
      <c r="N360" s="1615"/>
      <c r="O360" s="1635"/>
      <c r="P360" s="1965" t="s">
        <v>3060</v>
      </c>
      <c r="Q360" s="1966" t="s">
        <v>2571</v>
      </c>
    </row>
    <row r="361" spans="1:17" ht="12.75" customHeight="1">
      <c r="A361" s="1962"/>
      <c r="B361" s="1840"/>
      <c r="C361" s="1850" t="s">
        <v>3061</v>
      </c>
      <c r="D361" s="1934" t="s">
        <v>3062</v>
      </c>
      <c r="E361" s="1934" t="s">
        <v>781</v>
      </c>
      <c r="F361" s="1905"/>
      <c r="G361" s="1963" t="s">
        <v>2578</v>
      </c>
      <c r="H361" s="1964" t="s">
        <v>2836</v>
      </c>
      <c r="I361" s="2310"/>
      <c r="J361" s="2534">
        <v>0</v>
      </c>
      <c r="K361" s="1615">
        <v>100000</v>
      </c>
      <c r="L361" s="1636">
        <v>0</v>
      </c>
      <c r="M361" s="1636"/>
      <c r="N361" s="1615"/>
      <c r="O361" s="1635"/>
      <c r="P361" s="1965" t="s">
        <v>3063</v>
      </c>
      <c r="Q361" s="1966" t="s">
        <v>2571</v>
      </c>
    </row>
    <row r="362" spans="1:17" ht="12.75" customHeight="1">
      <c r="A362" s="1962"/>
      <c r="B362" s="1840"/>
      <c r="C362" s="1850" t="s">
        <v>3064</v>
      </c>
      <c r="D362" s="1934" t="s">
        <v>3065</v>
      </c>
      <c r="E362" s="1934" t="s">
        <v>781</v>
      </c>
      <c r="F362" s="1905"/>
      <c r="G362" s="1963" t="s">
        <v>2578</v>
      </c>
      <c r="H362" s="1964" t="s">
        <v>2820</v>
      </c>
      <c r="I362" s="2310"/>
      <c r="J362" s="2534">
        <v>0</v>
      </c>
      <c r="K362" s="1615">
        <v>500000</v>
      </c>
      <c r="L362" s="1636">
        <v>0</v>
      </c>
      <c r="M362" s="1636"/>
      <c r="N362" s="1615"/>
      <c r="O362" s="1635"/>
      <c r="P362" s="1965" t="s">
        <v>3066</v>
      </c>
      <c r="Q362" s="1966" t="s">
        <v>2571</v>
      </c>
    </row>
    <row r="363" spans="1:17" ht="12.75" customHeight="1">
      <c r="A363" s="1962"/>
      <c r="B363" s="1840"/>
      <c r="C363" s="1850" t="s">
        <v>3067</v>
      </c>
      <c r="D363" s="1934"/>
      <c r="E363" s="1934" t="s">
        <v>781</v>
      </c>
      <c r="F363" s="1905"/>
      <c r="G363" s="1963" t="s">
        <v>2573</v>
      </c>
      <c r="H363" s="1964" t="s">
        <v>2586</v>
      </c>
      <c r="I363" s="2310"/>
      <c r="J363" s="2534">
        <v>0</v>
      </c>
      <c r="K363" s="1615">
        <v>520000</v>
      </c>
      <c r="L363" s="1636">
        <v>0</v>
      </c>
      <c r="M363" s="1636"/>
      <c r="N363" s="1615"/>
      <c r="O363" s="1635"/>
      <c r="P363" s="1965" t="s">
        <v>2566</v>
      </c>
      <c r="Q363" s="1966" t="s">
        <v>2571</v>
      </c>
    </row>
    <row r="364" spans="1:17" ht="12.75" customHeight="1">
      <c r="A364" s="1962"/>
      <c r="B364" s="1840"/>
      <c r="C364" s="1850" t="s">
        <v>3068</v>
      </c>
      <c r="D364" s="1934"/>
      <c r="E364" s="1934" t="s">
        <v>781</v>
      </c>
      <c r="F364" s="1905"/>
      <c r="G364" s="1963" t="s">
        <v>2573</v>
      </c>
      <c r="H364" s="1964" t="s">
        <v>2586</v>
      </c>
      <c r="I364" s="2310"/>
      <c r="J364" s="2534">
        <v>0</v>
      </c>
      <c r="K364" s="1615">
        <v>0</v>
      </c>
      <c r="L364" s="1636">
        <v>0</v>
      </c>
      <c r="M364" s="1636"/>
      <c r="N364" s="1615"/>
      <c r="O364" s="1635"/>
      <c r="P364" s="1965" t="s">
        <v>2566</v>
      </c>
      <c r="Q364" s="1966" t="s">
        <v>2571</v>
      </c>
    </row>
    <row r="365" spans="1:17" ht="12.75" customHeight="1">
      <c r="A365" s="1962"/>
      <c r="B365" s="1840"/>
      <c r="C365" s="1850" t="s">
        <v>3069</v>
      </c>
      <c r="D365" s="1934"/>
      <c r="E365" s="1934" t="s">
        <v>781</v>
      </c>
      <c r="F365" s="1905"/>
      <c r="G365" s="1963" t="s">
        <v>2573</v>
      </c>
      <c r="H365" s="1964" t="s">
        <v>2586</v>
      </c>
      <c r="I365" s="2310"/>
      <c r="J365" s="2534">
        <v>0</v>
      </c>
      <c r="K365" s="1615">
        <v>0</v>
      </c>
      <c r="L365" s="1636">
        <v>0</v>
      </c>
      <c r="M365" s="1636"/>
      <c r="N365" s="1615"/>
      <c r="O365" s="1635"/>
      <c r="P365" s="1965" t="s">
        <v>2566</v>
      </c>
      <c r="Q365" s="1966" t="s">
        <v>2571</v>
      </c>
    </row>
    <row r="366" spans="1:17" ht="12.75" customHeight="1">
      <c r="A366" s="1962"/>
      <c r="B366" s="1840"/>
      <c r="C366" s="1850" t="s">
        <v>3070</v>
      </c>
      <c r="D366" s="1934"/>
      <c r="E366" s="1934" t="s">
        <v>781</v>
      </c>
      <c r="F366" s="1905"/>
      <c r="G366" s="1963" t="s">
        <v>2573</v>
      </c>
      <c r="H366" s="1964" t="s">
        <v>2586</v>
      </c>
      <c r="I366" s="2310"/>
      <c r="J366" s="2534">
        <v>0</v>
      </c>
      <c r="K366" s="1615">
        <v>1400000</v>
      </c>
      <c r="L366" s="1636">
        <v>0</v>
      </c>
      <c r="M366" s="1636"/>
      <c r="N366" s="1615"/>
      <c r="O366" s="1635"/>
      <c r="P366" s="1965" t="s">
        <v>2566</v>
      </c>
      <c r="Q366" s="1966" t="s">
        <v>2571</v>
      </c>
    </row>
    <row r="367" spans="1:17" ht="12.75" customHeight="1">
      <c r="A367" s="1962"/>
      <c r="B367" s="1840"/>
      <c r="C367" s="1850" t="s">
        <v>3071</v>
      </c>
      <c r="D367" s="1934"/>
      <c r="E367" s="1934">
        <v>2</v>
      </c>
      <c r="F367" s="1905"/>
      <c r="G367" s="1963" t="s">
        <v>2578</v>
      </c>
      <c r="H367" s="1964" t="s">
        <v>2814</v>
      </c>
      <c r="I367" s="2310"/>
      <c r="J367" s="2534">
        <v>0</v>
      </c>
      <c r="K367" s="1615">
        <v>1500000</v>
      </c>
      <c r="L367" s="1636">
        <v>0</v>
      </c>
      <c r="M367" s="1636"/>
      <c r="N367" s="1615"/>
      <c r="O367" s="1635"/>
      <c r="P367" s="1965">
        <v>28</v>
      </c>
      <c r="Q367" s="1966" t="s">
        <v>2571</v>
      </c>
    </row>
    <row r="368" spans="1:17" ht="12.75" customHeight="1">
      <c r="A368" s="1962"/>
      <c r="B368" s="1840"/>
      <c r="C368" s="1850" t="s">
        <v>3072</v>
      </c>
      <c r="D368" s="1934"/>
      <c r="E368" s="1934">
        <v>2</v>
      </c>
      <c r="F368" s="1905"/>
      <c r="G368" s="1963" t="s">
        <v>2578</v>
      </c>
      <c r="H368" s="1964" t="s">
        <v>2814</v>
      </c>
      <c r="I368" s="2310"/>
      <c r="J368" s="2534">
        <v>0</v>
      </c>
      <c r="K368" s="1615">
        <v>5000000</v>
      </c>
      <c r="L368" s="1636">
        <v>0</v>
      </c>
      <c r="M368" s="1636"/>
      <c r="N368" s="1615"/>
      <c r="O368" s="1635"/>
      <c r="P368" s="1965">
        <v>14</v>
      </c>
      <c r="Q368" s="1966" t="s">
        <v>2571</v>
      </c>
    </row>
    <row r="369" spans="1:17" ht="12.75" customHeight="1">
      <c r="A369" s="1962"/>
      <c r="B369" s="1840"/>
      <c r="C369" s="1850" t="s">
        <v>3073</v>
      </c>
      <c r="D369" s="1934"/>
      <c r="E369" s="1934" t="s">
        <v>781</v>
      </c>
      <c r="F369" s="1905"/>
      <c r="G369" s="1963" t="s">
        <v>2578</v>
      </c>
      <c r="H369" s="1964" t="s">
        <v>2814</v>
      </c>
      <c r="I369" s="2310"/>
      <c r="J369" s="2534">
        <v>0</v>
      </c>
      <c r="K369" s="1615">
        <v>2000000</v>
      </c>
      <c r="L369" s="1636">
        <v>0</v>
      </c>
      <c r="M369" s="1636"/>
      <c r="N369" s="1615"/>
      <c r="O369" s="1635"/>
      <c r="P369" s="1965" t="s">
        <v>3060</v>
      </c>
      <c r="Q369" s="1966" t="s">
        <v>2571</v>
      </c>
    </row>
    <row r="370" spans="1:17" ht="12.75" customHeight="1">
      <c r="A370" s="1962"/>
      <c r="B370" s="1840"/>
      <c r="C370" s="1850" t="s">
        <v>3074</v>
      </c>
      <c r="D370" s="1934"/>
      <c r="E370" s="1934" t="s">
        <v>781</v>
      </c>
      <c r="F370" s="1905"/>
      <c r="G370" s="1963" t="s">
        <v>2578</v>
      </c>
      <c r="H370" s="1964" t="s">
        <v>2814</v>
      </c>
      <c r="I370" s="2310"/>
      <c r="J370" s="2534">
        <v>0</v>
      </c>
      <c r="K370" s="1615">
        <v>4000000</v>
      </c>
      <c r="L370" s="1636">
        <v>0</v>
      </c>
      <c r="M370" s="1636"/>
      <c r="N370" s="1615"/>
      <c r="O370" s="1635"/>
      <c r="P370" s="1965" t="s">
        <v>3060</v>
      </c>
      <c r="Q370" s="1966" t="s">
        <v>2571</v>
      </c>
    </row>
    <row r="371" spans="1:17" ht="12.75" customHeight="1">
      <c r="A371" s="1962"/>
      <c r="B371" s="1840"/>
      <c r="C371" s="1850" t="s">
        <v>3075</v>
      </c>
      <c r="D371" s="1934"/>
      <c r="E371" s="1934" t="s">
        <v>781</v>
      </c>
      <c r="F371" s="1905"/>
      <c r="G371" s="1963" t="s">
        <v>2578</v>
      </c>
      <c r="H371" s="1964" t="s">
        <v>2814</v>
      </c>
      <c r="I371" s="2310"/>
      <c r="J371" s="2534">
        <v>0</v>
      </c>
      <c r="K371" s="1615">
        <v>2990876</v>
      </c>
      <c r="L371" s="1636">
        <v>0</v>
      </c>
      <c r="M371" s="1636"/>
      <c r="N371" s="1615"/>
      <c r="O371" s="1635"/>
      <c r="P371" s="1965" t="s">
        <v>3076</v>
      </c>
      <c r="Q371" s="1966" t="s">
        <v>2571</v>
      </c>
    </row>
    <row r="372" spans="1:17" ht="12.75" customHeight="1">
      <c r="A372" s="1962"/>
      <c r="B372" s="1840"/>
      <c r="C372" s="1850" t="s">
        <v>3077</v>
      </c>
      <c r="D372" s="1934"/>
      <c r="E372" s="1934" t="s">
        <v>781</v>
      </c>
      <c r="F372" s="1905"/>
      <c r="G372" s="1963" t="s">
        <v>2578</v>
      </c>
      <c r="H372" s="1964" t="s">
        <v>2814</v>
      </c>
      <c r="I372" s="2310"/>
      <c r="J372" s="2534">
        <v>0</v>
      </c>
      <c r="K372" s="1615">
        <v>2000000</v>
      </c>
      <c r="L372" s="1636">
        <v>0</v>
      </c>
      <c r="M372" s="1636"/>
      <c r="N372" s="1615"/>
      <c r="O372" s="1635"/>
      <c r="P372" s="1965"/>
      <c r="Q372" s="1966" t="s">
        <v>2571</v>
      </c>
    </row>
    <row r="373" spans="1:17" ht="12.75" customHeight="1">
      <c r="A373" s="1962"/>
      <c r="B373" s="1840"/>
      <c r="C373" s="1850" t="s">
        <v>3078</v>
      </c>
      <c r="D373" s="1934"/>
      <c r="E373" s="1934" t="s">
        <v>781</v>
      </c>
      <c r="F373" s="1905"/>
      <c r="G373" s="1963" t="s">
        <v>2578</v>
      </c>
      <c r="H373" s="1964" t="s">
        <v>2814</v>
      </c>
      <c r="I373" s="2310"/>
      <c r="J373" s="2534">
        <v>0</v>
      </c>
      <c r="K373" s="1615">
        <v>4300000</v>
      </c>
      <c r="L373" s="1636">
        <v>0</v>
      </c>
      <c r="M373" s="1636"/>
      <c r="N373" s="1615"/>
      <c r="O373" s="1635"/>
      <c r="P373" s="1965" t="s">
        <v>3079</v>
      </c>
      <c r="Q373" s="1966" t="s">
        <v>2571</v>
      </c>
    </row>
    <row r="374" spans="1:17" ht="12.75" customHeight="1">
      <c r="A374" s="1962"/>
      <c r="B374" s="1840"/>
      <c r="C374" s="1850" t="s">
        <v>3080</v>
      </c>
      <c r="D374" s="1934"/>
      <c r="E374" s="1934" t="s">
        <v>781</v>
      </c>
      <c r="F374" s="1905"/>
      <c r="G374" s="1963" t="s">
        <v>2578</v>
      </c>
      <c r="H374" s="1964" t="s">
        <v>2814</v>
      </c>
      <c r="I374" s="2310"/>
      <c r="J374" s="2534">
        <v>0</v>
      </c>
      <c r="K374" s="1615">
        <v>6000000</v>
      </c>
      <c r="L374" s="1636">
        <v>0</v>
      </c>
      <c r="M374" s="1636"/>
      <c r="N374" s="1615"/>
      <c r="O374" s="1635"/>
      <c r="P374" s="1965" t="s">
        <v>3081</v>
      </c>
      <c r="Q374" s="1966" t="s">
        <v>2571</v>
      </c>
    </row>
    <row r="375" spans="1:17" ht="12.75" customHeight="1">
      <c r="A375" s="1962"/>
      <c r="B375" s="1840"/>
      <c r="C375" s="1850" t="s">
        <v>3082</v>
      </c>
      <c r="D375" s="1934"/>
      <c r="E375" s="1934" t="s">
        <v>781</v>
      </c>
      <c r="F375" s="1905"/>
      <c r="G375" s="1963" t="s">
        <v>2578</v>
      </c>
      <c r="H375" s="1964" t="s">
        <v>2814</v>
      </c>
      <c r="I375" s="2310"/>
      <c r="J375" s="2534">
        <v>0</v>
      </c>
      <c r="K375" s="1615">
        <v>5000000</v>
      </c>
      <c r="L375" s="1636">
        <v>0</v>
      </c>
      <c r="M375" s="1636"/>
      <c r="N375" s="1615"/>
      <c r="O375" s="1635"/>
      <c r="P375" s="1965" t="s">
        <v>3083</v>
      </c>
      <c r="Q375" s="1966" t="s">
        <v>2571</v>
      </c>
    </row>
    <row r="376" spans="1:17" ht="12.75" customHeight="1">
      <c r="A376" s="1962"/>
      <c r="B376" s="1840"/>
      <c r="C376" s="1850" t="s">
        <v>3084</v>
      </c>
      <c r="D376" s="1934"/>
      <c r="E376" s="1934" t="s">
        <v>781</v>
      </c>
      <c r="F376" s="1905"/>
      <c r="G376" s="1963" t="s">
        <v>2578</v>
      </c>
      <c r="H376" s="1964" t="s">
        <v>2814</v>
      </c>
      <c r="I376" s="2310"/>
      <c r="J376" s="2534">
        <v>0</v>
      </c>
      <c r="K376" s="1615">
        <v>11000000</v>
      </c>
      <c r="L376" s="1636">
        <v>0</v>
      </c>
      <c r="M376" s="1636"/>
      <c r="N376" s="1615"/>
      <c r="O376" s="1635"/>
      <c r="P376" s="1965" t="s">
        <v>3060</v>
      </c>
      <c r="Q376" s="1966" t="s">
        <v>2571</v>
      </c>
    </row>
    <row r="377" spans="1:17" ht="12.75" customHeight="1">
      <c r="A377" s="1962"/>
      <c r="B377" s="1840"/>
      <c r="C377" s="1850" t="s">
        <v>3085</v>
      </c>
      <c r="D377" s="1934"/>
      <c r="E377" s="1934">
        <v>2</v>
      </c>
      <c r="F377" s="1905"/>
      <c r="G377" s="1963" t="s">
        <v>2573</v>
      </c>
      <c r="H377" s="1964" t="s">
        <v>3086</v>
      </c>
      <c r="I377" s="2310"/>
      <c r="J377" s="2534">
        <v>0</v>
      </c>
      <c r="K377" s="1615">
        <v>200000</v>
      </c>
      <c r="L377" s="1636">
        <v>0</v>
      </c>
      <c r="M377" s="1636"/>
      <c r="N377" s="1615"/>
      <c r="O377" s="1635"/>
      <c r="P377" s="1965" t="s">
        <v>2566</v>
      </c>
      <c r="Q377" s="1966" t="s">
        <v>2587</v>
      </c>
    </row>
    <row r="378" spans="1:17" ht="12.75" customHeight="1">
      <c r="A378" s="1962"/>
      <c r="B378" s="1840"/>
      <c r="C378" s="1850" t="s">
        <v>3087</v>
      </c>
      <c r="D378" s="1934" t="s">
        <v>3088</v>
      </c>
      <c r="E378" s="1934">
        <v>2</v>
      </c>
      <c r="F378" s="1905"/>
      <c r="G378" s="1963" t="s">
        <v>2578</v>
      </c>
      <c r="H378" s="1964" t="s">
        <v>3089</v>
      </c>
      <c r="I378" s="2310"/>
      <c r="J378" s="2534">
        <v>0</v>
      </c>
      <c r="K378" s="1615">
        <v>2350000</v>
      </c>
      <c r="L378" s="1636">
        <v>0</v>
      </c>
      <c r="M378" s="1636"/>
      <c r="N378" s="1615"/>
      <c r="O378" s="1635"/>
      <c r="P378" s="1965" t="s">
        <v>3090</v>
      </c>
      <c r="Q378" s="1966" t="s">
        <v>2587</v>
      </c>
    </row>
    <row r="379" spans="1:17" ht="12.75" customHeight="1">
      <c r="A379" s="1962"/>
      <c r="B379" s="1840"/>
      <c r="C379" s="1850" t="s">
        <v>3091</v>
      </c>
      <c r="D379" s="1934" t="s">
        <v>3092</v>
      </c>
      <c r="E379" s="1934">
        <v>2</v>
      </c>
      <c r="F379" s="1905"/>
      <c r="G379" s="1963" t="s">
        <v>2578</v>
      </c>
      <c r="H379" s="1964" t="s">
        <v>3089</v>
      </c>
      <c r="I379" s="2310"/>
      <c r="J379" s="2534">
        <v>0</v>
      </c>
      <c r="K379" s="1615">
        <v>100000</v>
      </c>
      <c r="L379" s="1636">
        <v>0</v>
      </c>
      <c r="M379" s="1636"/>
      <c r="N379" s="1615"/>
      <c r="O379" s="1635"/>
      <c r="P379" s="1965" t="s">
        <v>2566</v>
      </c>
      <c r="Q379" s="1966" t="s">
        <v>2571</v>
      </c>
    </row>
    <row r="380" spans="1:17" ht="12.75" customHeight="1">
      <c r="A380" s="1962"/>
      <c r="B380" s="1840"/>
      <c r="C380" s="1850" t="s">
        <v>3093</v>
      </c>
      <c r="D380" s="1934"/>
      <c r="E380" s="1934">
        <v>2</v>
      </c>
      <c r="F380" s="1905"/>
      <c r="G380" s="1963" t="s">
        <v>2578</v>
      </c>
      <c r="H380" s="1964" t="s">
        <v>2843</v>
      </c>
      <c r="I380" s="2310"/>
      <c r="J380" s="2534">
        <v>0</v>
      </c>
      <c r="K380" s="1615">
        <v>1000000</v>
      </c>
      <c r="L380" s="1636">
        <v>0</v>
      </c>
      <c r="M380" s="1636"/>
      <c r="N380" s="1615"/>
      <c r="O380" s="1635"/>
      <c r="P380" s="1965" t="s">
        <v>2566</v>
      </c>
      <c r="Q380" s="1966" t="s">
        <v>2571</v>
      </c>
    </row>
    <row r="381" spans="1:17" ht="12.75" customHeight="1">
      <c r="A381" s="1962"/>
      <c r="B381" s="1840"/>
      <c r="C381" s="1850" t="s">
        <v>3094</v>
      </c>
      <c r="D381" s="1934" t="s">
        <v>3095</v>
      </c>
      <c r="E381" s="1934">
        <v>2</v>
      </c>
      <c r="F381" s="1905"/>
      <c r="G381" s="1963" t="s">
        <v>2578</v>
      </c>
      <c r="H381" s="1964" t="s">
        <v>2836</v>
      </c>
      <c r="I381" s="2310"/>
      <c r="J381" s="2534">
        <v>0</v>
      </c>
      <c r="K381" s="1615">
        <v>750000</v>
      </c>
      <c r="L381" s="1636">
        <v>0</v>
      </c>
      <c r="M381" s="1636"/>
      <c r="N381" s="1615"/>
      <c r="O381" s="1635"/>
      <c r="P381" s="1965" t="s">
        <v>2566</v>
      </c>
      <c r="Q381" s="1966" t="s">
        <v>2587</v>
      </c>
    </row>
    <row r="382" spans="1:17" ht="12.75" customHeight="1">
      <c r="A382" s="1962"/>
      <c r="B382" s="1840"/>
      <c r="C382" s="1850" t="s">
        <v>3096</v>
      </c>
      <c r="D382" s="1934" t="s">
        <v>3097</v>
      </c>
      <c r="E382" s="1934">
        <v>2</v>
      </c>
      <c r="F382" s="1905"/>
      <c r="G382" s="1963" t="s">
        <v>2578</v>
      </c>
      <c r="H382" s="1964" t="s">
        <v>3089</v>
      </c>
      <c r="I382" s="2310"/>
      <c r="J382" s="2534">
        <v>0</v>
      </c>
      <c r="K382" s="1615">
        <v>500000</v>
      </c>
      <c r="L382" s="1636">
        <v>0</v>
      </c>
      <c r="M382" s="1636"/>
      <c r="N382" s="1615"/>
      <c r="O382" s="1635"/>
      <c r="P382" s="1965">
        <v>17</v>
      </c>
      <c r="Q382" s="1966" t="s">
        <v>2571</v>
      </c>
    </row>
    <row r="383" spans="1:17" ht="12.75" customHeight="1">
      <c r="A383" s="1962"/>
      <c r="B383" s="1840"/>
      <c r="C383" s="1850" t="s">
        <v>3098</v>
      </c>
      <c r="D383" s="1934" t="s">
        <v>3099</v>
      </c>
      <c r="E383" s="1934">
        <v>2</v>
      </c>
      <c r="F383" s="1905"/>
      <c r="G383" s="1963" t="s">
        <v>2578</v>
      </c>
      <c r="H383" s="1964" t="s">
        <v>2836</v>
      </c>
      <c r="I383" s="2310"/>
      <c r="J383" s="2534">
        <v>0</v>
      </c>
      <c r="K383" s="1615">
        <v>80000000</v>
      </c>
      <c r="L383" s="1636">
        <v>0</v>
      </c>
      <c r="M383" s="1636"/>
      <c r="N383" s="1615"/>
      <c r="O383" s="1635"/>
      <c r="P383" s="1965" t="s">
        <v>2566</v>
      </c>
      <c r="Q383" s="1966" t="s">
        <v>2571</v>
      </c>
    </row>
    <row r="384" spans="1:17" ht="12.75" customHeight="1">
      <c r="A384" s="1962"/>
      <c r="B384" s="1840"/>
      <c r="C384" s="1850" t="s">
        <v>2857</v>
      </c>
      <c r="D384" s="1934" t="s">
        <v>3100</v>
      </c>
      <c r="E384" s="1934">
        <v>2</v>
      </c>
      <c r="F384" s="1905"/>
      <c r="G384" s="1963" t="s">
        <v>2578</v>
      </c>
      <c r="H384" s="1964" t="s">
        <v>2836</v>
      </c>
      <c r="I384" s="2310"/>
      <c r="J384" s="2534">
        <v>0</v>
      </c>
      <c r="K384" s="1615">
        <v>160000</v>
      </c>
      <c r="L384" s="1636">
        <v>0</v>
      </c>
      <c r="M384" s="1636"/>
      <c r="N384" s="1615"/>
      <c r="O384" s="1635"/>
      <c r="P384" s="1965" t="s">
        <v>2566</v>
      </c>
      <c r="Q384" s="1966" t="s">
        <v>2571</v>
      </c>
    </row>
    <row r="385" spans="1:17" ht="12.75" customHeight="1">
      <c r="A385" s="1962"/>
      <c r="B385" s="1840"/>
      <c r="C385" s="1850" t="s">
        <v>3101</v>
      </c>
      <c r="D385" s="1934" t="s">
        <v>3102</v>
      </c>
      <c r="E385" s="1934">
        <v>2</v>
      </c>
      <c r="F385" s="1905"/>
      <c r="G385" s="1963" t="s">
        <v>2578</v>
      </c>
      <c r="H385" s="1964" t="s">
        <v>2836</v>
      </c>
      <c r="I385" s="2310"/>
      <c r="J385" s="2534">
        <v>0</v>
      </c>
      <c r="K385" s="1615">
        <v>1400000</v>
      </c>
      <c r="L385" s="1636">
        <v>0</v>
      </c>
      <c r="M385" s="1636"/>
      <c r="N385" s="1615"/>
      <c r="O385" s="1635"/>
      <c r="P385" s="1965">
        <v>11</v>
      </c>
      <c r="Q385" s="1966" t="s">
        <v>2571</v>
      </c>
    </row>
    <row r="386" spans="1:17" ht="12.75" customHeight="1">
      <c r="A386" s="1962"/>
      <c r="B386" s="1840"/>
      <c r="C386" s="1850" t="s">
        <v>2863</v>
      </c>
      <c r="D386" s="1934"/>
      <c r="E386" s="1934">
        <v>2</v>
      </c>
      <c r="F386" s="1905"/>
      <c r="G386" s="1963" t="s">
        <v>2578</v>
      </c>
      <c r="H386" s="1964" t="s">
        <v>2836</v>
      </c>
      <c r="I386" s="2310"/>
      <c r="J386" s="2534">
        <v>0</v>
      </c>
      <c r="K386" s="1615">
        <v>10000</v>
      </c>
      <c r="L386" s="1636">
        <v>0</v>
      </c>
      <c r="M386" s="1636"/>
      <c r="N386" s="1615"/>
      <c r="O386" s="1635"/>
      <c r="P386" s="1965" t="s">
        <v>2566</v>
      </c>
      <c r="Q386" s="1966" t="s">
        <v>2587</v>
      </c>
    </row>
    <row r="387" spans="1:17" ht="12.75" customHeight="1">
      <c r="A387" s="1962"/>
      <c r="B387" s="1840"/>
      <c r="C387" s="1850" t="s">
        <v>3103</v>
      </c>
      <c r="D387" s="1934" t="s">
        <v>3104</v>
      </c>
      <c r="E387" s="1934">
        <v>2</v>
      </c>
      <c r="F387" s="1905"/>
      <c r="G387" s="1963" t="s">
        <v>2578</v>
      </c>
      <c r="H387" s="1964" t="s">
        <v>2836</v>
      </c>
      <c r="I387" s="2310"/>
      <c r="J387" s="2534">
        <v>0</v>
      </c>
      <c r="K387" s="1615">
        <v>500000</v>
      </c>
      <c r="L387" s="1636">
        <v>0</v>
      </c>
      <c r="M387" s="1636"/>
      <c r="N387" s="1615"/>
      <c r="O387" s="1635"/>
      <c r="P387" s="1965" t="s">
        <v>2566</v>
      </c>
      <c r="Q387" s="1966" t="s">
        <v>2587</v>
      </c>
    </row>
    <row r="388" spans="1:17" ht="12.75" customHeight="1">
      <c r="A388" s="1962"/>
      <c r="B388" s="1840"/>
      <c r="C388" s="1850" t="s">
        <v>3105</v>
      </c>
      <c r="D388" s="1934" t="s">
        <v>3106</v>
      </c>
      <c r="E388" s="1934">
        <v>2</v>
      </c>
      <c r="F388" s="1905"/>
      <c r="G388" s="1963" t="s">
        <v>2578</v>
      </c>
      <c r="H388" s="1964" t="s">
        <v>2836</v>
      </c>
      <c r="I388" s="2310"/>
      <c r="J388" s="2534">
        <v>0</v>
      </c>
      <c r="K388" s="1615">
        <v>250000</v>
      </c>
      <c r="L388" s="1636">
        <v>0</v>
      </c>
      <c r="M388" s="1636"/>
      <c r="N388" s="1615"/>
      <c r="O388" s="1635"/>
      <c r="P388" s="1965" t="s">
        <v>2566</v>
      </c>
      <c r="Q388" s="1966" t="s">
        <v>2587</v>
      </c>
    </row>
    <row r="389" spans="1:17" ht="12.75" customHeight="1">
      <c r="A389" s="1962"/>
      <c r="B389" s="1840"/>
      <c r="C389" s="1850" t="s">
        <v>2866</v>
      </c>
      <c r="D389" s="1934" t="s">
        <v>3107</v>
      </c>
      <c r="E389" s="1934">
        <v>2</v>
      </c>
      <c r="F389" s="1905"/>
      <c r="G389" s="1963" t="s">
        <v>2578</v>
      </c>
      <c r="H389" s="1964" t="s">
        <v>2867</v>
      </c>
      <c r="I389" s="2310"/>
      <c r="J389" s="2534">
        <v>0</v>
      </c>
      <c r="K389" s="1615">
        <v>150000</v>
      </c>
      <c r="L389" s="1636">
        <v>0</v>
      </c>
      <c r="M389" s="1636"/>
      <c r="N389" s="1615"/>
      <c r="O389" s="1635"/>
      <c r="P389" s="1965" t="s">
        <v>2566</v>
      </c>
      <c r="Q389" s="1966" t="s">
        <v>2587</v>
      </c>
    </row>
    <row r="390" spans="1:17" ht="12.75" customHeight="1">
      <c r="A390" s="1962"/>
      <c r="B390" s="1840"/>
      <c r="C390" s="1850" t="s">
        <v>3108</v>
      </c>
      <c r="D390" s="1934" t="s">
        <v>3109</v>
      </c>
      <c r="E390" s="1934">
        <v>2</v>
      </c>
      <c r="F390" s="1905"/>
      <c r="G390" s="1963" t="s">
        <v>2573</v>
      </c>
      <c r="H390" s="1964" t="s">
        <v>3110</v>
      </c>
      <c r="I390" s="2310"/>
      <c r="J390" s="2534">
        <v>0</v>
      </c>
      <c r="K390" s="1615">
        <v>300000</v>
      </c>
      <c r="L390" s="1636">
        <v>0</v>
      </c>
      <c r="M390" s="1636"/>
      <c r="N390" s="1615"/>
      <c r="O390" s="1635"/>
      <c r="P390" s="1965" t="s">
        <v>2566</v>
      </c>
      <c r="Q390" s="1966" t="s">
        <v>2571</v>
      </c>
    </row>
    <row r="391" spans="1:17" ht="12.75" customHeight="1">
      <c r="A391" s="1962"/>
      <c r="B391" s="1840"/>
      <c r="C391" s="1850" t="s">
        <v>3111</v>
      </c>
      <c r="D391" s="1934" t="s">
        <v>3112</v>
      </c>
      <c r="E391" s="1934">
        <v>2</v>
      </c>
      <c r="F391" s="1905"/>
      <c r="G391" s="1963" t="s">
        <v>2578</v>
      </c>
      <c r="H391" s="1964" t="s">
        <v>3089</v>
      </c>
      <c r="I391" s="2310"/>
      <c r="J391" s="2534">
        <v>0</v>
      </c>
      <c r="K391" s="1615">
        <v>3900000</v>
      </c>
      <c r="L391" s="1636">
        <v>0</v>
      </c>
      <c r="M391" s="1636"/>
      <c r="N391" s="1615"/>
      <c r="O391" s="1635"/>
      <c r="P391" s="1965">
        <v>18</v>
      </c>
      <c r="Q391" s="1966" t="s">
        <v>2571</v>
      </c>
    </row>
    <row r="392" spans="1:17" ht="12.75" customHeight="1">
      <c r="A392" s="1962"/>
      <c r="B392" s="1840"/>
      <c r="C392" s="1850" t="s">
        <v>3113</v>
      </c>
      <c r="D392" s="1934" t="s">
        <v>3114</v>
      </c>
      <c r="E392" s="1934">
        <v>2</v>
      </c>
      <c r="F392" s="1905"/>
      <c r="G392" s="1963" t="s">
        <v>2578</v>
      </c>
      <c r="H392" s="1964" t="s">
        <v>3089</v>
      </c>
      <c r="I392" s="2310"/>
      <c r="J392" s="2534">
        <v>0</v>
      </c>
      <c r="K392" s="1615">
        <v>5200000</v>
      </c>
      <c r="L392" s="1636">
        <v>0</v>
      </c>
      <c r="M392" s="1636"/>
      <c r="N392" s="1615"/>
      <c r="O392" s="1635"/>
      <c r="P392" s="1965">
        <v>19</v>
      </c>
      <c r="Q392" s="1966" t="s">
        <v>2571</v>
      </c>
    </row>
    <row r="393" spans="1:17" ht="12.75" customHeight="1">
      <c r="A393" s="1962"/>
      <c r="B393" s="1840"/>
      <c r="C393" s="1850" t="s">
        <v>3115</v>
      </c>
      <c r="D393" s="1934" t="s">
        <v>3116</v>
      </c>
      <c r="E393" s="1934">
        <v>2</v>
      </c>
      <c r="F393" s="1905"/>
      <c r="G393" s="1963" t="s">
        <v>2578</v>
      </c>
      <c r="H393" s="1964" t="s">
        <v>3089</v>
      </c>
      <c r="I393" s="2310"/>
      <c r="J393" s="2534">
        <v>0</v>
      </c>
      <c r="K393" s="1615">
        <v>1950000</v>
      </c>
      <c r="L393" s="1636">
        <v>0</v>
      </c>
      <c r="M393" s="1636"/>
      <c r="N393" s="1615"/>
      <c r="O393" s="1635"/>
      <c r="P393" s="1965">
        <v>18</v>
      </c>
      <c r="Q393" s="1966" t="s">
        <v>2571</v>
      </c>
    </row>
    <row r="394" spans="1:17" ht="12.75" customHeight="1">
      <c r="A394" s="1962"/>
      <c r="B394" s="1840"/>
      <c r="C394" s="1850" t="s">
        <v>2915</v>
      </c>
      <c r="D394" s="1934" t="s">
        <v>3117</v>
      </c>
      <c r="E394" s="1934" t="s">
        <v>781</v>
      </c>
      <c r="F394" s="1905"/>
      <c r="G394" s="1963" t="s">
        <v>2578</v>
      </c>
      <c r="H394" s="1964" t="s">
        <v>2906</v>
      </c>
      <c r="I394" s="2310"/>
      <c r="J394" s="2534">
        <v>0</v>
      </c>
      <c r="K394" s="1615">
        <v>12000000</v>
      </c>
      <c r="L394" s="1636">
        <v>0</v>
      </c>
      <c r="M394" s="1636"/>
      <c r="N394" s="1615"/>
      <c r="O394" s="1635"/>
      <c r="P394" s="1965" t="s">
        <v>3118</v>
      </c>
      <c r="Q394" s="1966" t="s">
        <v>2571</v>
      </c>
    </row>
    <row r="395" spans="1:17" ht="12.75" customHeight="1">
      <c r="A395" s="1962"/>
      <c r="B395" s="1840"/>
      <c r="C395" s="1850" t="s">
        <v>3119</v>
      </c>
      <c r="D395" s="1934" t="s">
        <v>3120</v>
      </c>
      <c r="E395" s="1934" t="s">
        <v>781</v>
      </c>
      <c r="F395" s="1905"/>
      <c r="G395" s="1963" t="s">
        <v>2578</v>
      </c>
      <c r="H395" s="1964" t="s">
        <v>2906</v>
      </c>
      <c r="I395" s="2310"/>
      <c r="J395" s="2534">
        <v>0</v>
      </c>
      <c r="K395" s="1615">
        <v>10295818</v>
      </c>
      <c r="L395" s="1636">
        <v>0</v>
      </c>
      <c r="M395" s="1636"/>
      <c r="N395" s="1615"/>
      <c r="O395" s="1635"/>
      <c r="P395" s="1965" t="s">
        <v>3121</v>
      </c>
      <c r="Q395" s="1966" t="s">
        <v>2571</v>
      </c>
    </row>
    <row r="396" spans="1:17" ht="12.75" customHeight="1">
      <c r="A396" s="1962"/>
      <c r="B396" s="1840"/>
      <c r="C396" s="1850" t="s">
        <v>3119</v>
      </c>
      <c r="D396" s="1934" t="s">
        <v>3122</v>
      </c>
      <c r="E396" s="1934" t="s">
        <v>781</v>
      </c>
      <c r="F396" s="1905"/>
      <c r="G396" s="1963" t="s">
        <v>2578</v>
      </c>
      <c r="H396" s="1964" t="s">
        <v>2906</v>
      </c>
      <c r="I396" s="2310"/>
      <c r="J396" s="2534">
        <v>0</v>
      </c>
      <c r="K396" s="1615">
        <v>10000000</v>
      </c>
      <c r="L396" s="1636">
        <v>0</v>
      </c>
      <c r="M396" s="1636"/>
      <c r="N396" s="1615"/>
      <c r="O396" s="1635"/>
      <c r="P396" s="1965" t="s">
        <v>3123</v>
      </c>
      <c r="Q396" s="1966" t="s">
        <v>2571</v>
      </c>
    </row>
    <row r="397" spans="1:17" ht="12.75" customHeight="1">
      <c r="A397" s="1962"/>
      <c r="B397" s="1840"/>
      <c r="C397" s="1850" t="s">
        <v>3119</v>
      </c>
      <c r="D397" s="1934" t="s">
        <v>3124</v>
      </c>
      <c r="E397" s="1934" t="s">
        <v>781</v>
      </c>
      <c r="F397" s="1905"/>
      <c r="G397" s="1963" t="s">
        <v>2578</v>
      </c>
      <c r="H397" s="1964" t="s">
        <v>2906</v>
      </c>
      <c r="I397" s="2310"/>
      <c r="J397" s="2534">
        <v>0</v>
      </c>
      <c r="K397" s="1615">
        <v>10000000</v>
      </c>
      <c r="L397" s="1636">
        <v>0</v>
      </c>
      <c r="M397" s="1636"/>
      <c r="N397" s="1615"/>
      <c r="O397" s="1635"/>
      <c r="P397" s="1965" t="s">
        <v>3125</v>
      </c>
      <c r="Q397" s="1966" t="s">
        <v>2571</v>
      </c>
    </row>
    <row r="398" spans="1:17" ht="12.75" customHeight="1">
      <c r="A398" s="1962"/>
      <c r="B398" s="1840"/>
      <c r="C398" s="1850" t="s">
        <v>3119</v>
      </c>
      <c r="D398" s="1934" t="s">
        <v>3126</v>
      </c>
      <c r="E398" s="1934" t="s">
        <v>781</v>
      </c>
      <c r="F398" s="1905"/>
      <c r="G398" s="1963" t="s">
        <v>2578</v>
      </c>
      <c r="H398" s="1964" t="s">
        <v>2906</v>
      </c>
      <c r="I398" s="2310"/>
      <c r="J398" s="2534">
        <v>0</v>
      </c>
      <c r="K398" s="1615">
        <v>10000000</v>
      </c>
      <c r="L398" s="1636">
        <v>0</v>
      </c>
      <c r="M398" s="1636"/>
      <c r="N398" s="1615"/>
      <c r="O398" s="1635"/>
      <c r="P398" s="1965" t="s">
        <v>3083</v>
      </c>
      <c r="Q398" s="1966" t="s">
        <v>2571</v>
      </c>
    </row>
    <row r="399" spans="1:17" ht="12.75" customHeight="1">
      <c r="A399" s="1962"/>
      <c r="B399" s="1840"/>
      <c r="C399" s="1850" t="s">
        <v>3127</v>
      </c>
      <c r="D399" s="1934" t="s">
        <v>3128</v>
      </c>
      <c r="E399" s="1934" t="s">
        <v>781</v>
      </c>
      <c r="F399" s="1905"/>
      <c r="G399" s="1963" t="s">
        <v>2578</v>
      </c>
      <c r="H399" s="1964" t="s">
        <v>2906</v>
      </c>
      <c r="I399" s="2310"/>
      <c r="J399" s="2534">
        <v>0</v>
      </c>
      <c r="K399" s="1615">
        <v>10000000</v>
      </c>
      <c r="L399" s="1636">
        <v>0</v>
      </c>
      <c r="M399" s="1636"/>
      <c r="N399" s="1615"/>
      <c r="O399" s="1635"/>
      <c r="P399" s="1965" t="s">
        <v>3076</v>
      </c>
      <c r="Q399" s="1966" t="s">
        <v>2571</v>
      </c>
    </row>
    <row r="400" spans="1:17" ht="12.75" customHeight="1">
      <c r="A400" s="1962"/>
      <c r="B400" s="1840"/>
      <c r="C400" s="1850" t="s">
        <v>3129</v>
      </c>
      <c r="D400" s="1934" t="s">
        <v>3130</v>
      </c>
      <c r="E400" s="1934" t="s">
        <v>781</v>
      </c>
      <c r="F400" s="1905"/>
      <c r="G400" s="1963" t="s">
        <v>2578</v>
      </c>
      <c r="H400" s="1964" t="s">
        <v>2906</v>
      </c>
      <c r="I400" s="2310"/>
      <c r="J400" s="2534">
        <v>0</v>
      </c>
      <c r="K400" s="1615">
        <v>10000000</v>
      </c>
      <c r="L400" s="1636">
        <v>0</v>
      </c>
      <c r="M400" s="1636"/>
      <c r="N400" s="1615"/>
      <c r="O400" s="1635"/>
      <c r="P400" s="1965" t="s">
        <v>3131</v>
      </c>
      <c r="Q400" s="1966" t="s">
        <v>2571</v>
      </c>
    </row>
    <row r="401" spans="1:17" ht="12.75" customHeight="1">
      <c r="A401" s="1962"/>
      <c r="B401" s="1840"/>
      <c r="C401" s="1850" t="s">
        <v>3132</v>
      </c>
      <c r="D401" s="1934" t="s">
        <v>3133</v>
      </c>
      <c r="E401" s="1934" t="s">
        <v>781</v>
      </c>
      <c r="F401" s="1905"/>
      <c r="G401" s="1963" t="s">
        <v>2578</v>
      </c>
      <c r="H401" s="1964" t="s">
        <v>2906</v>
      </c>
      <c r="I401" s="2310"/>
      <c r="J401" s="2534">
        <v>0</v>
      </c>
      <c r="K401" s="1615">
        <v>10000000</v>
      </c>
      <c r="L401" s="1636">
        <v>0</v>
      </c>
      <c r="M401" s="1636"/>
      <c r="N401" s="1615"/>
      <c r="O401" s="1635"/>
      <c r="P401" s="1965" t="s">
        <v>3060</v>
      </c>
      <c r="Q401" s="1966" t="s">
        <v>2571</v>
      </c>
    </row>
    <row r="402" spans="1:17" ht="12.75" customHeight="1">
      <c r="A402" s="1962"/>
      <c r="B402" s="1840"/>
      <c r="C402" s="1850" t="s">
        <v>3134</v>
      </c>
      <c r="D402" s="1934"/>
      <c r="E402" s="1934" t="s">
        <v>781</v>
      </c>
      <c r="F402" s="1905"/>
      <c r="G402" s="1963" t="s">
        <v>2578</v>
      </c>
      <c r="H402" s="1964" t="s">
        <v>3135</v>
      </c>
      <c r="I402" s="2310"/>
      <c r="J402" s="2534">
        <v>0</v>
      </c>
      <c r="K402" s="1615">
        <v>178000000</v>
      </c>
      <c r="L402" s="1636">
        <v>0</v>
      </c>
      <c r="M402" s="1636"/>
      <c r="N402" s="1615"/>
      <c r="O402" s="1635"/>
      <c r="P402" s="1965" t="s">
        <v>2566</v>
      </c>
      <c r="Q402" s="1966" t="s">
        <v>2571</v>
      </c>
    </row>
    <row r="403" spans="1:17" ht="12.75" customHeight="1">
      <c r="A403" s="1962"/>
      <c r="B403" s="1840"/>
      <c r="C403" s="1850" t="s">
        <v>3136</v>
      </c>
      <c r="D403" s="1934"/>
      <c r="E403" s="1934" t="s">
        <v>781</v>
      </c>
      <c r="F403" s="1905"/>
      <c r="G403" s="1963" t="s">
        <v>2573</v>
      </c>
      <c r="H403" s="1964" t="s">
        <v>3137</v>
      </c>
      <c r="I403" s="2310"/>
      <c r="J403" s="2534">
        <v>0</v>
      </c>
      <c r="K403" s="1615">
        <v>280000</v>
      </c>
      <c r="L403" s="1636">
        <v>0</v>
      </c>
      <c r="M403" s="1636"/>
      <c r="N403" s="1615"/>
      <c r="O403" s="1635"/>
      <c r="P403" s="1965" t="s">
        <v>2566</v>
      </c>
      <c r="Q403" s="1966" t="s">
        <v>2571</v>
      </c>
    </row>
    <row r="404" spans="1:17" ht="12.75" customHeight="1">
      <c r="A404" s="1962"/>
      <c r="B404" s="1840"/>
      <c r="C404" s="1850" t="s">
        <v>3138</v>
      </c>
      <c r="D404" s="1934"/>
      <c r="E404" s="1934" t="s">
        <v>781</v>
      </c>
      <c r="F404" s="1905"/>
      <c r="G404" s="1963" t="s">
        <v>2573</v>
      </c>
      <c r="H404" s="1964" t="s">
        <v>2657</v>
      </c>
      <c r="I404" s="2310"/>
      <c r="J404" s="2534">
        <v>0</v>
      </c>
      <c r="K404" s="1615">
        <v>50000</v>
      </c>
      <c r="L404" s="1636">
        <v>0</v>
      </c>
      <c r="M404" s="1636"/>
      <c r="N404" s="1615"/>
      <c r="O404" s="1635"/>
      <c r="P404" s="1965" t="s">
        <v>2566</v>
      </c>
      <c r="Q404" s="1966" t="s">
        <v>2571</v>
      </c>
    </row>
    <row r="405" spans="1:17" ht="12.75" customHeight="1">
      <c r="A405" s="1962"/>
      <c r="B405" s="1840"/>
      <c r="C405" s="1850" t="s">
        <v>3139</v>
      </c>
      <c r="D405" s="1934"/>
      <c r="E405" s="1934">
        <v>2</v>
      </c>
      <c r="F405" s="1905"/>
      <c r="G405" s="1963" t="s">
        <v>2578</v>
      </c>
      <c r="H405" s="1964" t="s">
        <v>3140</v>
      </c>
      <c r="I405" s="2310"/>
      <c r="J405" s="2534">
        <v>0</v>
      </c>
      <c r="K405" s="1615">
        <v>3000000</v>
      </c>
      <c r="L405" s="1636">
        <v>0</v>
      </c>
      <c r="M405" s="1636"/>
      <c r="N405" s="1615"/>
      <c r="O405" s="1635"/>
      <c r="P405" s="1965">
        <v>4</v>
      </c>
      <c r="Q405" s="1966" t="s">
        <v>2571</v>
      </c>
    </row>
    <row r="406" spans="1:17" ht="12.75" customHeight="1">
      <c r="A406" s="1962"/>
      <c r="B406" s="1840"/>
      <c r="C406" s="1850" t="s">
        <v>3141</v>
      </c>
      <c r="D406" s="1934"/>
      <c r="E406" s="1934" t="s">
        <v>781</v>
      </c>
      <c r="F406" s="1905"/>
      <c r="G406" s="1963" t="s">
        <v>2573</v>
      </c>
      <c r="H406" s="1964" t="s">
        <v>3142</v>
      </c>
      <c r="I406" s="2310"/>
      <c r="J406" s="2534">
        <v>0</v>
      </c>
      <c r="K406" s="1615">
        <v>330000</v>
      </c>
      <c r="L406" s="1636">
        <v>0</v>
      </c>
      <c r="M406" s="1636"/>
      <c r="N406" s="1615"/>
      <c r="O406" s="1635"/>
      <c r="P406" s="1965" t="s">
        <v>2566</v>
      </c>
      <c r="Q406" s="1966" t="s">
        <v>2587</v>
      </c>
    </row>
    <row r="407" spans="1:17" ht="12.75" customHeight="1">
      <c r="A407" s="1962"/>
      <c r="B407" s="1840"/>
      <c r="C407" s="1850" t="s">
        <v>3143</v>
      </c>
      <c r="D407" s="1934" t="s">
        <v>3144</v>
      </c>
      <c r="E407" s="1934"/>
      <c r="F407" s="1905"/>
      <c r="G407" s="1963" t="s">
        <v>2578</v>
      </c>
      <c r="H407" s="1964" t="s">
        <v>2709</v>
      </c>
      <c r="I407" s="2310"/>
      <c r="J407" s="2534">
        <v>0</v>
      </c>
      <c r="K407" s="1615">
        <v>10206182</v>
      </c>
      <c r="L407" s="1636">
        <v>0</v>
      </c>
      <c r="M407" s="1636"/>
      <c r="N407" s="1615"/>
      <c r="O407" s="1635"/>
      <c r="P407" s="1965" t="s">
        <v>3145</v>
      </c>
      <c r="Q407" s="1966" t="s">
        <v>2571</v>
      </c>
    </row>
    <row r="408" spans="1:17" ht="12.75" customHeight="1">
      <c r="A408" s="1962"/>
      <c r="B408" s="1840"/>
      <c r="C408" s="1850" t="s">
        <v>3146</v>
      </c>
      <c r="D408" s="1934"/>
      <c r="E408" s="1934" t="s">
        <v>781</v>
      </c>
      <c r="F408" s="1905"/>
      <c r="G408" s="1963" t="s">
        <v>2578</v>
      </c>
      <c r="H408" s="1964" t="s">
        <v>2709</v>
      </c>
      <c r="I408" s="2310"/>
      <c r="J408" s="2534">
        <v>0</v>
      </c>
      <c r="K408" s="1615">
        <v>9792964</v>
      </c>
      <c r="L408" s="1636">
        <v>0</v>
      </c>
      <c r="M408" s="1636"/>
      <c r="N408" s="1615"/>
      <c r="O408" s="1635"/>
      <c r="P408" s="1965" t="s">
        <v>3076</v>
      </c>
      <c r="Q408" s="1966" t="s">
        <v>2571</v>
      </c>
    </row>
    <row r="409" spans="1:17" ht="12.75" customHeight="1">
      <c r="A409" s="1962"/>
      <c r="B409" s="1840"/>
      <c r="C409" s="1850" t="s">
        <v>3147</v>
      </c>
      <c r="D409" s="1934" t="s">
        <v>3148</v>
      </c>
      <c r="E409" s="1934">
        <v>2</v>
      </c>
      <c r="F409" s="1905"/>
      <c r="G409" s="1963" t="s">
        <v>2578</v>
      </c>
      <c r="H409" s="1964" t="s">
        <v>2709</v>
      </c>
      <c r="I409" s="2310"/>
      <c r="J409" s="2534">
        <v>0</v>
      </c>
      <c r="K409" s="1615">
        <v>3000000</v>
      </c>
      <c r="L409" s="1636">
        <v>0</v>
      </c>
      <c r="M409" s="1636"/>
      <c r="N409" s="1615"/>
      <c r="O409" s="1635"/>
      <c r="P409" s="1965" t="s">
        <v>3149</v>
      </c>
      <c r="Q409" s="1966" t="s">
        <v>2587</v>
      </c>
    </row>
    <row r="410" spans="1:17" ht="12.75" customHeight="1">
      <c r="A410" s="1962"/>
      <c r="B410" s="1840"/>
      <c r="C410" s="1850" t="s">
        <v>3150</v>
      </c>
      <c r="D410" s="1934" t="s">
        <v>3151</v>
      </c>
      <c r="E410" s="1934">
        <v>2</v>
      </c>
      <c r="F410" s="1905"/>
      <c r="G410" s="1963" t="s">
        <v>2578</v>
      </c>
      <c r="H410" s="1964" t="s">
        <v>2584</v>
      </c>
      <c r="I410" s="2310"/>
      <c r="J410" s="2534">
        <v>0</v>
      </c>
      <c r="K410" s="1615">
        <v>1390000</v>
      </c>
      <c r="L410" s="1636">
        <v>0</v>
      </c>
      <c r="M410" s="1636"/>
      <c r="N410" s="1615"/>
      <c r="O410" s="1635"/>
      <c r="P410" s="1965" t="s">
        <v>3066</v>
      </c>
      <c r="Q410" s="1966" t="s">
        <v>2587</v>
      </c>
    </row>
    <row r="411" spans="1:17" ht="12.75" customHeight="1">
      <c r="A411" s="1962"/>
      <c r="B411" s="1840"/>
      <c r="C411" s="1850" t="s">
        <v>3152</v>
      </c>
      <c r="D411" s="1934"/>
      <c r="E411" s="1934">
        <v>3</v>
      </c>
      <c r="F411" s="1905"/>
      <c r="G411" s="1963" t="s">
        <v>2573</v>
      </c>
      <c r="H411" s="1964" t="s">
        <v>2594</v>
      </c>
      <c r="I411" s="2310"/>
      <c r="J411" s="2534">
        <v>0</v>
      </c>
      <c r="K411" s="1615">
        <v>600000</v>
      </c>
      <c r="L411" s="1636">
        <v>0</v>
      </c>
      <c r="M411" s="1636"/>
      <c r="N411" s="1615"/>
      <c r="O411" s="1635"/>
      <c r="P411" s="1965" t="s">
        <v>2566</v>
      </c>
      <c r="Q411" s="1966" t="s">
        <v>2571</v>
      </c>
    </row>
    <row r="412" spans="1:17" ht="12.75" customHeight="1">
      <c r="A412" s="1962"/>
      <c r="B412" s="1840"/>
      <c r="C412" s="1850" t="s">
        <v>3153</v>
      </c>
      <c r="D412" s="1934"/>
      <c r="E412" s="1934" t="s">
        <v>781</v>
      </c>
      <c r="F412" s="1905"/>
      <c r="G412" s="1963" t="s">
        <v>2573</v>
      </c>
      <c r="H412" s="1964" t="s">
        <v>3153</v>
      </c>
      <c r="I412" s="2310"/>
      <c r="J412" s="2534">
        <v>0</v>
      </c>
      <c r="K412" s="1615">
        <v>500000</v>
      </c>
      <c r="L412" s="1636">
        <v>0</v>
      </c>
      <c r="M412" s="1636"/>
      <c r="N412" s="1615"/>
      <c r="O412" s="1635"/>
      <c r="P412" s="1965" t="s">
        <v>2566</v>
      </c>
      <c r="Q412" s="1966" t="s">
        <v>2571</v>
      </c>
    </row>
    <row r="413" spans="1:17" ht="12.75" customHeight="1">
      <c r="A413" s="1962"/>
      <c r="B413" s="1840"/>
      <c r="C413" s="1850" t="s">
        <v>2958</v>
      </c>
      <c r="D413" s="1934"/>
      <c r="E413" s="1934">
        <v>2</v>
      </c>
      <c r="F413" s="1905"/>
      <c r="G413" s="1963" t="s">
        <v>2573</v>
      </c>
      <c r="H413" s="1964" t="s">
        <v>2980</v>
      </c>
      <c r="I413" s="2310"/>
      <c r="J413" s="2534">
        <v>0</v>
      </c>
      <c r="K413" s="1615">
        <v>3000000</v>
      </c>
      <c r="L413" s="1636">
        <v>0</v>
      </c>
      <c r="M413" s="1636"/>
      <c r="N413" s="1615"/>
      <c r="O413" s="1635"/>
      <c r="P413" s="1965">
        <v>0</v>
      </c>
      <c r="Q413" s="1966" t="s">
        <v>2571</v>
      </c>
    </row>
    <row r="414" spans="1:17" ht="12.75" customHeight="1">
      <c r="A414" s="1962"/>
      <c r="B414" s="1840"/>
      <c r="C414" s="1850" t="s">
        <v>3154</v>
      </c>
      <c r="D414" s="1934" t="s">
        <v>3155</v>
      </c>
      <c r="E414" s="1934" t="s">
        <v>781</v>
      </c>
      <c r="F414" s="1905"/>
      <c r="G414" s="1963" t="s">
        <v>2573</v>
      </c>
      <c r="H414" s="1964" t="s">
        <v>3156</v>
      </c>
      <c r="I414" s="2310"/>
      <c r="J414" s="2534">
        <v>0</v>
      </c>
      <c r="K414" s="1615">
        <v>12000000</v>
      </c>
      <c r="L414" s="1636">
        <v>0</v>
      </c>
      <c r="M414" s="1636"/>
      <c r="N414" s="1615"/>
      <c r="O414" s="1635"/>
      <c r="P414" s="1965" t="s">
        <v>3157</v>
      </c>
      <c r="Q414" s="1966" t="s">
        <v>2571</v>
      </c>
    </row>
    <row r="415" spans="1:17" ht="12.75" customHeight="1">
      <c r="A415" s="1962"/>
      <c r="B415" s="1840"/>
      <c r="C415" s="1850" t="s">
        <v>3158</v>
      </c>
      <c r="D415" s="1934" t="s">
        <v>3159</v>
      </c>
      <c r="E415" s="1934" t="s">
        <v>781</v>
      </c>
      <c r="F415" s="1905"/>
      <c r="G415" s="1963" t="s">
        <v>2573</v>
      </c>
      <c r="H415" s="1964" t="s">
        <v>3156</v>
      </c>
      <c r="I415" s="2310"/>
      <c r="J415" s="2534">
        <v>0</v>
      </c>
      <c r="K415" s="1615">
        <v>12000000</v>
      </c>
      <c r="L415" s="1636">
        <v>0</v>
      </c>
      <c r="M415" s="1636"/>
      <c r="N415" s="1615"/>
      <c r="O415" s="1635"/>
      <c r="P415" s="1965" t="s">
        <v>3160</v>
      </c>
      <c r="Q415" s="1966" t="s">
        <v>2571</v>
      </c>
    </row>
    <row r="416" spans="1:17" ht="12.75" customHeight="1">
      <c r="A416" s="1962"/>
      <c r="B416" s="1840"/>
      <c r="C416" s="1850" t="s">
        <v>3161</v>
      </c>
      <c r="D416" s="1934"/>
      <c r="E416" s="1934" t="s">
        <v>781</v>
      </c>
      <c r="F416" s="1905"/>
      <c r="G416" s="1963" t="s">
        <v>2573</v>
      </c>
      <c r="H416" s="1964" t="s">
        <v>3162</v>
      </c>
      <c r="I416" s="2310"/>
      <c r="J416" s="2534">
        <v>0</v>
      </c>
      <c r="K416" s="1615">
        <v>1250000</v>
      </c>
      <c r="L416" s="1636">
        <v>0</v>
      </c>
      <c r="M416" s="1636"/>
      <c r="N416" s="1615"/>
      <c r="O416" s="1635"/>
      <c r="P416" s="1965" t="s">
        <v>2566</v>
      </c>
      <c r="Q416" s="1966" t="s">
        <v>2571</v>
      </c>
    </row>
    <row r="417" spans="1:17" ht="12.75" customHeight="1">
      <c r="A417" s="1962"/>
      <c r="B417" s="1840"/>
      <c r="C417" s="1850" t="s">
        <v>3163</v>
      </c>
      <c r="D417" s="1934"/>
      <c r="E417" s="1934" t="s">
        <v>781</v>
      </c>
      <c r="F417" s="1905"/>
      <c r="G417" s="1963" t="s">
        <v>2573</v>
      </c>
      <c r="H417" s="1964" t="s">
        <v>2586</v>
      </c>
      <c r="I417" s="2310"/>
      <c r="J417" s="2534">
        <v>0</v>
      </c>
      <c r="K417" s="1615">
        <v>1250000</v>
      </c>
      <c r="L417" s="1636">
        <v>0</v>
      </c>
      <c r="M417" s="1636"/>
      <c r="N417" s="1615"/>
      <c r="O417" s="1635"/>
      <c r="P417" s="1965" t="s">
        <v>2566</v>
      </c>
      <c r="Q417" s="1966" t="s">
        <v>2571</v>
      </c>
    </row>
    <row r="418" spans="1:17" ht="12.75" customHeight="1">
      <c r="A418" s="1962"/>
      <c r="B418" s="1840"/>
      <c r="C418" s="1850" t="s">
        <v>3164</v>
      </c>
      <c r="D418" s="1934"/>
      <c r="E418" s="1934" t="s">
        <v>781</v>
      </c>
      <c r="F418" s="1905"/>
      <c r="G418" s="1963" t="s">
        <v>2573</v>
      </c>
      <c r="H418" s="1964" t="s">
        <v>2657</v>
      </c>
      <c r="I418" s="2310"/>
      <c r="J418" s="2534">
        <v>0</v>
      </c>
      <c r="K418" s="1615">
        <v>180000</v>
      </c>
      <c r="L418" s="1636">
        <v>0</v>
      </c>
      <c r="M418" s="1636"/>
      <c r="N418" s="1615"/>
      <c r="O418" s="1635"/>
      <c r="P418" s="1965" t="s">
        <v>2566</v>
      </c>
      <c r="Q418" s="1966" t="s">
        <v>2587</v>
      </c>
    </row>
    <row r="419" spans="1:17" ht="12.75" customHeight="1">
      <c r="A419" s="1962"/>
      <c r="B419" s="1840"/>
      <c r="C419" s="1850" t="s">
        <v>3152</v>
      </c>
      <c r="D419" s="1934"/>
      <c r="E419" s="1934" t="s">
        <v>781</v>
      </c>
      <c r="F419" s="1905"/>
      <c r="G419" s="1963" t="s">
        <v>2573</v>
      </c>
      <c r="H419" s="1964" t="s">
        <v>2594</v>
      </c>
      <c r="I419" s="2310"/>
      <c r="J419" s="2534">
        <v>0</v>
      </c>
      <c r="K419" s="1615">
        <v>50000</v>
      </c>
      <c r="L419" s="1636">
        <v>0</v>
      </c>
      <c r="M419" s="1636"/>
      <c r="N419" s="1615"/>
      <c r="O419" s="1635"/>
      <c r="P419" s="1965" t="s">
        <v>2566</v>
      </c>
      <c r="Q419" s="1966" t="s">
        <v>2571</v>
      </c>
    </row>
    <row r="420" spans="1:17" ht="12.75" customHeight="1">
      <c r="A420" s="1962"/>
      <c r="B420" s="1840"/>
      <c r="C420" s="1850" t="s">
        <v>3165</v>
      </c>
      <c r="D420" s="1934"/>
      <c r="E420" s="1934" t="s">
        <v>781</v>
      </c>
      <c r="F420" s="1905"/>
      <c r="G420" s="1963" t="s">
        <v>2578</v>
      </c>
      <c r="H420" s="1964" t="s">
        <v>3166</v>
      </c>
      <c r="I420" s="2310"/>
      <c r="J420" s="2534">
        <v>0</v>
      </c>
      <c r="K420" s="1615">
        <v>600000</v>
      </c>
      <c r="L420" s="1636">
        <v>0</v>
      </c>
      <c r="M420" s="1636"/>
      <c r="N420" s="1615"/>
      <c r="O420" s="1635"/>
      <c r="P420" s="1965" t="s">
        <v>2566</v>
      </c>
      <c r="Q420" s="1966" t="s">
        <v>2571</v>
      </c>
    </row>
    <row r="421" spans="1:17" ht="12.75" customHeight="1">
      <c r="A421" s="1962"/>
      <c r="B421" s="1840"/>
      <c r="C421" s="1850" t="s">
        <v>3167</v>
      </c>
      <c r="D421" s="1934"/>
      <c r="E421" s="1934" t="s">
        <v>781</v>
      </c>
      <c r="F421" s="1905"/>
      <c r="G421" s="1963" t="s">
        <v>2578</v>
      </c>
      <c r="H421" s="1964" t="s">
        <v>2986</v>
      </c>
      <c r="I421" s="2310"/>
      <c r="J421" s="2534">
        <v>0</v>
      </c>
      <c r="K421" s="1615">
        <v>150000</v>
      </c>
      <c r="L421" s="1636">
        <v>0</v>
      </c>
      <c r="M421" s="1636"/>
      <c r="N421" s="1615"/>
      <c r="O421" s="1635"/>
      <c r="P421" s="1965" t="s">
        <v>2566</v>
      </c>
      <c r="Q421" s="1966" t="s">
        <v>2571</v>
      </c>
    </row>
    <row r="422" spans="1:17" ht="12.75" customHeight="1">
      <c r="A422" s="1962"/>
      <c r="B422" s="1840"/>
      <c r="C422" s="1850" t="s">
        <v>3168</v>
      </c>
      <c r="D422" s="1934"/>
      <c r="E422" s="1934" t="s">
        <v>781</v>
      </c>
      <c r="F422" s="1905"/>
      <c r="G422" s="1963" t="s">
        <v>2573</v>
      </c>
      <c r="H422" s="1964" t="s">
        <v>3169</v>
      </c>
      <c r="I422" s="2310"/>
      <c r="J422" s="2534">
        <v>0</v>
      </c>
      <c r="K422" s="1615">
        <v>250000</v>
      </c>
      <c r="L422" s="1636">
        <v>0</v>
      </c>
      <c r="M422" s="1636"/>
      <c r="N422" s="1615"/>
      <c r="O422" s="1635"/>
      <c r="P422" s="1965" t="s">
        <v>2566</v>
      </c>
      <c r="Q422" s="1966" t="s">
        <v>2571</v>
      </c>
    </row>
    <row r="423" spans="1:17" ht="12.75" customHeight="1">
      <c r="A423" s="1962"/>
      <c r="B423" s="1840"/>
      <c r="C423" s="1850" t="s">
        <v>3170</v>
      </c>
      <c r="D423" s="1934"/>
      <c r="E423" s="1934" t="s">
        <v>781</v>
      </c>
      <c r="F423" s="1905"/>
      <c r="G423" s="1963" t="s">
        <v>2581</v>
      </c>
      <c r="H423" s="1964" t="s">
        <v>3171</v>
      </c>
      <c r="I423" s="2310"/>
      <c r="J423" s="2534">
        <v>0</v>
      </c>
      <c r="K423" s="1615">
        <v>1500000</v>
      </c>
      <c r="L423" s="1636">
        <v>0</v>
      </c>
      <c r="M423" s="1636"/>
      <c r="N423" s="1615"/>
      <c r="O423" s="1635"/>
      <c r="P423" s="1965" t="s">
        <v>2566</v>
      </c>
      <c r="Q423" s="1966" t="s">
        <v>2571</v>
      </c>
    </row>
    <row r="424" spans="1:17" ht="12.75" customHeight="1">
      <c r="A424" s="1962"/>
      <c r="B424" s="1840"/>
      <c r="C424" s="1850" t="s">
        <v>3172</v>
      </c>
      <c r="D424" s="1934"/>
      <c r="E424" s="1934" t="s">
        <v>781</v>
      </c>
      <c r="F424" s="1905"/>
      <c r="G424" s="1963" t="s">
        <v>2573</v>
      </c>
      <c r="H424" s="1964" t="s">
        <v>2616</v>
      </c>
      <c r="I424" s="2310"/>
      <c r="J424" s="2534">
        <v>0</v>
      </c>
      <c r="K424" s="1615">
        <v>100000</v>
      </c>
      <c r="L424" s="1636">
        <v>0</v>
      </c>
      <c r="M424" s="1636"/>
      <c r="N424" s="1615"/>
      <c r="O424" s="1635"/>
      <c r="P424" s="1965" t="s">
        <v>2566</v>
      </c>
      <c r="Q424" s="1966" t="s">
        <v>2571</v>
      </c>
    </row>
    <row r="425" spans="1:17" ht="12.75" customHeight="1">
      <c r="A425" s="1962"/>
      <c r="B425" s="1840"/>
      <c r="C425" s="1850" t="s">
        <v>3173</v>
      </c>
      <c r="D425" s="1934"/>
      <c r="E425" s="1934" t="s">
        <v>781</v>
      </c>
      <c r="F425" s="1905"/>
      <c r="G425" s="1963" t="s">
        <v>2573</v>
      </c>
      <c r="H425" s="1964" t="s">
        <v>3174</v>
      </c>
      <c r="I425" s="2310"/>
      <c r="J425" s="2534">
        <v>0</v>
      </c>
      <c r="K425" s="1615">
        <v>350000</v>
      </c>
      <c r="L425" s="1636">
        <v>0</v>
      </c>
      <c r="M425" s="1636"/>
      <c r="N425" s="1615"/>
      <c r="O425" s="1635"/>
      <c r="P425" s="1965" t="s">
        <v>2566</v>
      </c>
      <c r="Q425" s="1966" t="s">
        <v>2571</v>
      </c>
    </row>
    <row r="426" spans="1:17" ht="12.75" customHeight="1">
      <c r="A426" s="1962"/>
      <c r="B426" s="1840"/>
      <c r="C426" s="1850" t="s">
        <v>3175</v>
      </c>
      <c r="D426" s="1934"/>
      <c r="E426" s="1934" t="s">
        <v>781</v>
      </c>
      <c r="F426" s="1905"/>
      <c r="G426" s="1963" t="s">
        <v>2573</v>
      </c>
      <c r="H426" s="1964" t="s">
        <v>2564</v>
      </c>
      <c r="I426" s="2310"/>
      <c r="J426" s="2534">
        <v>0</v>
      </c>
      <c r="K426" s="1615">
        <v>2000000</v>
      </c>
      <c r="L426" s="1636">
        <v>0</v>
      </c>
      <c r="M426" s="1636"/>
      <c r="N426" s="1615"/>
      <c r="O426" s="1635"/>
      <c r="P426" s="1965" t="s">
        <v>2566</v>
      </c>
      <c r="Q426" s="1966" t="s">
        <v>2571</v>
      </c>
    </row>
    <row r="427" spans="1:17" ht="12.75" customHeight="1">
      <c r="A427" s="1962"/>
      <c r="B427" s="1840"/>
      <c r="C427" s="1850" t="s">
        <v>3176</v>
      </c>
      <c r="D427" s="1934"/>
      <c r="E427" s="1934" t="s">
        <v>781</v>
      </c>
      <c r="F427" s="1905"/>
      <c r="G427" s="1963" t="s">
        <v>2573</v>
      </c>
      <c r="H427" s="1964" t="s">
        <v>3177</v>
      </c>
      <c r="I427" s="2310"/>
      <c r="J427" s="2534">
        <v>0</v>
      </c>
      <c r="K427" s="1615">
        <v>2100000</v>
      </c>
      <c r="L427" s="1636">
        <v>0</v>
      </c>
      <c r="M427" s="1636"/>
      <c r="N427" s="1615"/>
      <c r="O427" s="1635"/>
      <c r="P427" s="1965" t="s">
        <v>2566</v>
      </c>
      <c r="Q427" s="1966" t="s">
        <v>2571</v>
      </c>
    </row>
    <row r="428" spans="1:17" ht="12.75" customHeight="1">
      <c r="A428" s="1962"/>
      <c r="B428" s="1840"/>
      <c r="C428" s="1850" t="s">
        <v>3178</v>
      </c>
      <c r="D428" s="1934"/>
      <c r="E428" s="1934" t="s">
        <v>781</v>
      </c>
      <c r="F428" s="1905"/>
      <c r="G428" s="1963" t="s">
        <v>2573</v>
      </c>
      <c r="H428" s="1964" t="s">
        <v>3174</v>
      </c>
      <c r="I428" s="2310"/>
      <c r="J428" s="2534">
        <v>0</v>
      </c>
      <c r="K428" s="1615">
        <v>800000</v>
      </c>
      <c r="L428" s="1636">
        <v>0</v>
      </c>
      <c r="M428" s="1636"/>
      <c r="N428" s="1615"/>
      <c r="O428" s="1635"/>
      <c r="P428" s="1965" t="s">
        <v>2566</v>
      </c>
      <c r="Q428" s="1966" t="s">
        <v>2571</v>
      </c>
    </row>
    <row r="429" spans="1:17" ht="12.75" customHeight="1">
      <c r="A429" s="1962"/>
      <c r="B429" s="1840"/>
      <c r="C429" s="1850" t="s">
        <v>3179</v>
      </c>
      <c r="D429" s="1934"/>
      <c r="E429" s="1934" t="s">
        <v>781</v>
      </c>
      <c r="F429" s="1905"/>
      <c r="G429" s="1963" t="s">
        <v>2573</v>
      </c>
      <c r="H429" s="1964" t="s">
        <v>3174</v>
      </c>
      <c r="I429" s="2310"/>
      <c r="J429" s="2534">
        <v>0</v>
      </c>
      <c r="K429" s="1615">
        <v>2400000</v>
      </c>
      <c r="L429" s="1636">
        <v>0</v>
      </c>
      <c r="M429" s="1636"/>
      <c r="N429" s="1615"/>
      <c r="O429" s="1635"/>
      <c r="P429" s="1965" t="s">
        <v>2566</v>
      </c>
      <c r="Q429" s="1966" t="s">
        <v>2571</v>
      </c>
    </row>
    <row r="430" spans="1:17" ht="12.75" customHeight="1">
      <c r="A430" s="1962"/>
      <c r="B430" s="1840"/>
      <c r="C430" s="1850" t="s">
        <v>3180</v>
      </c>
      <c r="D430" s="1934"/>
      <c r="E430" s="1934" t="s">
        <v>781</v>
      </c>
      <c r="F430" s="1905"/>
      <c r="G430" s="1963" t="s">
        <v>2573</v>
      </c>
      <c r="H430" s="1964" t="s">
        <v>2586</v>
      </c>
      <c r="I430" s="2310"/>
      <c r="J430" s="2534">
        <v>0</v>
      </c>
      <c r="K430" s="1615">
        <v>0</v>
      </c>
      <c r="L430" s="1636">
        <v>0</v>
      </c>
      <c r="M430" s="1636"/>
      <c r="N430" s="1615"/>
      <c r="O430" s="1635"/>
      <c r="P430" s="1965" t="s">
        <v>2566</v>
      </c>
      <c r="Q430" s="1966" t="s">
        <v>2571</v>
      </c>
    </row>
    <row r="431" spans="1:17" ht="12.75" customHeight="1">
      <c r="A431" s="1962"/>
      <c r="B431" s="1840"/>
      <c r="C431" s="1850" t="s">
        <v>3181</v>
      </c>
      <c r="D431" s="1934"/>
      <c r="E431" s="1934" t="s">
        <v>781</v>
      </c>
      <c r="F431" s="1905"/>
      <c r="G431" s="1963" t="s">
        <v>2573</v>
      </c>
      <c r="H431" s="1964" t="s">
        <v>2586</v>
      </c>
      <c r="I431" s="2310"/>
      <c r="J431" s="2534">
        <v>0</v>
      </c>
      <c r="K431" s="1615">
        <v>3200000</v>
      </c>
      <c r="L431" s="1636">
        <v>0</v>
      </c>
      <c r="M431" s="1636"/>
      <c r="N431" s="1615"/>
      <c r="O431" s="1635"/>
      <c r="P431" s="1965" t="s">
        <v>2566</v>
      </c>
      <c r="Q431" s="1966" t="s">
        <v>2571</v>
      </c>
    </row>
    <row r="432" spans="1:17" ht="12.75" customHeight="1">
      <c r="A432" s="1962"/>
      <c r="B432" s="1840"/>
      <c r="C432" s="1850" t="s">
        <v>3182</v>
      </c>
      <c r="D432" s="1934"/>
      <c r="E432" s="1934" t="s">
        <v>781</v>
      </c>
      <c r="F432" s="1905"/>
      <c r="G432" s="1963" t="s">
        <v>2573</v>
      </c>
      <c r="H432" s="1964" t="s">
        <v>3174</v>
      </c>
      <c r="I432" s="2310"/>
      <c r="J432" s="2534">
        <v>0</v>
      </c>
      <c r="K432" s="1615">
        <v>800000</v>
      </c>
      <c r="L432" s="1636">
        <v>0</v>
      </c>
      <c r="M432" s="1636"/>
      <c r="N432" s="1615"/>
      <c r="O432" s="1635"/>
      <c r="P432" s="1965" t="s">
        <v>2566</v>
      </c>
      <c r="Q432" s="1966" t="s">
        <v>2571</v>
      </c>
    </row>
    <row r="433" spans="1:17" ht="12.75" customHeight="1">
      <c r="A433" s="1962"/>
      <c r="B433" s="1840"/>
      <c r="C433" s="1850" t="s">
        <v>3183</v>
      </c>
      <c r="D433" s="1934"/>
      <c r="E433" s="1934" t="s">
        <v>781</v>
      </c>
      <c r="F433" s="1905"/>
      <c r="G433" s="1963" t="s">
        <v>2573</v>
      </c>
      <c r="H433" s="1964" t="s">
        <v>3174</v>
      </c>
      <c r="I433" s="2310"/>
      <c r="J433" s="2534">
        <v>0</v>
      </c>
      <c r="K433" s="1615">
        <v>600000</v>
      </c>
      <c r="L433" s="1636">
        <v>0</v>
      </c>
      <c r="M433" s="1636"/>
      <c r="N433" s="1615"/>
      <c r="O433" s="1635"/>
      <c r="P433" s="1965" t="s">
        <v>2566</v>
      </c>
      <c r="Q433" s="1966" t="s">
        <v>2571</v>
      </c>
    </row>
    <row r="434" spans="1:17" ht="12.75" customHeight="1">
      <c r="A434" s="1962"/>
      <c r="B434" s="1840"/>
      <c r="C434" s="1850" t="s">
        <v>2958</v>
      </c>
      <c r="D434" s="1934"/>
      <c r="E434" s="1934" t="s">
        <v>781</v>
      </c>
      <c r="F434" s="1905"/>
      <c r="G434" s="1963" t="s">
        <v>2573</v>
      </c>
      <c r="H434" s="1964" t="s">
        <v>2980</v>
      </c>
      <c r="I434" s="2310"/>
      <c r="J434" s="2534">
        <v>0</v>
      </c>
      <c r="K434" s="1615">
        <v>900000</v>
      </c>
      <c r="L434" s="1636">
        <v>0</v>
      </c>
      <c r="M434" s="1636"/>
      <c r="N434" s="1615"/>
      <c r="O434" s="1635"/>
      <c r="P434" s="1965" t="s">
        <v>2566</v>
      </c>
      <c r="Q434" s="1966" t="s">
        <v>2571</v>
      </c>
    </row>
    <row r="435" spans="1:17" ht="12.75" customHeight="1">
      <c r="A435" s="1962"/>
      <c r="B435" s="1840"/>
      <c r="C435" s="1850"/>
      <c r="D435" s="1934"/>
      <c r="E435" s="1934"/>
      <c r="F435" s="1905"/>
      <c r="G435" s="1963"/>
      <c r="H435" s="1964"/>
      <c r="I435" s="2310"/>
      <c r="J435" s="2534"/>
      <c r="K435" s="1615"/>
      <c r="L435" s="1636"/>
      <c r="M435" s="1636"/>
      <c r="N435" s="1615"/>
      <c r="O435" s="1635"/>
      <c r="P435" s="1965"/>
      <c r="Q435" s="1966"/>
    </row>
    <row r="436" spans="1:17" ht="12.75" customHeight="1">
      <c r="A436" s="1962"/>
      <c r="B436" s="1840"/>
      <c r="C436" s="1850"/>
      <c r="D436" s="1934"/>
      <c r="E436" s="1934"/>
      <c r="F436" s="1905"/>
      <c r="G436" s="1963"/>
      <c r="H436" s="1964"/>
      <c r="I436" s="2310"/>
      <c r="J436" s="2534"/>
      <c r="K436" s="1615"/>
      <c r="L436" s="1636"/>
      <c r="M436" s="1636"/>
      <c r="N436" s="1615"/>
      <c r="O436" s="1635"/>
      <c r="P436" s="1965"/>
      <c r="Q436" s="1966"/>
    </row>
    <row r="437" spans="1:17" ht="12.75" customHeight="1">
      <c r="A437" s="1962" t="s">
        <v>3184</v>
      </c>
      <c r="B437" s="1840"/>
      <c r="C437" s="1850" t="s">
        <v>3185</v>
      </c>
      <c r="D437" s="1934"/>
      <c r="E437" s="1934">
        <v>2</v>
      </c>
      <c r="F437" s="1905"/>
      <c r="G437" s="1963" t="s">
        <v>3186</v>
      </c>
      <c r="H437" s="1964" t="s">
        <v>2725</v>
      </c>
      <c r="I437" s="2310"/>
      <c r="J437" s="2534">
        <v>0</v>
      </c>
      <c r="K437" s="1615">
        <v>0</v>
      </c>
      <c r="L437" s="1636">
        <v>0</v>
      </c>
      <c r="M437" s="1636"/>
      <c r="N437" s="1615"/>
      <c r="O437" s="1635"/>
      <c r="P437" s="1965" t="s">
        <v>2566</v>
      </c>
      <c r="Q437" s="1966" t="s">
        <v>2571</v>
      </c>
    </row>
    <row r="438" spans="1:17" ht="12.75" customHeight="1">
      <c r="A438" s="1962"/>
      <c r="B438" s="1840"/>
      <c r="C438" s="1850" t="s">
        <v>3187</v>
      </c>
      <c r="D438" s="1934"/>
      <c r="E438" s="1934">
        <v>2</v>
      </c>
      <c r="F438" s="1905"/>
      <c r="G438" s="1963" t="s">
        <v>3188</v>
      </c>
      <c r="H438" s="1964" t="s">
        <v>3174</v>
      </c>
      <c r="I438" s="2310"/>
      <c r="J438" s="2534">
        <v>0</v>
      </c>
      <c r="K438" s="1615">
        <v>0</v>
      </c>
      <c r="L438" s="1636">
        <v>900000</v>
      </c>
      <c r="M438" s="1636"/>
      <c r="N438" s="1615"/>
      <c r="O438" s="1635"/>
      <c r="P438" s="1965" t="s">
        <v>2566</v>
      </c>
      <c r="Q438" s="1966" t="s">
        <v>2571</v>
      </c>
    </row>
    <row r="439" spans="1:17" ht="12.75" customHeight="1">
      <c r="A439" s="1962"/>
      <c r="B439" s="1840"/>
      <c r="C439" s="1850" t="s">
        <v>2596</v>
      </c>
      <c r="D439" s="1934"/>
      <c r="E439" s="1934">
        <v>6</v>
      </c>
      <c r="F439" s="1905"/>
      <c r="G439" s="1963" t="s">
        <v>2564</v>
      </c>
      <c r="H439" s="1964" t="s">
        <v>2611</v>
      </c>
      <c r="I439" s="2310"/>
      <c r="J439" s="2534">
        <v>0</v>
      </c>
      <c r="K439" s="1615">
        <v>0</v>
      </c>
      <c r="L439" s="1636">
        <v>15000</v>
      </c>
      <c r="M439" s="1636"/>
      <c r="N439" s="1615"/>
      <c r="O439" s="1635"/>
      <c r="P439" s="1965" t="s">
        <v>2566</v>
      </c>
      <c r="Q439" s="1966" t="s">
        <v>2587</v>
      </c>
    </row>
    <row r="440" spans="1:17" ht="12.75" customHeight="1">
      <c r="A440" s="1962"/>
      <c r="B440" s="1840"/>
      <c r="C440" s="1850" t="s">
        <v>3189</v>
      </c>
      <c r="D440" s="1934"/>
      <c r="E440" s="1934">
        <v>6</v>
      </c>
      <c r="F440" s="1905"/>
      <c r="G440" s="1963" t="s">
        <v>3188</v>
      </c>
      <c r="H440" s="1964" t="s">
        <v>3174</v>
      </c>
      <c r="I440" s="2310"/>
      <c r="J440" s="2534">
        <v>0</v>
      </c>
      <c r="K440" s="1615">
        <v>0</v>
      </c>
      <c r="L440" s="1636">
        <v>360000</v>
      </c>
      <c r="M440" s="1636"/>
      <c r="N440" s="1615"/>
      <c r="O440" s="1635"/>
      <c r="P440" s="1965" t="s">
        <v>2566</v>
      </c>
      <c r="Q440" s="1966" t="s">
        <v>2571</v>
      </c>
    </row>
    <row r="441" spans="1:17" ht="12.75" customHeight="1">
      <c r="A441" s="1962"/>
      <c r="B441" s="1840"/>
      <c r="C441" s="1850" t="s">
        <v>3190</v>
      </c>
      <c r="D441" s="1934"/>
      <c r="E441" s="1934">
        <v>7</v>
      </c>
      <c r="F441" s="1905"/>
      <c r="G441" s="1963" t="s">
        <v>2573</v>
      </c>
      <c r="H441" s="1964" t="s">
        <v>2564</v>
      </c>
      <c r="I441" s="2310"/>
      <c r="J441" s="2534">
        <v>0</v>
      </c>
      <c r="K441" s="1615">
        <v>0</v>
      </c>
      <c r="L441" s="1636">
        <v>300000</v>
      </c>
      <c r="M441" s="1636"/>
      <c r="N441" s="1615"/>
      <c r="O441" s="1635"/>
      <c r="P441" s="1965" t="s">
        <v>2566</v>
      </c>
      <c r="Q441" s="1966" t="s">
        <v>2571</v>
      </c>
    </row>
    <row r="442" spans="1:17" ht="12.75" customHeight="1">
      <c r="A442" s="1962"/>
      <c r="B442" s="1840"/>
      <c r="C442" s="1850" t="s">
        <v>3191</v>
      </c>
      <c r="D442" s="1934"/>
      <c r="E442" s="1934">
        <v>4</v>
      </c>
      <c r="F442" s="1905"/>
      <c r="G442" s="1963" t="s">
        <v>2569</v>
      </c>
      <c r="H442" s="1964" t="s">
        <v>3192</v>
      </c>
      <c r="I442" s="2310"/>
      <c r="J442" s="2534">
        <v>0</v>
      </c>
      <c r="K442" s="1615">
        <v>0</v>
      </c>
      <c r="L442" s="1636">
        <v>0</v>
      </c>
      <c r="M442" s="1636"/>
      <c r="N442" s="1615"/>
      <c r="O442" s="1635"/>
      <c r="P442" s="1965" t="s">
        <v>3193</v>
      </c>
      <c r="Q442" s="1966" t="s">
        <v>2571</v>
      </c>
    </row>
    <row r="443" spans="1:17" ht="12.75" customHeight="1">
      <c r="A443" s="1962"/>
      <c r="B443" s="1840"/>
      <c r="C443" s="1850" t="s">
        <v>3194</v>
      </c>
      <c r="D443" s="1934"/>
      <c r="E443" s="1934">
        <v>7</v>
      </c>
      <c r="F443" s="1905"/>
      <c r="G443" s="1963" t="s">
        <v>2569</v>
      </c>
      <c r="H443" s="1964" t="s">
        <v>2980</v>
      </c>
      <c r="I443" s="2310"/>
      <c r="J443" s="2534">
        <v>0</v>
      </c>
      <c r="K443" s="1615">
        <v>0</v>
      </c>
      <c r="L443" s="1636">
        <v>0</v>
      </c>
      <c r="M443" s="1636"/>
      <c r="N443" s="1615"/>
      <c r="O443" s="1635"/>
      <c r="P443" s="1965">
        <v>15</v>
      </c>
      <c r="Q443" s="1966" t="s">
        <v>2571</v>
      </c>
    </row>
    <row r="444" spans="1:17" ht="12.75" customHeight="1">
      <c r="A444" s="1962"/>
      <c r="B444" s="1840"/>
      <c r="C444" s="1850" t="s">
        <v>3195</v>
      </c>
      <c r="D444" s="1934"/>
      <c r="E444" s="1934">
        <v>7</v>
      </c>
      <c r="F444" s="1905"/>
      <c r="G444" s="1963" t="s">
        <v>2569</v>
      </c>
      <c r="H444" s="1964" t="s">
        <v>2980</v>
      </c>
      <c r="I444" s="2310"/>
      <c r="J444" s="2534">
        <v>0</v>
      </c>
      <c r="K444" s="1615">
        <v>0</v>
      </c>
      <c r="L444" s="1636">
        <v>0</v>
      </c>
      <c r="M444" s="1636"/>
      <c r="N444" s="1615"/>
      <c r="O444" s="1635"/>
      <c r="P444" s="1965">
        <v>5</v>
      </c>
      <c r="Q444" s="1966" t="s">
        <v>2571</v>
      </c>
    </row>
    <row r="445" spans="1:17" ht="12.75" customHeight="1">
      <c r="A445" s="1962"/>
      <c r="B445" s="1840"/>
      <c r="C445" s="1850" t="s">
        <v>3196</v>
      </c>
      <c r="D445" s="1934"/>
      <c r="E445" s="1934">
        <v>7</v>
      </c>
      <c r="F445" s="1905"/>
      <c r="G445" s="1963" t="s">
        <v>2569</v>
      </c>
      <c r="H445" s="1964" t="s">
        <v>2980</v>
      </c>
      <c r="I445" s="2310"/>
      <c r="J445" s="2534">
        <v>0</v>
      </c>
      <c r="K445" s="1615">
        <v>0</v>
      </c>
      <c r="L445" s="1636">
        <v>0</v>
      </c>
      <c r="M445" s="1636"/>
      <c r="N445" s="1615"/>
      <c r="O445" s="1635"/>
      <c r="P445" s="1965">
        <v>5</v>
      </c>
      <c r="Q445" s="1966" t="s">
        <v>2571</v>
      </c>
    </row>
    <row r="446" spans="1:17" ht="12.75" customHeight="1">
      <c r="A446" s="1962"/>
      <c r="B446" s="1840"/>
      <c r="C446" s="1850" t="s">
        <v>3197</v>
      </c>
      <c r="D446" s="1934"/>
      <c r="E446" s="1934">
        <v>2</v>
      </c>
      <c r="F446" s="1905"/>
      <c r="G446" s="1963" t="s">
        <v>2569</v>
      </c>
      <c r="H446" s="1964" t="s">
        <v>2980</v>
      </c>
      <c r="I446" s="2310"/>
      <c r="J446" s="2534">
        <v>0</v>
      </c>
      <c r="K446" s="1615">
        <v>0</v>
      </c>
      <c r="L446" s="1636">
        <v>0</v>
      </c>
      <c r="M446" s="1636"/>
      <c r="N446" s="1615"/>
      <c r="O446" s="1635"/>
      <c r="P446" s="1965">
        <v>15</v>
      </c>
      <c r="Q446" s="1966" t="s">
        <v>2571</v>
      </c>
    </row>
    <row r="447" spans="1:17" ht="12.75" customHeight="1">
      <c r="A447" s="1962"/>
      <c r="B447" s="1840"/>
      <c r="C447" s="1850" t="s">
        <v>3198</v>
      </c>
      <c r="D447" s="1934"/>
      <c r="E447" s="1934">
        <v>4</v>
      </c>
      <c r="F447" s="1905"/>
      <c r="G447" s="1963" t="s">
        <v>2569</v>
      </c>
      <c r="H447" s="1964" t="s">
        <v>2980</v>
      </c>
      <c r="I447" s="2310"/>
      <c r="J447" s="2534">
        <v>0</v>
      </c>
      <c r="K447" s="1615">
        <v>0</v>
      </c>
      <c r="L447" s="1636">
        <v>0</v>
      </c>
      <c r="M447" s="1636"/>
      <c r="N447" s="1615"/>
      <c r="O447" s="1635"/>
      <c r="P447" s="1965">
        <v>1</v>
      </c>
      <c r="Q447" s="1966" t="s">
        <v>2571</v>
      </c>
    </row>
    <row r="448" spans="1:17" ht="12.75" customHeight="1">
      <c r="A448" s="1962"/>
      <c r="B448" s="1840"/>
      <c r="C448" s="1850" t="s">
        <v>3199</v>
      </c>
      <c r="D448" s="1934"/>
      <c r="E448" s="1934">
        <v>7</v>
      </c>
      <c r="F448" s="1905"/>
      <c r="G448" s="1963" t="s">
        <v>2564</v>
      </c>
      <c r="H448" s="1964" t="s">
        <v>2611</v>
      </c>
      <c r="I448" s="2310"/>
      <c r="J448" s="2534">
        <v>0</v>
      </c>
      <c r="K448" s="1615">
        <v>0</v>
      </c>
      <c r="L448" s="1636">
        <v>850000</v>
      </c>
      <c r="M448" s="1636"/>
      <c r="N448" s="1615"/>
      <c r="O448" s="1635"/>
      <c r="P448" s="1965" t="s">
        <v>2566</v>
      </c>
      <c r="Q448" s="1966" t="s">
        <v>2571</v>
      </c>
    </row>
    <row r="449" spans="1:17" ht="12.75" customHeight="1">
      <c r="A449" s="1962"/>
      <c r="B449" s="1840"/>
      <c r="C449" s="1850" t="s">
        <v>3200</v>
      </c>
      <c r="D449" s="1934"/>
      <c r="E449" s="1934">
        <v>4</v>
      </c>
      <c r="F449" s="1905"/>
      <c r="G449" s="1963" t="s">
        <v>2569</v>
      </c>
      <c r="H449" s="1964" t="s">
        <v>2772</v>
      </c>
      <c r="I449" s="2310"/>
      <c r="J449" s="2534">
        <v>0</v>
      </c>
      <c r="K449" s="1615">
        <v>0</v>
      </c>
      <c r="L449" s="1636">
        <v>12857</v>
      </c>
      <c r="M449" s="1636"/>
      <c r="N449" s="1615"/>
      <c r="O449" s="1635"/>
      <c r="P449" s="1965" t="s">
        <v>2566</v>
      </c>
      <c r="Q449" s="1966" t="s">
        <v>2571</v>
      </c>
    </row>
    <row r="450" spans="1:17" ht="12.75" customHeight="1">
      <c r="A450" s="1962"/>
      <c r="B450" s="1840"/>
      <c r="C450" s="1850" t="s">
        <v>3201</v>
      </c>
      <c r="D450" s="1934"/>
      <c r="E450" s="1934">
        <v>6</v>
      </c>
      <c r="F450" s="1905"/>
      <c r="G450" s="1963" t="s">
        <v>3188</v>
      </c>
      <c r="H450" s="1964" t="s">
        <v>3174</v>
      </c>
      <c r="I450" s="2310"/>
      <c r="J450" s="2534">
        <v>0</v>
      </c>
      <c r="K450" s="1615">
        <v>0</v>
      </c>
      <c r="L450" s="1636">
        <v>370000</v>
      </c>
      <c r="M450" s="1636"/>
      <c r="N450" s="1615"/>
      <c r="O450" s="1635"/>
      <c r="P450" s="1965" t="s">
        <v>2566</v>
      </c>
      <c r="Q450" s="1966" t="s">
        <v>2571</v>
      </c>
    </row>
    <row r="451" spans="1:17" ht="12.75" customHeight="1">
      <c r="A451" s="1962"/>
      <c r="B451" s="1840"/>
      <c r="C451" s="1850" t="s">
        <v>4026</v>
      </c>
      <c r="D451" s="1934"/>
      <c r="E451" s="1934">
        <v>4</v>
      </c>
      <c r="F451" s="1905"/>
      <c r="G451" s="1963" t="s">
        <v>2564</v>
      </c>
      <c r="H451" s="1964" t="s">
        <v>2611</v>
      </c>
      <c r="I451" s="2310"/>
      <c r="J451" s="2534">
        <v>0</v>
      </c>
      <c r="K451" s="1615">
        <v>0</v>
      </c>
      <c r="L451" s="1636">
        <v>0</v>
      </c>
      <c r="M451" s="1636">
        <v>100000</v>
      </c>
      <c r="N451" s="1615">
        <v>50000</v>
      </c>
      <c r="O451" s="1635">
        <v>50000</v>
      </c>
      <c r="P451" s="1965" t="s">
        <v>2566</v>
      </c>
      <c r="Q451" s="1966" t="s">
        <v>4027</v>
      </c>
    </row>
    <row r="452" spans="1:17" ht="12.75" customHeight="1">
      <c r="A452" s="1962"/>
      <c r="B452" s="1840"/>
      <c r="C452" s="1850" t="s">
        <v>4028</v>
      </c>
      <c r="D452" s="1934"/>
      <c r="E452" s="1934">
        <v>4</v>
      </c>
      <c r="F452" s="1905"/>
      <c r="G452" s="1963" t="s">
        <v>2573</v>
      </c>
      <c r="H452" s="1964" t="s">
        <v>4029</v>
      </c>
      <c r="I452" s="2310"/>
      <c r="J452" s="2534">
        <v>0</v>
      </c>
      <c r="K452" s="1615">
        <v>0</v>
      </c>
      <c r="L452" s="1636">
        <v>0</v>
      </c>
      <c r="M452" s="1636">
        <v>1000</v>
      </c>
      <c r="N452" s="1615">
        <v>0</v>
      </c>
      <c r="O452" s="1635">
        <v>0</v>
      </c>
      <c r="P452" s="1965" t="s">
        <v>2566</v>
      </c>
      <c r="Q452" s="1966" t="s">
        <v>2571</v>
      </c>
    </row>
    <row r="453" spans="1:17" ht="12.75" customHeight="1">
      <c r="A453" s="1962"/>
      <c r="B453" s="1840"/>
      <c r="C453" s="1850" t="s">
        <v>4030</v>
      </c>
      <c r="D453" s="1934"/>
      <c r="E453" s="1934"/>
      <c r="F453" s="1905"/>
      <c r="G453" s="1963" t="s">
        <v>2564</v>
      </c>
      <c r="H453" s="1964" t="s">
        <v>2611</v>
      </c>
      <c r="I453" s="2310"/>
      <c r="J453" s="2534">
        <v>0</v>
      </c>
      <c r="K453" s="1615">
        <v>0</v>
      </c>
      <c r="L453" s="1636">
        <v>0</v>
      </c>
      <c r="M453" s="1636">
        <v>100000</v>
      </c>
      <c r="N453" s="1615">
        <v>50000</v>
      </c>
      <c r="O453" s="1635">
        <v>50000</v>
      </c>
      <c r="P453" s="1965" t="s">
        <v>2566</v>
      </c>
      <c r="Q453" s="1966" t="s">
        <v>4027</v>
      </c>
    </row>
    <row r="454" spans="1:17" ht="12.75" customHeight="1">
      <c r="A454" s="1962"/>
      <c r="B454" s="1840"/>
      <c r="C454" s="1850" t="s">
        <v>4031</v>
      </c>
      <c r="D454" s="1934"/>
      <c r="E454" s="1934"/>
      <c r="F454" s="1905"/>
      <c r="G454" s="1963" t="s">
        <v>2573</v>
      </c>
      <c r="H454" s="1964" t="s">
        <v>3260</v>
      </c>
      <c r="I454" s="2310"/>
      <c r="J454" s="2534">
        <v>0</v>
      </c>
      <c r="K454" s="1615">
        <v>0</v>
      </c>
      <c r="L454" s="1636">
        <v>0</v>
      </c>
      <c r="M454" s="1636">
        <v>10000</v>
      </c>
      <c r="N454" s="1615"/>
      <c r="O454" s="1635"/>
      <c r="P454" s="1965" t="s">
        <v>2566</v>
      </c>
      <c r="Q454" s="1966" t="s">
        <v>2571</v>
      </c>
    </row>
    <row r="455" spans="1:17" ht="12.75" customHeight="1">
      <c r="A455" s="1962"/>
      <c r="B455" s="1840"/>
      <c r="C455" s="1850"/>
      <c r="D455" s="1934"/>
      <c r="E455" s="1934"/>
      <c r="F455" s="1905"/>
      <c r="G455" s="1963"/>
      <c r="H455" s="1964"/>
      <c r="I455" s="2310"/>
      <c r="J455" s="2534"/>
      <c r="K455" s="1615"/>
      <c r="L455" s="1636"/>
      <c r="M455" s="1636"/>
      <c r="N455" s="1615"/>
      <c r="O455" s="1635"/>
      <c r="P455" s="1965"/>
      <c r="Q455" s="1966"/>
    </row>
    <row r="456" spans="1:17" ht="12.75" customHeight="1">
      <c r="A456" s="1962"/>
      <c r="B456" s="1840"/>
      <c r="C456" s="1850"/>
      <c r="D456" s="1934"/>
      <c r="E456" s="1934"/>
      <c r="F456" s="1905"/>
      <c r="G456" s="1963"/>
      <c r="H456" s="1964"/>
      <c r="I456" s="2310"/>
      <c r="J456" s="2534"/>
      <c r="K456" s="1615"/>
      <c r="L456" s="1636"/>
      <c r="M456" s="1636"/>
      <c r="N456" s="1615"/>
      <c r="O456" s="1635"/>
      <c r="P456" s="1965"/>
      <c r="Q456" s="1966"/>
    </row>
    <row r="457" spans="1:17" ht="12.75" customHeight="1">
      <c r="A457" s="1962"/>
      <c r="B457" s="1840"/>
      <c r="C457" s="1850"/>
      <c r="D457" s="1934"/>
      <c r="E457" s="1934"/>
      <c r="F457" s="1905"/>
      <c r="G457" s="1963"/>
      <c r="H457" s="1964"/>
      <c r="I457" s="2310"/>
      <c r="J457" s="2534"/>
      <c r="K457" s="1615"/>
      <c r="L457" s="1636"/>
      <c r="M457" s="1636"/>
      <c r="N457" s="1615"/>
      <c r="O457" s="1635"/>
      <c r="P457" s="1965"/>
      <c r="Q457" s="1966"/>
    </row>
    <row r="458" spans="1:17" ht="12.75" customHeight="1">
      <c r="A458" s="1962"/>
      <c r="B458" s="1840"/>
      <c r="C458" s="1850"/>
      <c r="D458" s="1934"/>
      <c r="E458" s="1934"/>
      <c r="F458" s="1905"/>
      <c r="G458" s="1963"/>
      <c r="H458" s="1964"/>
      <c r="I458" s="2310"/>
      <c r="J458" s="2534"/>
      <c r="K458" s="1615"/>
      <c r="L458" s="1636"/>
      <c r="M458" s="1636"/>
      <c r="N458" s="1615"/>
      <c r="O458" s="1635"/>
      <c r="P458" s="1965"/>
      <c r="Q458" s="1966"/>
    </row>
    <row r="459" spans="1:17" ht="12.75" customHeight="1">
      <c r="A459" s="1962"/>
      <c r="B459" s="1840"/>
      <c r="C459" s="1850"/>
      <c r="D459" s="1934"/>
      <c r="E459" s="1934"/>
      <c r="F459" s="1905"/>
      <c r="G459" s="1963"/>
      <c r="H459" s="1964"/>
      <c r="I459" s="2310"/>
      <c r="J459" s="2534"/>
      <c r="K459" s="1615"/>
      <c r="L459" s="1636"/>
      <c r="M459" s="1636"/>
      <c r="N459" s="1615"/>
      <c r="O459" s="1635"/>
      <c r="P459" s="1965"/>
      <c r="Q459" s="1966"/>
    </row>
    <row r="460" spans="1:17" ht="12.75" customHeight="1">
      <c r="A460" s="1962" t="s">
        <v>2271</v>
      </c>
      <c r="B460" s="1840"/>
      <c r="C460" s="1850" t="s">
        <v>3202</v>
      </c>
      <c r="D460" s="1934"/>
      <c r="E460" s="1934">
        <v>3</v>
      </c>
      <c r="F460" s="1905"/>
      <c r="G460" s="1963" t="s">
        <v>2569</v>
      </c>
      <c r="H460" s="1964" t="s">
        <v>2697</v>
      </c>
      <c r="I460" s="2310"/>
      <c r="J460" s="2534">
        <v>0</v>
      </c>
      <c r="K460" s="1615">
        <v>0</v>
      </c>
      <c r="L460" s="1636">
        <v>50000</v>
      </c>
      <c r="M460" s="1636"/>
      <c r="N460" s="1615"/>
      <c r="O460" s="1635"/>
      <c r="P460" s="1965"/>
      <c r="Q460" s="1966" t="s">
        <v>2587</v>
      </c>
    </row>
    <row r="461" spans="1:17" ht="12.75" customHeight="1">
      <c r="A461" s="1962"/>
      <c r="B461" s="1840"/>
      <c r="C461" s="1850" t="s">
        <v>2596</v>
      </c>
      <c r="D461" s="1934"/>
      <c r="E461" s="1934"/>
      <c r="F461" s="1905"/>
      <c r="G461" s="1963" t="s">
        <v>3203</v>
      </c>
      <c r="H461" s="1964" t="s">
        <v>3204</v>
      </c>
      <c r="I461" s="2310"/>
      <c r="J461" s="2534">
        <v>0</v>
      </c>
      <c r="K461" s="1615">
        <v>0</v>
      </c>
      <c r="L461" s="1636">
        <v>120000</v>
      </c>
      <c r="M461" s="1636"/>
      <c r="N461" s="1615"/>
      <c r="O461" s="1635"/>
      <c r="P461" s="1965"/>
      <c r="Q461" s="1966" t="s">
        <v>2571</v>
      </c>
    </row>
    <row r="462" spans="1:17" ht="12.75" customHeight="1">
      <c r="A462" s="1962"/>
      <c r="B462" s="1840"/>
      <c r="C462" s="1850"/>
      <c r="D462" s="1934"/>
      <c r="E462" s="1934"/>
      <c r="F462" s="1905"/>
      <c r="G462" s="1963"/>
      <c r="H462" s="1964"/>
      <c r="I462" s="2310"/>
      <c r="J462" s="2534"/>
      <c r="K462" s="1615"/>
      <c r="L462" s="1636"/>
      <c r="M462" s="1636"/>
      <c r="N462" s="1615"/>
      <c r="O462" s="1635"/>
      <c r="P462" s="1965"/>
      <c r="Q462" s="1966"/>
    </row>
    <row r="463" spans="1:17" ht="12.75" customHeight="1">
      <c r="A463" s="1962" t="s">
        <v>4032</v>
      </c>
      <c r="B463" s="1840"/>
      <c r="C463" s="1850" t="s">
        <v>4033</v>
      </c>
      <c r="D463" s="1934"/>
      <c r="E463" s="1934">
        <v>1</v>
      </c>
      <c r="F463" s="1905"/>
      <c r="G463" s="1963" t="s">
        <v>2569</v>
      </c>
      <c r="H463" s="1964" t="s">
        <v>4033</v>
      </c>
      <c r="I463" s="2310"/>
      <c r="J463" s="2534">
        <v>0</v>
      </c>
      <c r="K463" s="1615">
        <v>0</v>
      </c>
      <c r="L463" s="1636">
        <v>0</v>
      </c>
      <c r="M463" s="1636">
        <v>150000</v>
      </c>
      <c r="N463" s="1615">
        <v>50000</v>
      </c>
      <c r="O463" s="1635">
        <v>50000</v>
      </c>
      <c r="P463" s="1965">
        <v>38</v>
      </c>
      <c r="Q463" s="1966" t="s">
        <v>2571</v>
      </c>
    </row>
    <row r="464" spans="1:17" ht="12.75" customHeight="1">
      <c r="A464" s="1962"/>
      <c r="B464" s="1840"/>
      <c r="C464" s="1850" t="s">
        <v>4034</v>
      </c>
      <c r="D464" s="1934"/>
      <c r="E464" s="1934">
        <v>1</v>
      </c>
      <c r="F464" s="1905"/>
      <c r="G464" s="1963" t="s">
        <v>2569</v>
      </c>
      <c r="H464" s="1964" t="s">
        <v>4034</v>
      </c>
      <c r="I464" s="2310"/>
      <c r="J464" s="2534">
        <v>0</v>
      </c>
      <c r="K464" s="1615">
        <v>0</v>
      </c>
      <c r="L464" s="1636">
        <v>0</v>
      </c>
      <c r="M464" s="1636">
        <v>250000</v>
      </c>
      <c r="N464" s="1615">
        <v>50000</v>
      </c>
      <c r="O464" s="1635">
        <v>50000</v>
      </c>
      <c r="P464" s="1965">
        <v>38</v>
      </c>
      <c r="Q464" s="1966" t="s">
        <v>2571</v>
      </c>
    </row>
    <row r="465" spans="1:17" ht="12.75" customHeight="1">
      <c r="A465" s="1962"/>
      <c r="B465" s="1840"/>
      <c r="C465" s="1850"/>
      <c r="D465" s="1934"/>
      <c r="E465" s="1934"/>
      <c r="F465" s="1905"/>
      <c r="G465" s="1963"/>
      <c r="H465" s="1964"/>
      <c r="I465" s="2310"/>
      <c r="J465" s="2534"/>
      <c r="K465" s="1615"/>
      <c r="L465" s="1636"/>
      <c r="M465" s="1636"/>
      <c r="N465" s="1615"/>
      <c r="O465" s="1635"/>
      <c r="P465" s="1965"/>
      <c r="Q465" s="1966"/>
    </row>
    <row r="466" spans="1:17" ht="12.75" customHeight="1">
      <c r="A466" s="1962" t="s">
        <v>4035</v>
      </c>
      <c r="B466" s="1840"/>
      <c r="C466" s="1850" t="s">
        <v>2596</v>
      </c>
      <c r="D466" s="1934"/>
      <c r="E466" s="1934"/>
      <c r="F466" s="1905"/>
      <c r="G466" s="1963" t="s">
        <v>3203</v>
      </c>
      <c r="H466" s="1964" t="s">
        <v>3204</v>
      </c>
      <c r="I466" s="2310"/>
      <c r="J466" s="2534">
        <v>0</v>
      </c>
      <c r="K466" s="1615">
        <v>0</v>
      </c>
      <c r="L466" s="1636">
        <v>0</v>
      </c>
      <c r="M466" s="1636">
        <v>31590</v>
      </c>
      <c r="N466" s="1615">
        <v>31650</v>
      </c>
      <c r="O466" s="1635"/>
      <c r="P466" s="1965" t="s">
        <v>2566</v>
      </c>
      <c r="Q466" s="1966" t="s">
        <v>2571</v>
      </c>
    </row>
    <row r="467" spans="1:17" ht="12.75" customHeight="1">
      <c r="A467" s="1962"/>
      <c r="B467" s="1840"/>
      <c r="C467" s="1850" t="s">
        <v>4036</v>
      </c>
      <c r="D467" s="1934"/>
      <c r="E467" s="1934"/>
      <c r="F467" s="1905"/>
      <c r="G467" s="1963" t="s">
        <v>2573</v>
      </c>
      <c r="H467" s="1964" t="s">
        <v>4036</v>
      </c>
      <c r="I467" s="2310"/>
      <c r="J467" s="2534">
        <v>0</v>
      </c>
      <c r="K467" s="1615">
        <v>0</v>
      </c>
      <c r="L467" s="1636">
        <v>0</v>
      </c>
      <c r="M467" s="1636">
        <v>21060</v>
      </c>
      <c r="N467" s="1615">
        <v>10550</v>
      </c>
      <c r="O467" s="1635"/>
      <c r="P467" s="1965" t="s">
        <v>2566</v>
      </c>
      <c r="Q467" s="1966" t="s">
        <v>2571</v>
      </c>
    </row>
    <row r="468" spans="1:17" ht="12.75" customHeight="1">
      <c r="A468" s="1962"/>
      <c r="B468" s="1840"/>
      <c r="C468" s="1850"/>
      <c r="D468" s="1934"/>
      <c r="E468" s="1934"/>
      <c r="F468" s="1905"/>
      <c r="G468" s="1963"/>
      <c r="H468" s="1964"/>
      <c r="I468" s="2310"/>
      <c r="J468" s="2534"/>
      <c r="K468" s="1615"/>
      <c r="L468" s="1636"/>
      <c r="M468" s="1636"/>
      <c r="N468" s="1615"/>
      <c r="O468" s="1635"/>
      <c r="P468" s="1965"/>
      <c r="Q468" s="1966"/>
    </row>
    <row r="469" spans="1:17" ht="12.75" customHeight="1">
      <c r="A469" s="1962"/>
      <c r="B469" s="1840"/>
      <c r="C469" s="1850"/>
      <c r="D469" s="1934"/>
      <c r="E469" s="1934"/>
      <c r="F469" s="1905"/>
      <c r="G469" s="1963"/>
      <c r="H469" s="1964"/>
      <c r="I469" s="2310"/>
      <c r="J469" s="2534"/>
      <c r="K469" s="1615"/>
      <c r="L469" s="1636"/>
      <c r="M469" s="1636"/>
      <c r="N469" s="1615"/>
      <c r="O469" s="1635"/>
      <c r="P469" s="1965"/>
      <c r="Q469" s="1966"/>
    </row>
    <row r="470" spans="1:17" ht="12.75" customHeight="1">
      <c r="A470" s="1962" t="s">
        <v>3205</v>
      </c>
      <c r="B470" s="1840"/>
      <c r="C470" s="1850" t="s">
        <v>3206</v>
      </c>
      <c r="D470" s="1934"/>
      <c r="E470" s="1934"/>
      <c r="F470" s="1905"/>
      <c r="G470" s="1963" t="s">
        <v>2578</v>
      </c>
      <c r="H470" s="1964" t="s">
        <v>3207</v>
      </c>
      <c r="I470" s="2310"/>
      <c r="J470" s="2534">
        <v>0</v>
      </c>
      <c r="K470" s="1615">
        <v>0</v>
      </c>
      <c r="L470" s="1636">
        <v>0</v>
      </c>
      <c r="M470" s="1636"/>
      <c r="N470" s="1615"/>
      <c r="O470" s="1635"/>
      <c r="P470" s="1965"/>
      <c r="Q470" s="1966" t="s">
        <v>2571</v>
      </c>
    </row>
    <row r="471" spans="1:17" ht="12.75" customHeight="1">
      <c r="A471" s="1962"/>
      <c r="B471" s="1840"/>
      <c r="C471" s="1850"/>
      <c r="D471" s="1934"/>
      <c r="E471" s="1934"/>
      <c r="F471" s="1905"/>
      <c r="G471" s="1963"/>
      <c r="H471" s="1964"/>
      <c r="I471" s="2310"/>
      <c r="J471" s="2534"/>
      <c r="K471" s="1615"/>
      <c r="L471" s="1636"/>
      <c r="M471" s="1636"/>
      <c r="N471" s="1615"/>
      <c r="O471" s="1635"/>
      <c r="P471" s="1965"/>
      <c r="Q471" s="1966"/>
    </row>
    <row r="472" spans="1:17" ht="12.75" customHeight="1">
      <c r="A472" s="1962"/>
      <c r="B472" s="1840"/>
      <c r="C472" s="1850"/>
      <c r="D472" s="1934"/>
      <c r="E472" s="1934"/>
      <c r="F472" s="1905"/>
      <c r="G472" s="1963"/>
      <c r="H472" s="1964"/>
      <c r="I472" s="2310"/>
      <c r="J472" s="2534"/>
      <c r="K472" s="1615"/>
      <c r="L472" s="1636"/>
      <c r="M472" s="1636"/>
      <c r="N472" s="1615"/>
      <c r="O472" s="1635"/>
      <c r="P472" s="1965"/>
      <c r="Q472" s="1966"/>
    </row>
    <row r="473" spans="1:17" ht="12.75" customHeight="1">
      <c r="A473" s="1962" t="s">
        <v>3208</v>
      </c>
      <c r="B473" s="1840"/>
      <c r="C473" s="1850" t="s">
        <v>2591</v>
      </c>
      <c r="D473" s="1934"/>
      <c r="E473" s="1934"/>
      <c r="F473" s="1905"/>
      <c r="G473" s="1963" t="s">
        <v>3203</v>
      </c>
      <c r="H473" s="1964" t="s">
        <v>2591</v>
      </c>
      <c r="I473" s="2310"/>
      <c r="J473" s="2534">
        <v>0</v>
      </c>
      <c r="K473" s="1615">
        <v>0</v>
      </c>
      <c r="L473" s="1636">
        <v>25000</v>
      </c>
      <c r="M473" s="1636"/>
      <c r="N473" s="1615"/>
      <c r="O473" s="1635"/>
      <c r="P473" s="1965"/>
      <c r="Q473" s="1966" t="s">
        <v>2571</v>
      </c>
    </row>
    <row r="474" spans="1:17" ht="12.75" customHeight="1">
      <c r="A474" s="1962"/>
      <c r="B474" s="1840"/>
      <c r="C474" s="1850" t="s">
        <v>3203</v>
      </c>
      <c r="D474" s="1934"/>
      <c r="E474" s="1934"/>
      <c r="F474" s="1905"/>
      <c r="G474" s="1963" t="s">
        <v>3203</v>
      </c>
      <c r="H474" s="1964" t="s">
        <v>3204</v>
      </c>
      <c r="I474" s="2310"/>
      <c r="J474" s="2534">
        <v>0</v>
      </c>
      <c r="K474" s="1615">
        <v>0</v>
      </c>
      <c r="L474" s="1636">
        <v>50000</v>
      </c>
      <c r="M474" s="1636"/>
      <c r="N474" s="1615"/>
      <c r="O474" s="1635"/>
      <c r="P474" s="1965"/>
      <c r="Q474" s="1966" t="s">
        <v>2571</v>
      </c>
    </row>
    <row r="475" spans="1:17" ht="12.75" customHeight="1">
      <c r="A475" s="1962"/>
      <c r="B475" s="1840"/>
      <c r="C475" s="1850"/>
      <c r="D475" s="1934"/>
      <c r="E475" s="1934"/>
      <c r="F475" s="1905"/>
      <c r="G475" s="1963"/>
      <c r="H475" s="1964"/>
      <c r="I475" s="2310"/>
      <c r="J475" s="2534"/>
      <c r="K475" s="1615"/>
      <c r="L475" s="1636"/>
      <c r="M475" s="1636"/>
      <c r="N475" s="1615"/>
      <c r="O475" s="1635"/>
      <c r="P475" s="1965"/>
      <c r="Q475" s="1966"/>
    </row>
    <row r="476" spans="1:17" ht="12.75" customHeight="1">
      <c r="A476" s="1962"/>
      <c r="B476" s="1840"/>
      <c r="C476" s="1850"/>
      <c r="D476" s="1934"/>
      <c r="E476" s="1934"/>
      <c r="F476" s="1905"/>
      <c r="G476" s="1963"/>
      <c r="H476" s="1964"/>
      <c r="I476" s="2310"/>
      <c r="J476" s="2534"/>
      <c r="K476" s="1615"/>
      <c r="L476" s="1636"/>
      <c r="M476" s="1636"/>
      <c r="N476" s="1615"/>
      <c r="O476" s="1635"/>
      <c r="P476" s="1965"/>
      <c r="Q476" s="1966"/>
    </row>
    <row r="477" spans="1:17" ht="12.75" customHeight="1">
      <c r="A477" s="1962" t="s">
        <v>3209</v>
      </c>
      <c r="B477" s="1840"/>
      <c r="C477" s="1850" t="s">
        <v>3210</v>
      </c>
      <c r="D477" s="1934"/>
      <c r="E477" s="1934">
        <v>3</v>
      </c>
      <c r="F477" s="1905"/>
      <c r="G477" s="1963" t="s">
        <v>3203</v>
      </c>
      <c r="H477" s="1964" t="s">
        <v>3211</v>
      </c>
      <c r="I477" s="2310"/>
      <c r="J477" s="2534">
        <v>0</v>
      </c>
      <c r="K477" s="1615">
        <v>0</v>
      </c>
      <c r="L477" s="1636">
        <v>4500000</v>
      </c>
      <c r="M477" s="1636">
        <v>1000000</v>
      </c>
      <c r="N477" s="1615">
        <v>1000000</v>
      </c>
      <c r="O477" s="1635">
        <v>1000000</v>
      </c>
      <c r="P477" s="1965" t="s">
        <v>2566</v>
      </c>
      <c r="Q477" s="1966" t="s">
        <v>2571</v>
      </c>
    </row>
    <row r="478" spans="1:17" ht="12.75" customHeight="1">
      <c r="A478" s="1962"/>
      <c r="B478" s="1840"/>
      <c r="C478" s="1850" t="s">
        <v>3212</v>
      </c>
      <c r="D478" s="1934"/>
      <c r="E478" s="1934">
        <v>3</v>
      </c>
      <c r="F478" s="1905"/>
      <c r="G478" s="1963" t="s">
        <v>3203</v>
      </c>
      <c r="H478" s="1964" t="s">
        <v>2591</v>
      </c>
      <c r="I478" s="2310"/>
      <c r="J478" s="2534">
        <v>0</v>
      </c>
      <c r="K478" s="1615">
        <v>0</v>
      </c>
      <c r="L478" s="1636">
        <v>662500</v>
      </c>
      <c r="M478" s="1636"/>
      <c r="N478" s="1615"/>
      <c r="O478" s="1635"/>
      <c r="P478" s="1965" t="s">
        <v>2566</v>
      </c>
      <c r="Q478" s="1966" t="s">
        <v>2587</v>
      </c>
    </row>
    <row r="479" spans="1:17" ht="12.75" customHeight="1">
      <c r="A479" s="1962"/>
      <c r="B479" s="1840"/>
      <c r="C479" s="1850" t="s">
        <v>3175</v>
      </c>
      <c r="D479" s="1934"/>
      <c r="E479" s="1934">
        <v>3</v>
      </c>
      <c r="F479" s="1905"/>
      <c r="G479" s="1963" t="s">
        <v>2573</v>
      </c>
      <c r="H479" s="1964" t="s">
        <v>4037</v>
      </c>
      <c r="I479" s="2310"/>
      <c r="J479" s="2534">
        <v>0</v>
      </c>
      <c r="K479" s="1615">
        <v>0</v>
      </c>
      <c r="L479" s="1636">
        <v>4000000</v>
      </c>
      <c r="M479" s="1636">
        <v>2000000</v>
      </c>
      <c r="N479" s="1615">
        <v>2000000</v>
      </c>
      <c r="O479" s="1635">
        <v>1000000</v>
      </c>
      <c r="P479" s="1965" t="s">
        <v>2566</v>
      </c>
      <c r="Q479" s="1966" t="s">
        <v>2571</v>
      </c>
    </row>
    <row r="480" spans="1:17" ht="12.75" customHeight="1">
      <c r="A480" s="1962"/>
      <c r="B480" s="1840"/>
      <c r="C480" s="1850" t="s">
        <v>3214</v>
      </c>
      <c r="D480" s="1934"/>
      <c r="E480" s="1934">
        <v>3</v>
      </c>
      <c r="F480" s="1905"/>
      <c r="G480" s="1963" t="s">
        <v>3203</v>
      </c>
      <c r="H480" s="1964" t="s">
        <v>3213</v>
      </c>
      <c r="I480" s="2310"/>
      <c r="J480" s="2534">
        <v>0</v>
      </c>
      <c r="K480" s="1615">
        <v>0</v>
      </c>
      <c r="L480" s="1636">
        <v>9000000</v>
      </c>
      <c r="M480" s="1636">
        <v>0</v>
      </c>
      <c r="N480" s="1615">
        <v>0</v>
      </c>
      <c r="O480" s="1635">
        <v>0</v>
      </c>
      <c r="P480" s="1965" t="s">
        <v>2566</v>
      </c>
      <c r="Q480" s="1966" t="s">
        <v>2587</v>
      </c>
    </row>
    <row r="481" spans="1:17" ht="12.75" customHeight="1">
      <c r="A481" s="1962"/>
      <c r="B481" s="1840"/>
      <c r="C481" s="1850" t="s">
        <v>3215</v>
      </c>
      <c r="D481" s="1934"/>
      <c r="E481" s="1934">
        <v>3</v>
      </c>
      <c r="F481" s="1905"/>
      <c r="G481" s="1963" t="s">
        <v>3203</v>
      </c>
      <c r="H481" s="1964" t="s">
        <v>3211</v>
      </c>
      <c r="I481" s="2310"/>
      <c r="J481" s="2534">
        <v>0</v>
      </c>
      <c r="K481" s="1615">
        <v>0</v>
      </c>
      <c r="L481" s="1636">
        <v>9000000</v>
      </c>
      <c r="M481" s="1636">
        <v>0</v>
      </c>
      <c r="N481" s="1615">
        <v>0</v>
      </c>
      <c r="O481" s="1635">
        <v>0</v>
      </c>
      <c r="P481" s="1965" t="s">
        <v>2566</v>
      </c>
      <c r="Q481" s="1966" t="s">
        <v>2571</v>
      </c>
    </row>
    <row r="482" spans="1:17" ht="12.75" customHeight="1">
      <c r="A482" s="1962"/>
      <c r="B482" s="1840"/>
      <c r="C482" s="1850" t="s">
        <v>2596</v>
      </c>
      <c r="D482" s="1934"/>
      <c r="E482" s="1934">
        <v>3</v>
      </c>
      <c r="F482" s="1905"/>
      <c r="G482" s="1963" t="s">
        <v>3203</v>
      </c>
      <c r="H482" s="1964" t="s">
        <v>3204</v>
      </c>
      <c r="I482" s="2310"/>
      <c r="J482" s="2534">
        <v>0</v>
      </c>
      <c r="K482" s="1615">
        <v>0</v>
      </c>
      <c r="L482" s="1636">
        <v>0</v>
      </c>
      <c r="M482" s="1636">
        <v>50000</v>
      </c>
      <c r="N482" s="1615">
        <v>25000</v>
      </c>
      <c r="O482" s="1635">
        <v>25000</v>
      </c>
      <c r="P482" s="1965" t="s">
        <v>2566</v>
      </c>
      <c r="Q482" s="1966" t="s">
        <v>4027</v>
      </c>
    </row>
    <row r="483" spans="1:17" ht="12.75" customHeight="1">
      <c r="A483" s="1962"/>
      <c r="B483" s="1840"/>
      <c r="C483" s="1850" t="s">
        <v>4038</v>
      </c>
      <c r="D483" s="1934"/>
      <c r="E483" s="1934">
        <v>3</v>
      </c>
      <c r="F483" s="1905"/>
      <c r="G483" s="1963" t="s">
        <v>2573</v>
      </c>
      <c r="H483" s="1964" t="s">
        <v>4039</v>
      </c>
      <c r="I483" s="2310"/>
      <c r="J483" s="2534">
        <v>0</v>
      </c>
      <c r="K483" s="1615">
        <v>0</v>
      </c>
      <c r="L483" s="1636">
        <v>0</v>
      </c>
      <c r="M483" s="1636">
        <v>1000000</v>
      </c>
      <c r="N483" s="1615">
        <v>1000000</v>
      </c>
      <c r="O483" s="1635">
        <v>500000</v>
      </c>
      <c r="P483" s="1965" t="s">
        <v>2566</v>
      </c>
      <c r="Q483" s="1966" t="s">
        <v>2587</v>
      </c>
    </row>
    <row r="484" spans="1:17" ht="12.75" customHeight="1">
      <c r="A484" s="1962"/>
      <c r="B484" s="1840"/>
      <c r="C484" s="1850"/>
      <c r="D484" s="1934"/>
      <c r="E484" s="1934"/>
      <c r="F484" s="1905"/>
      <c r="G484" s="1963"/>
      <c r="H484" s="1964"/>
      <c r="I484" s="2310"/>
      <c r="J484" s="2534"/>
      <c r="K484" s="1615"/>
      <c r="L484" s="1636"/>
      <c r="M484" s="1636"/>
      <c r="N484" s="1615"/>
      <c r="O484" s="1635"/>
      <c r="P484" s="1965"/>
      <c r="Q484" s="1966"/>
    </row>
    <row r="485" spans="1:17" ht="12.75" customHeight="1">
      <c r="A485" s="1962"/>
      <c r="B485" s="1840"/>
      <c r="C485" s="1850"/>
      <c r="D485" s="1934"/>
      <c r="E485" s="1934"/>
      <c r="F485" s="1905"/>
      <c r="G485" s="1963"/>
      <c r="H485" s="1964"/>
      <c r="I485" s="2310"/>
      <c r="J485" s="2534"/>
      <c r="K485" s="1615"/>
      <c r="L485" s="1636"/>
      <c r="M485" s="1636"/>
      <c r="N485" s="1615"/>
      <c r="O485" s="1635"/>
      <c r="P485" s="1965"/>
      <c r="Q485" s="1966"/>
    </row>
    <row r="486" spans="1:17" ht="12.75" customHeight="1">
      <c r="A486" s="1962"/>
      <c r="B486" s="1840"/>
      <c r="C486" s="1850"/>
      <c r="D486" s="1934"/>
      <c r="E486" s="1934"/>
      <c r="F486" s="1905"/>
      <c r="G486" s="1963"/>
      <c r="H486" s="1964"/>
      <c r="I486" s="2310"/>
      <c r="J486" s="2534"/>
      <c r="K486" s="1615"/>
      <c r="L486" s="1636"/>
      <c r="M486" s="1636"/>
      <c r="N486" s="1615"/>
      <c r="O486" s="1635"/>
      <c r="P486" s="1965"/>
      <c r="Q486" s="1966"/>
    </row>
    <row r="487" spans="1:17" ht="12.75" customHeight="1">
      <c r="A487" s="1962" t="s">
        <v>3216</v>
      </c>
      <c r="B487" s="1840"/>
      <c r="C487" s="1850" t="s">
        <v>2596</v>
      </c>
      <c r="D487" s="1934"/>
      <c r="E487" s="1934">
        <v>3</v>
      </c>
      <c r="F487" s="1905"/>
      <c r="G487" s="1963" t="s">
        <v>3203</v>
      </c>
      <c r="H487" s="1964" t="s">
        <v>3204</v>
      </c>
      <c r="I487" s="2310"/>
      <c r="J487" s="2534">
        <v>0</v>
      </c>
      <c r="K487" s="1615">
        <v>0</v>
      </c>
      <c r="L487" s="1636">
        <v>34000</v>
      </c>
      <c r="M487" s="1636"/>
      <c r="N487" s="1615"/>
      <c r="O487" s="1635"/>
      <c r="P487" s="1965" t="s">
        <v>2566</v>
      </c>
      <c r="Q487" s="1966" t="s">
        <v>2571</v>
      </c>
    </row>
    <row r="488" spans="1:17" ht="12.75" customHeight="1">
      <c r="A488" s="1962"/>
      <c r="B488" s="1840"/>
      <c r="C488" s="1850"/>
      <c r="D488" s="1934"/>
      <c r="E488" s="1934"/>
      <c r="F488" s="1905"/>
      <c r="G488" s="1963"/>
      <c r="H488" s="1964"/>
      <c r="I488" s="2310"/>
      <c r="J488" s="2534"/>
      <c r="K488" s="1615"/>
      <c r="L488" s="1636"/>
      <c r="M488" s="1636"/>
      <c r="N488" s="1615"/>
      <c r="O488" s="1635"/>
      <c r="P488" s="1965"/>
      <c r="Q488" s="1966"/>
    </row>
    <row r="489" spans="1:17" ht="12.75" customHeight="1">
      <c r="A489" s="1962"/>
      <c r="B489" s="1840"/>
      <c r="C489" s="1850"/>
      <c r="D489" s="1934"/>
      <c r="E489" s="1934"/>
      <c r="F489" s="1905"/>
      <c r="G489" s="1963"/>
      <c r="H489" s="1964"/>
      <c r="I489" s="2310"/>
      <c r="J489" s="2534"/>
      <c r="K489" s="1615"/>
      <c r="L489" s="1636"/>
      <c r="M489" s="1636"/>
      <c r="N489" s="1615"/>
      <c r="O489" s="1635"/>
      <c r="P489" s="1965"/>
      <c r="Q489" s="1966"/>
    </row>
    <row r="490" spans="1:17" ht="12.75" customHeight="1">
      <c r="A490" s="1962" t="s">
        <v>3217</v>
      </c>
      <c r="B490" s="1840"/>
      <c r="C490" s="1850" t="s">
        <v>3218</v>
      </c>
      <c r="D490" s="1934"/>
      <c r="E490" s="1934">
        <v>3</v>
      </c>
      <c r="F490" s="1905"/>
      <c r="G490" s="1963" t="s">
        <v>3203</v>
      </c>
      <c r="H490" s="1964" t="s">
        <v>3204</v>
      </c>
      <c r="I490" s="2310"/>
      <c r="J490" s="2534">
        <v>0</v>
      </c>
      <c r="K490" s="1615">
        <v>0</v>
      </c>
      <c r="L490" s="1636">
        <v>30000</v>
      </c>
      <c r="M490" s="1636"/>
      <c r="N490" s="1615"/>
      <c r="O490" s="1635"/>
      <c r="P490" s="1965" t="s">
        <v>2566</v>
      </c>
      <c r="Q490" s="1966" t="s">
        <v>2571</v>
      </c>
    </row>
    <row r="491" spans="1:17" ht="12.75" customHeight="1">
      <c r="A491" s="1962"/>
      <c r="B491" s="1840"/>
      <c r="C491" s="1850" t="s">
        <v>3219</v>
      </c>
      <c r="D491" s="1934"/>
      <c r="E491" s="1934">
        <v>3</v>
      </c>
      <c r="F491" s="1905"/>
      <c r="G491" s="1963" t="s">
        <v>3203</v>
      </c>
      <c r="H491" s="1964" t="s">
        <v>2565</v>
      </c>
      <c r="I491" s="2310"/>
      <c r="J491" s="2534">
        <v>0</v>
      </c>
      <c r="K491" s="1615">
        <v>0</v>
      </c>
      <c r="L491" s="1636">
        <v>0</v>
      </c>
      <c r="M491" s="1636"/>
      <c r="N491" s="1615"/>
      <c r="O491" s="1635"/>
      <c r="P491" s="1965" t="s">
        <v>2566</v>
      </c>
      <c r="Q491" s="1966" t="s">
        <v>2571</v>
      </c>
    </row>
    <row r="492" spans="1:17" ht="12.75" customHeight="1">
      <c r="A492" s="1962"/>
      <c r="B492" s="1840"/>
      <c r="C492" s="1850" t="s">
        <v>2733</v>
      </c>
      <c r="D492" s="1934"/>
      <c r="E492" s="1934">
        <v>3</v>
      </c>
      <c r="F492" s="1905"/>
      <c r="G492" s="1963" t="s">
        <v>2573</v>
      </c>
      <c r="H492" s="1964" t="s">
        <v>2733</v>
      </c>
      <c r="I492" s="2310"/>
      <c r="J492" s="2534">
        <v>0</v>
      </c>
      <c r="K492" s="1615">
        <v>0</v>
      </c>
      <c r="L492" s="1636">
        <v>0</v>
      </c>
      <c r="M492" s="1636"/>
      <c r="N492" s="1615"/>
      <c r="O492" s="1635"/>
      <c r="P492" s="1965" t="s">
        <v>2566</v>
      </c>
      <c r="Q492" s="1966" t="s">
        <v>2571</v>
      </c>
    </row>
    <row r="493" spans="1:17" ht="12.75" customHeight="1">
      <c r="A493" s="1962"/>
      <c r="B493" s="1840"/>
      <c r="C493" s="1850" t="s">
        <v>3183</v>
      </c>
      <c r="D493" s="1934"/>
      <c r="E493" s="1934">
        <v>3</v>
      </c>
      <c r="F493" s="1905"/>
      <c r="G493" s="1963" t="s">
        <v>3188</v>
      </c>
      <c r="H493" s="1964" t="s">
        <v>3174</v>
      </c>
      <c r="I493" s="2310"/>
      <c r="J493" s="2534">
        <v>0</v>
      </c>
      <c r="K493" s="1615">
        <v>0</v>
      </c>
      <c r="L493" s="1636">
        <v>0</v>
      </c>
      <c r="M493" s="1636"/>
      <c r="N493" s="1615"/>
      <c r="O493" s="1635"/>
      <c r="P493" s="1965" t="s">
        <v>2566</v>
      </c>
      <c r="Q493" s="1966" t="s">
        <v>2571</v>
      </c>
    </row>
    <row r="494" spans="1:17" ht="12.75" customHeight="1">
      <c r="A494" s="1962"/>
      <c r="B494" s="1840"/>
      <c r="C494" s="1850" t="s">
        <v>3220</v>
      </c>
      <c r="D494" s="1934"/>
      <c r="E494" s="1934">
        <v>3</v>
      </c>
      <c r="F494" s="1905"/>
      <c r="G494" s="1963" t="s">
        <v>3203</v>
      </c>
      <c r="H494" s="1964" t="s">
        <v>2564</v>
      </c>
      <c r="I494" s="2310"/>
      <c r="J494" s="2534">
        <v>0</v>
      </c>
      <c r="K494" s="1615">
        <v>0</v>
      </c>
      <c r="L494" s="1636">
        <v>6500</v>
      </c>
      <c r="M494" s="1636"/>
      <c r="N494" s="1615"/>
      <c r="O494" s="1635"/>
      <c r="P494" s="1965" t="s">
        <v>2566</v>
      </c>
      <c r="Q494" s="1966" t="s">
        <v>2571</v>
      </c>
    </row>
    <row r="495" spans="1:17" ht="12.75" customHeight="1">
      <c r="A495" s="1962"/>
      <c r="B495" s="1840"/>
      <c r="C495" s="1850" t="s">
        <v>3221</v>
      </c>
      <c r="D495" s="1934"/>
      <c r="E495" s="1934">
        <v>3</v>
      </c>
      <c r="F495" s="1905"/>
      <c r="G495" s="1963" t="s">
        <v>3203</v>
      </c>
      <c r="H495" s="1964" t="s">
        <v>2564</v>
      </c>
      <c r="I495" s="2310"/>
      <c r="J495" s="2534">
        <v>0</v>
      </c>
      <c r="K495" s="1615">
        <v>0</v>
      </c>
      <c r="L495" s="1636">
        <v>1500</v>
      </c>
      <c r="M495" s="1636"/>
      <c r="N495" s="1615"/>
      <c r="O495" s="1635"/>
      <c r="P495" s="1965" t="s">
        <v>2566</v>
      </c>
      <c r="Q495" s="1966" t="s">
        <v>2571</v>
      </c>
    </row>
    <row r="496" spans="1:17" ht="12.75" customHeight="1">
      <c r="A496" s="1962"/>
      <c r="B496" s="1840"/>
      <c r="C496" s="1850" t="s">
        <v>3222</v>
      </c>
      <c r="D496" s="1934"/>
      <c r="E496" s="1934">
        <v>3</v>
      </c>
      <c r="F496" s="1905"/>
      <c r="G496" s="1963" t="s">
        <v>3203</v>
      </c>
      <c r="H496" s="1964" t="s">
        <v>2564</v>
      </c>
      <c r="I496" s="2310"/>
      <c r="J496" s="2534">
        <v>0</v>
      </c>
      <c r="K496" s="1615">
        <v>0</v>
      </c>
      <c r="L496" s="1636">
        <v>800</v>
      </c>
      <c r="M496" s="1636"/>
      <c r="N496" s="1615"/>
      <c r="O496" s="1635"/>
      <c r="P496" s="1965" t="s">
        <v>2566</v>
      </c>
      <c r="Q496" s="1966" t="s">
        <v>2571</v>
      </c>
    </row>
    <row r="497" spans="1:17" ht="12.75" customHeight="1">
      <c r="A497" s="1962"/>
      <c r="B497" s="1840"/>
      <c r="C497" s="1850" t="s">
        <v>3223</v>
      </c>
      <c r="D497" s="1934"/>
      <c r="E497" s="1934">
        <v>3</v>
      </c>
      <c r="F497" s="1905"/>
      <c r="G497" s="1963" t="s">
        <v>3203</v>
      </c>
      <c r="H497" s="1964" t="s">
        <v>2564</v>
      </c>
      <c r="I497" s="2310"/>
      <c r="J497" s="2534">
        <v>0</v>
      </c>
      <c r="K497" s="1615">
        <v>0</v>
      </c>
      <c r="L497" s="1636">
        <v>2000</v>
      </c>
      <c r="M497" s="1636"/>
      <c r="N497" s="1615"/>
      <c r="O497" s="1635"/>
      <c r="P497" s="1965" t="s">
        <v>2566</v>
      </c>
      <c r="Q497" s="1966" t="s">
        <v>2571</v>
      </c>
    </row>
    <row r="498" spans="1:17" ht="12.75" customHeight="1">
      <c r="A498" s="1962"/>
      <c r="B498" s="1840"/>
      <c r="C498" s="1850" t="s">
        <v>3224</v>
      </c>
      <c r="D498" s="1934"/>
      <c r="E498" s="1934">
        <v>3</v>
      </c>
      <c r="F498" s="1905"/>
      <c r="G498" s="1963" t="s">
        <v>3203</v>
      </c>
      <c r="H498" s="1964" t="s">
        <v>2564</v>
      </c>
      <c r="I498" s="2310"/>
      <c r="J498" s="2534">
        <v>0</v>
      </c>
      <c r="K498" s="1615">
        <v>0</v>
      </c>
      <c r="L498" s="1636">
        <v>2000</v>
      </c>
      <c r="M498" s="1636"/>
      <c r="N498" s="1615"/>
      <c r="O498" s="1635"/>
      <c r="P498" s="1965" t="s">
        <v>2566</v>
      </c>
      <c r="Q498" s="1966" t="s">
        <v>2571</v>
      </c>
    </row>
    <row r="499" spans="1:17" ht="12.75" customHeight="1">
      <c r="A499" s="1962"/>
      <c r="B499" s="1840"/>
      <c r="C499" s="1850" t="s">
        <v>2575</v>
      </c>
      <c r="D499" s="1934"/>
      <c r="E499" s="1934">
        <v>3</v>
      </c>
      <c r="F499" s="1905"/>
      <c r="G499" s="1963" t="s">
        <v>3203</v>
      </c>
      <c r="H499" s="1964" t="s">
        <v>2564</v>
      </c>
      <c r="I499" s="2310"/>
      <c r="J499" s="2534">
        <v>0</v>
      </c>
      <c r="K499" s="1615">
        <v>0</v>
      </c>
      <c r="L499" s="1636">
        <v>2000</v>
      </c>
      <c r="M499" s="1636"/>
      <c r="N499" s="1615"/>
      <c r="O499" s="1635"/>
      <c r="P499" s="1965" t="s">
        <v>2566</v>
      </c>
      <c r="Q499" s="1966" t="s">
        <v>2571</v>
      </c>
    </row>
    <row r="500" spans="1:17" ht="12.75" customHeight="1">
      <c r="A500" s="1962"/>
      <c r="B500" s="1840"/>
      <c r="C500" s="1850" t="s">
        <v>2684</v>
      </c>
      <c r="D500" s="1934"/>
      <c r="E500" s="1934">
        <v>3</v>
      </c>
      <c r="F500" s="1905"/>
      <c r="G500" s="1963" t="s">
        <v>2573</v>
      </c>
      <c r="H500" s="1964" t="s">
        <v>2688</v>
      </c>
      <c r="I500" s="2310"/>
      <c r="J500" s="2534">
        <v>0</v>
      </c>
      <c r="K500" s="1615">
        <v>0</v>
      </c>
      <c r="L500" s="1636">
        <v>0</v>
      </c>
      <c r="M500" s="1636"/>
      <c r="N500" s="1615"/>
      <c r="O500" s="1635"/>
      <c r="P500" s="1965" t="s">
        <v>2566</v>
      </c>
      <c r="Q500" s="1966" t="s">
        <v>2571</v>
      </c>
    </row>
    <row r="501" spans="1:17" ht="12.75" customHeight="1">
      <c r="A501" s="1962"/>
      <c r="B501" s="1840"/>
      <c r="C501" s="1850" t="s">
        <v>3225</v>
      </c>
      <c r="D501" s="1934"/>
      <c r="E501" s="1934">
        <v>3</v>
      </c>
      <c r="F501" s="1905"/>
      <c r="G501" s="1963" t="s">
        <v>3203</v>
      </c>
      <c r="H501" s="1964" t="s">
        <v>2591</v>
      </c>
      <c r="I501" s="2310"/>
      <c r="J501" s="2534">
        <v>0</v>
      </c>
      <c r="K501" s="1615">
        <v>0</v>
      </c>
      <c r="L501" s="1636">
        <v>0</v>
      </c>
      <c r="M501" s="1636"/>
      <c r="N501" s="1615"/>
      <c r="O501" s="1635"/>
      <c r="P501" s="1965" t="s">
        <v>2566</v>
      </c>
      <c r="Q501" s="1966" t="s">
        <v>2571</v>
      </c>
    </row>
    <row r="502" spans="1:17" ht="12.75" customHeight="1">
      <c r="A502" s="1962"/>
      <c r="B502" s="1840"/>
      <c r="C502" s="1850" t="s">
        <v>3226</v>
      </c>
      <c r="D502" s="1934"/>
      <c r="E502" s="1934">
        <v>3</v>
      </c>
      <c r="F502" s="1905"/>
      <c r="G502" s="1963" t="s">
        <v>3203</v>
      </c>
      <c r="H502" s="1964" t="s">
        <v>2591</v>
      </c>
      <c r="I502" s="2310"/>
      <c r="J502" s="2534">
        <v>0</v>
      </c>
      <c r="K502" s="1615">
        <v>0</v>
      </c>
      <c r="L502" s="1636">
        <v>0</v>
      </c>
      <c r="M502" s="1636"/>
      <c r="N502" s="1615"/>
      <c r="O502" s="1635"/>
      <c r="P502" s="1965" t="s">
        <v>2566</v>
      </c>
      <c r="Q502" s="1966" t="s">
        <v>2571</v>
      </c>
    </row>
    <row r="503" spans="1:17" ht="12.75" customHeight="1">
      <c r="A503" s="1962"/>
      <c r="B503" s="1840"/>
      <c r="C503" s="1850" t="s">
        <v>3227</v>
      </c>
      <c r="D503" s="1934"/>
      <c r="E503" s="1934">
        <v>3</v>
      </c>
      <c r="F503" s="1905"/>
      <c r="G503" s="1963" t="s">
        <v>2573</v>
      </c>
      <c r="H503" s="1964" t="s">
        <v>2627</v>
      </c>
      <c r="I503" s="2310"/>
      <c r="J503" s="2534">
        <v>0</v>
      </c>
      <c r="K503" s="1615">
        <v>0</v>
      </c>
      <c r="L503" s="1636">
        <v>0</v>
      </c>
      <c r="M503" s="1636"/>
      <c r="N503" s="1615"/>
      <c r="O503" s="1635"/>
      <c r="P503" s="1965" t="s">
        <v>2566</v>
      </c>
      <c r="Q503" s="1966" t="s">
        <v>2571</v>
      </c>
    </row>
    <row r="504" spans="1:17" ht="12.75" customHeight="1">
      <c r="A504" s="1962"/>
      <c r="B504" s="1840"/>
      <c r="C504" s="1850" t="s">
        <v>3228</v>
      </c>
      <c r="D504" s="1934"/>
      <c r="E504" s="1934">
        <v>3</v>
      </c>
      <c r="F504" s="1905"/>
      <c r="G504" s="1963" t="s">
        <v>2573</v>
      </c>
      <c r="H504" s="1964" t="s">
        <v>3229</v>
      </c>
      <c r="I504" s="2310"/>
      <c r="J504" s="2534">
        <v>0</v>
      </c>
      <c r="K504" s="1615">
        <v>0</v>
      </c>
      <c r="L504" s="1636">
        <v>0</v>
      </c>
      <c r="M504" s="1636"/>
      <c r="N504" s="1615"/>
      <c r="O504" s="1635"/>
      <c r="P504" s="1965" t="s">
        <v>2566</v>
      </c>
      <c r="Q504" s="1966" t="s">
        <v>2571</v>
      </c>
    </row>
    <row r="505" spans="1:17" ht="12.75" customHeight="1">
      <c r="A505" s="1962"/>
      <c r="B505" s="1840"/>
      <c r="C505" s="1850" t="s">
        <v>3230</v>
      </c>
      <c r="D505" s="1934"/>
      <c r="E505" s="1934">
        <v>3</v>
      </c>
      <c r="F505" s="1905"/>
      <c r="G505" s="1963" t="s">
        <v>3203</v>
      </c>
      <c r="H505" s="1964" t="s">
        <v>2883</v>
      </c>
      <c r="I505" s="2310"/>
      <c r="J505" s="2534">
        <v>0</v>
      </c>
      <c r="K505" s="1615">
        <v>0</v>
      </c>
      <c r="L505" s="1636">
        <v>0</v>
      </c>
      <c r="M505" s="1636"/>
      <c r="N505" s="1615"/>
      <c r="O505" s="1635"/>
      <c r="P505" s="1965" t="s">
        <v>2566</v>
      </c>
      <c r="Q505" s="1966" t="s">
        <v>2571</v>
      </c>
    </row>
    <row r="506" spans="1:17" ht="12.75" customHeight="1">
      <c r="A506" s="1962"/>
      <c r="B506" s="1840"/>
      <c r="C506" s="1850" t="s">
        <v>3231</v>
      </c>
      <c r="D506" s="1934"/>
      <c r="E506" s="1934">
        <v>3</v>
      </c>
      <c r="F506" s="1905"/>
      <c r="G506" s="1963" t="s">
        <v>3232</v>
      </c>
      <c r="H506" s="1964" t="s">
        <v>3233</v>
      </c>
      <c r="I506" s="2310"/>
      <c r="J506" s="2534">
        <v>0</v>
      </c>
      <c r="K506" s="1615">
        <v>0</v>
      </c>
      <c r="L506" s="1636">
        <v>0</v>
      </c>
      <c r="M506" s="1636"/>
      <c r="N506" s="1615"/>
      <c r="O506" s="1635"/>
      <c r="P506" s="1965" t="s">
        <v>2566</v>
      </c>
      <c r="Q506" s="1966" t="s">
        <v>2571</v>
      </c>
    </row>
    <row r="507" spans="1:17" ht="12.75" customHeight="1">
      <c r="A507" s="1962"/>
      <c r="B507" s="1840"/>
      <c r="C507" s="1850" t="s">
        <v>3234</v>
      </c>
      <c r="D507" s="1934"/>
      <c r="E507" s="1934">
        <v>3</v>
      </c>
      <c r="F507" s="1905"/>
      <c r="G507" s="1963" t="s">
        <v>2569</v>
      </c>
      <c r="H507" s="1964" t="s">
        <v>2594</v>
      </c>
      <c r="I507" s="2310"/>
      <c r="J507" s="2534">
        <v>0</v>
      </c>
      <c r="K507" s="1615">
        <v>0</v>
      </c>
      <c r="L507" s="1636">
        <v>0</v>
      </c>
      <c r="M507" s="1636"/>
      <c r="N507" s="1615"/>
      <c r="O507" s="1635"/>
      <c r="P507" s="1965" t="s">
        <v>2566</v>
      </c>
      <c r="Q507" s="1966" t="s">
        <v>2571</v>
      </c>
    </row>
    <row r="508" spans="1:17" ht="12.75" customHeight="1">
      <c r="A508" s="1962"/>
      <c r="B508" s="1840"/>
      <c r="C508" s="1850"/>
      <c r="D508" s="1934"/>
      <c r="E508" s="1934"/>
      <c r="F508" s="1905"/>
      <c r="G508" s="1963"/>
      <c r="H508" s="1964"/>
      <c r="I508" s="2310"/>
      <c r="J508" s="2534"/>
      <c r="K508" s="1615"/>
      <c r="L508" s="1636"/>
      <c r="M508" s="1636"/>
      <c r="N508" s="1615"/>
      <c r="O508" s="1635"/>
      <c r="P508" s="1965"/>
      <c r="Q508" s="1966"/>
    </row>
    <row r="509" spans="1:17" ht="12.75" customHeight="1">
      <c r="A509" s="1962"/>
      <c r="B509" s="1840"/>
      <c r="C509" s="1850"/>
      <c r="D509" s="1934"/>
      <c r="E509" s="1934"/>
      <c r="F509" s="1905"/>
      <c r="G509" s="1963"/>
      <c r="H509" s="1964"/>
      <c r="I509" s="2310"/>
      <c r="J509" s="2534"/>
      <c r="K509" s="1615"/>
      <c r="L509" s="1636"/>
      <c r="M509" s="1636"/>
      <c r="N509" s="1615"/>
      <c r="O509" s="1635"/>
      <c r="P509" s="1965"/>
      <c r="Q509" s="1966"/>
    </row>
    <row r="510" spans="1:17" ht="12.75" customHeight="1">
      <c r="A510" s="1962" t="s">
        <v>3235</v>
      </c>
      <c r="B510" s="1840"/>
      <c r="C510" s="1850" t="s">
        <v>3236</v>
      </c>
      <c r="D510" s="1934"/>
      <c r="E510" s="1934">
        <v>1</v>
      </c>
      <c r="F510" s="1905"/>
      <c r="G510" s="1963" t="s">
        <v>2564</v>
      </c>
      <c r="H510" s="1964" t="s">
        <v>3237</v>
      </c>
      <c r="I510" s="2310"/>
      <c r="J510" s="2534">
        <v>0</v>
      </c>
      <c r="K510" s="1615">
        <v>0</v>
      </c>
      <c r="L510" s="1636">
        <v>100000</v>
      </c>
      <c r="M510" s="1636"/>
      <c r="N510" s="1615"/>
      <c r="O510" s="1635"/>
      <c r="P510" s="1965" t="s">
        <v>2566</v>
      </c>
      <c r="Q510" s="1966" t="s">
        <v>2571</v>
      </c>
    </row>
    <row r="511" spans="1:17" ht="12.75" customHeight="1">
      <c r="A511" s="1962"/>
      <c r="B511" s="1840"/>
      <c r="C511" s="1850" t="s">
        <v>2606</v>
      </c>
      <c r="D511" s="1934"/>
      <c r="E511" s="1934">
        <v>1</v>
      </c>
      <c r="F511" s="1905"/>
      <c r="G511" s="1963" t="s">
        <v>2564</v>
      </c>
      <c r="H511" s="1964" t="s">
        <v>2607</v>
      </c>
      <c r="I511" s="2310"/>
      <c r="J511" s="2534">
        <v>0</v>
      </c>
      <c r="K511" s="1615">
        <v>0</v>
      </c>
      <c r="L511" s="1636">
        <v>500000</v>
      </c>
      <c r="M511" s="1636">
        <v>200000</v>
      </c>
      <c r="N511" s="1615">
        <v>100000</v>
      </c>
      <c r="O511" s="1635">
        <v>0</v>
      </c>
      <c r="P511" s="1965" t="s">
        <v>2566</v>
      </c>
      <c r="Q511" s="1966" t="s">
        <v>2571</v>
      </c>
    </row>
    <row r="512" spans="1:17" ht="12.75" customHeight="1">
      <c r="A512" s="1962"/>
      <c r="B512" s="1840"/>
      <c r="C512" s="1850" t="s">
        <v>3238</v>
      </c>
      <c r="D512" s="1934"/>
      <c r="E512" s="1934">
        <v>2</v>
      </c>
      <c r="F512" s="1905"/>
      <c r="G512" s="1963" t="s">
        <v>2564</v>
      </c>
      <c r="H512" s="1964" t="s">
        <v>3004</v>
      </c>
      <c r="I512" s="2310"/>
      <c r="J512" s="2534">
        <v>0</v>
      </c>
      <c r="K512" s="1615">
        <v>0</v>
      </c>
      <c r="L512" s="1636">
        <v>30000</v>
      </c>
      <c r="M512" s="1636"/>
      <c r="N512" s="1615"/>
      <c r="O512" s="1635"/>
      <c r="P512" s="1965" t="s">
        <v>2566</v>
      </c>
      <c r="Q512" s="1966" t="s">
        <v>2571</v>
      </c>
    </row>
    <row r="513" spans="1:17" ht="12.75" customHeight="1">
      <c r="A513" s="1962"/>
      <c r="B513" s="1840"/>
      <c r="C513" s="1850" t="s">
        <v>3239</v>
      </c>
      <c r="D513" s="1934"/>
      <c r="E513" s="1934">
        <v>2</v>
      </c>
      <c r="F513" s="1905"/>
      <c r="G513" s="1963" t="s">
        <v>2573</v>
      </c>
      <c r="H513" s="1964" t="s">
        <v>3240</v>
      </c>
      <c r="I513" s="2310"/>
      <c r="J513" s="2534">
        <v>0</v>
      </c>
      <c r="K513" s="1615">
        <v>0</v>
      </c>
      <c r="L513" s="1636">
        <v>250000</v>
      </c>
      <c r="M513" s="1636"/>
      <c r="N513" s="1615"/>
      <c r="O513" s="1635"/>
      <c r="P513" s="1965" t="s">
        <v>2566</v>
      </c>
      <c r="Q513" s="1966" t="s">
        <v>2571</v>
      </c>
    </row>
    <row r="514" spans="1:17" ht="12.75" customHeight="1">
      <c r="A514" s="1962"/>
      <c r="B514" s="1840"/>
      <c r="C514" s="1850" t="s">
        <v>3241</v>
      </c>
      <c r="D514" s="1934"/>
      <c r="E514" s="1934">
        <v>1</v>
      </c>
      <c r="F514" s="1905"/>
      <c r="G514" s="1963" t="s">
        <v>2569</v>
      </c>
      <c r="H514" s="1964" t="s">
        <v>2607</v>
      </c>
      <c r="I514" s="2310"/>
      <c r="J514" s="2534">
        <v>0</v>
      </c>
      <c r="K514" s="1615">
        <v>0</v>
      </c>
      <c r="L514" s="1636">
        <v>300000</v>
      </c>
      <c r="M514" s="1636">
        <v>100000</v>
      </c>
      <c r="N514" s="1615">
        <v>50000</v>
      </c>
      <c r="O514" s="1635">
        <v>0</v>
      </c>
      <c r="P514" s="1965" t="s">
        <v>2566</v>
      </c>
      <c r="Q514" s="1966" t="s">
        <v>2571</v>
      </c>
    </row>
    <row r="515" spans="1:17" ht="12.75" customHeight="1">
      <c r="A515" s="1962"/>
      <c r="B515" s="1840"/>
      <c r="C515" s="1850" t="s">
        <v>3242</v>
      </c>
      <c r="D515" s="1934"/>
      <c r="E515" s="1934">
        <v>2</v>
      </c>
      <c r="F515" s="1905"/>
      <c r="G515" s="1963" t="s">
        <v>2569</v>
      </c>
      <c r="H515" s="1964" t="s">
        <v>2980</v>
      </c>
      <c r="I515" s="2310"/>
      <c r="J515" s="2534">
        <v>0</v>
      </c>
      <c r="K515" s="1615">
        <v>0</v>
      </c>
      <c r="L515" s="1636">
        <v>0</v>
      </c>
      <c r="M515" s="1636"/>
      <c r="N515" s="1615"/>
      <c r="O515" s="1635"/>
      <c r="P515" s="1965" t="s">
        <v>2566</v>
      </c>
      <c r="Q515" s="1966" t="s">
        <v>2571</v>
      </c>
    </row>
    <row r="516" spans="1:17" ht="12.75" customHeight="1">
      <c r="A516" s="1962"/>
      <c r="B516" s="1840"/>
      <c r="C516" s="1850" t="s">
        <v>3243</v>
      </c>
      <c r="D516" s="1934"/>
      <c r="E516" s="1934">
        <v>2</v>
      </c>
      <c r="F516" s="1905"/>
      <c r="G516" s="1963" t="s">
        <v>2564</v>
      </c>
      <c r="H516" s="1964" t="s">
        <v>3204</v>
      </c>
      <c r="I516" s="2310"/>
      <c r="J516" s="2534">
        <v>0</v>
      </c>
      <c r="K516" s="1615">
        <v>0</v>
      </c>
      <c r="L516" s="1636">
        <v>50000</v>
      </c>
      <c r="M516" s="1636"/>
      <c r="N516" s="1615"/>
      <c r="O516" s="1635"/>
      <c r="P516" s="1965" t="s">
        <v>2566</v>
      </c>
      <c r="Q516" s="1966" t="s">
        <v>2571</v>
      </c>
    </row>
    <row r="517" spans="1:17" ht="12.75" customHeight="1">
      <c r="A517" s="1962"/>
      <c r="B517" s="1840"/>
      <c r="C517" s="1850" t="s">
        <v>3244</v>
      </c>
      <c r="D517" s="1934"/>
      <c r="E517" s="1934">
        <v>2</v>
      </c>
      <c r="F517" s="1905"/>
      <c r="G517" s="1963" t="s">
        <v>2569</v>
      </c>
      <c r="H517" s="1964" t="s">
        <v>2980</v>
      </c>
      <c r="I517" s="2310"/>
      <c r="J517" s="2534">
        <v>0</v>
      </c>
      <c r="K517" s="1615">
        <v>0</v>
      </c>
      <c r="L517" s="1636">
        <v>0</v>
      </c>
      <c r="M517" s="1636"/>
      <c r="N517" s="1615"/>
      <c r="O517" s="1635"/>
      <c r="P517" s="1965" t="s">
        <v>2566</v>
      </c>
      <c r="Q517" s="1966" t="s">
        <v>2571</v>
      </c>
    </row>
    <row r="518" spans="1:17" ht="12.75" customHeight="1">
      <c r="A518" s="1962"/>
      <c r="B518" s="1840"/>
      <c r="C518" s="1850" t="s">
        <v>3245</v>
      </c>
      <c r="D518" s="1934"/>
      <c r="E518" s="1934">
        <v>2</v>
      </c>
      <c r="F518" s="1905"/>
      <c r="G518" s="1963" t="s">
        <v>2564</v>
      </c>
      <c r="H518" s="1964" t="s">
        <v>2591</v>
      </c>
      <c r="I518" s="2310"/>
      <c r="J518" s="2534">
        <v>0</v>
      </c>
      <c r="K518" s="1615">
        <v>0</v>
      </c>
      <c r="L518" s="1636">
        <v>0</v>
      </c>
      <c r="M518" s="1636"/>
      <c r="N518" s="1615"/>
      <c r="O518" s="1635"/>
      <c r="P518" s="1965" t="s">
        <v>2566</v>
      </c>
      <c r="Q518" s="1966" t="s">
        <v>2571</v>
      </c>
    </row>
    <row r="519" spans="1:17" ht="12.75" customHeight="1">
      <c r="A519" s="1962"/>
      <c r="B519" s="1840"/>
      <c r="C519" s="1850" t="s">
        <v>3246</v>
      </c>
      <c r="D519" s="1934"/>
      <c r="E519" s="1934">
        <v>2</v>
      </c>
      <c r="F519" s="1905"/>
      <c r="G519" s="1963" t="s">
        <v>2564</v>
      </c>
      <c r="H519" s="1964" t="s">
        <v>2591</v>
      </c>
      <c r="I519" s="2310"/>
      <c r="J519" s="2534">
        <v>0</v>
      </c>
      <c r="K519" s="1615">
        <v>0</v>
      </c>
      <c r="L519" s="1636">
        <v>0</v>
      </c>
      <c r="M519" s="1636"/>
      <c r="N519" s="1615"/>
      <c r="O519" s="1635"/>
      <c r="P519" s="1965" t="s">
        <v>2566</v>
      </c>
      <c r="Q519" s="1966" t="s">
        <v>2571</v>
      </c>
    </row>
    <row r="520" spans="1:17" ht="12.75" customHeight="1">
      <c r="A520" s="1962"/>
      <c r="B520" s="1840"/>
      <c r="C520" s="1850" t="s">
        <v>3247</v>
      </c>
      <c r="D520" s="1934"/>
      <c r="E520" s="1934">
        <v>2</v>
      </c>
      <c r="F520" s="1905"/>
      <c r="G520" s="1963" t="s">
        <v>2564</v>
      </c>
      <c r="H520" s="1964" t="s">
        <v>3248</v>
      </c>
      <c r="I520" s="2310"/>
      <c r="J520" s="2534">
        <v>0</v>
      </c>
      <c r="K520" s="1615">
        <v>0</v>
      </c>
      <c r="L520" s="1636">
        <v>70000</v>
      </c>
      <c r="M520" s="1636"/>
      <c r="N520" s="1615"/>
      <c r="O520" s="1635"/>
      <c r="P520" s="1965" t="s">
        <v>2566</v>
      </c>
      <c r="Q520" s="1966" t="s">
        <v>2571</v>
      </c>
    </row>
    <row r="521" spans="1:17" ht="12.75" customHeight="1">
      <c r="A521" s="1962"/>
      <c r="B521" s="1840"/>
      <c r="C521" s="1850" t="s">
        <v>3249</v>
      </c>
      <c r="D521" s="1934"/>
      <c r="E521" s="1934">
        <v>2</v>
      </c>
      <c r="F521" s="1905"/>
      <c r="G521" s="1963" t="s">
        <v>2569</v>
      </c>
      <c r="H521" s="1964" t="s">
        <v>2602</v>
      </c>
      <c r="I521" s="2310"/>
      <c r="J521" s="2534">
        <v>0</v>
      </c>
      <c r="K521" s="1615">
        <v>0</v>
      </c>
      <c r="L521" s="1636">
        <v>15000</v>
      </c>
      <c r="M521" s="1636"/>
      <c r="N521" s="1615"/>
      <c r="O521" s="1635"/>
      <c r="P521" s="1965" t="s">
        <v>2566</v>
      </c>
      <c r="Q521" s="1966" t="s">
        <v>2571</v>
      </c>
    </row>
    <row r="522" spans="1:17" ht="12.75" customHeight="1">
      <c r="A522" s="1962"/>
      <c r="B522" s="1840"/>
      <c r="C522" s="1850" t="s">
        <v>3250</v>
      </c>
      <c r="D522" s="1934"/>
      <c r="E522" s="1934">
        <v>2</v>
      </c>
      <c r="F522" s="1905"/>
      <c r="G522" s="1963" t="s">
        <v>3188</v>
      </c>
      <c r="H522" s="1964" t="s">
        <v>3174</v>
      </c>
      <c r="I522" s="2310"/>
      <c r="J522" s="2534">
        <v>0</v>
      </c>
      <c r="K522" s="1615">
        <v>0</v>
      </c>
      <c r="L522" s="1636">
        <v>200000</v>
      </c>
      <c r="M522" s="1636"/>
      <c r="N522" s="1615"/>
      <c r="O522" s="1635"/>
      <c r="P522" s="1965" t="s">
        <v>2566</v>
      </c>
      <c r="Q522" s="1966" t="s">
        <v>2571</v>
      </c>
    </row>
    <row r="523" spans="1:17" ht="12.75" customHeight="1">
      <c r="A523" s="1962"/>
      <c r="B523" s="1840"/>
      <c r="C523" s="1850" t="s">
        <v>3251</v>
      </c>
      <c r="D523" s="1934"/>
      <c r="E523" s="1934">
        <v>2</v>
      </c>
      <c r="F523" s="1905"/>
      <c r="G523" s="1963" t="s">
        <v>2564</v>
      </c>
      <c r="H523" s="1964" t="s">
        <v>3252</v>
      </c>
      <c r="I523" s="2310"/>
      <c r="J523" s="2534">
        <v>0</v>
      </c>
      <c r="K523" s="1615">
        <v>0</v>
      </c>
      <c r="L523" s="1636">
        <v>20000</v>
      </c>
      <c r="M523" s="1636"/>
      <c r="N523" s="1615"/>
      <c r="O523" s="1635"/>
      <c r="P523" s="1965" t="s">
        <v>2566</v>
      </c>
      <c r="Q523" s="1966" t="s">
        <v>2571</v>
      </c>
    </row>
    <row r="524" spans="1:17" ht="12.75" customHeight="1">
      <c r="A524" s="1962"/>
      <c r="B524" s="1840"/>
      <c r="C524" s="1850" t="s">
        <v>4040</v>
      </c>
      <c r="D524" s="1934"/>
      <c r="E524" s="1934">
        <v>1</v>
      </c>
      <c r="F524" s="1905"/>
      <c r="G524" s="1963" t="s">
        <v>2573</v>
      </c>
      <c r="H524" s="1964" t="s">
        <v>4041</v>
      </c>
      <c r="I524" s="2310"/>
      <c r="J524" s="2534">
        <v>0</v>
      </c>
      <c r="K524" s="1615">
        <v>0</v>
      </c>
      <c r="L524" s="1636">
        <v>0</v>
      </c>
      <c r="M524" s="1636">
        <v>100000</v>
      </c>
      <c r="N524" s="1615"/>
      <c r="O524" s="1635"/>
      <c r="P524" s="1965" t="s">
        <v>2566</v>
      </c>
      <c r="Q524" s="1966" t="s">
        <v>2571</v>
      </c>
    </row>
    <row r="525" spans="1:17" ht="12.75" customHeight="1">
      <c r="A525" s="1962"/>
      <c r="B525" s="1840"/>
      <c r="C525" s="1850" t="s">
        <v>2627</v>
      </c>
      <c r="D525" s="1934"/>
      <c r="E525" s="1934">
        <v>1</v>
      </c>
      <c r="F525" s="1905"/>
      <c r="G525" s="1963" t="s">
        <v>2573</v>
      </c>
      <c r="H525" s="1964" t="s">
        <v>2627</v>
      </c>
      <c r="I525" s="2310"/>
      <c r="J525" s="2534">
        <v>0</v>
      </c>
      <c r="K525" s="1615">
        <v>0</v>
      </c>
      <c r="L525" s="1636">
        <v>0</v>
      </c>
      <c r="M525" s="1636">
        <v>3000</v>
      </c>
      <c r="N525" s="1615">
        <v>0</v>
      </c>
      <c r="O525" s="1635">
        <v>0</v>
      </c>
      <c r="P525" s="1965" t="s">
        <v>2566</v>
      </c>
      <c r="Q525" s="1966" t="s">
        <v>2571</v>
      </c>
    </row>
    <row r="526" spans="1:17" ht="12.75" customHeight="1">
      <c r="A526" s="1962"/>
      <c r="B526" s="1840"/>
      <c r="C526" s="1850" t="s">
        <v>2596</v>
      </c>
      <c r="D526" s="1934"/>
      <c r="E526" s="1934">
        <v>1</v>
      </c>
      <c r="F526" s="1905"/>
      <c r="G526" s="1963" t="s">
        <v>2564</v>
      </c>
      <c r="H526" s="1964" t="s">
        <v>3204</v>
      </c>
      <c r="I526" s="2310"/>
      <c r="J526" s="2534">
        <v>0</v>
      </c>
      <c r="K526" s="1615">
        <v>0</v>
      </c>
      <c r="L526" s="1636">
        <v>0</v>
      </c>
      <c r="M526" s="1636">
        <v>45000</v>
      </c>
      <c r="N526" s="1615">
        <v>0</v>
      </c>
      <c r="O526" s="1635">
        <v>0</v>
      </c>
      <c r="P526" s="1965" t="s">
        <v>2566</v>
      </c>
      <c r="Q526" s="1966" t="s">
        <v>4027</v>
      </c>
    </row>
    <row r="527" spans="1:17" ht="12.75" customHeight="1">
      <c r="A527" s="1962"/>
      <c r="B527" s="1840"/>
      <c r="C527" s="1850" t="s">
        <v>4042</v>
      </c>
      <c r="D527" s="1934"/>
      <c r="E527" s="1934">
        <v>1</v>
      </c>
      <c r="F527" s="1905"/>
      <c r="G527" s="1963" t="s">
        <v>2573</v>
      </c>
      <c r="H527" s="1964" t="s">
        <v>2591</v>
      </c>
      <c r="I527" s="2310"/>
      <c r="J527" s="2534">
        <v>0</v>
      </c>
      <c r="K527" s="1615">
        <v>0</v>
      </c>
      <c r="L527" s="1636">
        <v>0</v>
      </c>
      <c r="M527" s="1636">
        <v>70000</v>
      </c>
      <c r="N527" s="1615">
        <v>0</v>
      </c>
      <c r="O527" s="1635">
        <v>0</v>
      </c>
      <c r="P527" s="1965" t="s">
        <v>2566</v>
      </c>
      <c r="Q527" s="1966" t="s">
        <v>2587</v>
      </c>
    </row>
    <row r="528" spans="1:17" ht="12.75" customHeight="1">
      <c r="A528" s="1962"/>
      <c r="B528" s="1840"/>
      <c r="C528" s="1850" t="s">
        <v>3224</v>
      </c>
      <c r="D528" s="1934"/>
      <c r="E528" s="1934">
        <v>1</v>
      </c>
      <c r="F528" s="1905"/>
      <c r="G528" s="1963" t="s">
        <v>2564</v>
      </c>
      <c r="H528" s="1964" t="s">
        <v>2564</v>
      </c>
      <c r="I528" s="2310"/>
      <c r="J528" s="2534">
        <v>0</v>
      </c>
      <c r="K528" s="1615">
        <v>0</v>
      </c>
      <c r="L528" s="1636">
        <v>0</v>
      </c>
      <c r="M528" s="1636">
        <v>8000</v>
      </c>
      <c r="N528" s="1615">
        <v>0</v>
      </c>
      <c r="O528" s="1635">
        <v>0</v>
      </c>
      <c r="P528" s="1965" t="s">
        <v>2566</v>
      </c>
      <c r="Q528" s="1966" t="s">
        <v>2587</v>
      </c>
    </row>
    <row r="529" spans="1:17" ht="12.75" customHeight="1">
      <c r="A529" s="1962"/>
      <c r="B529" s="1840"/>
      <c r="C529" s="1850" t="s">
        <v>4043</v>
      </c>
      <c r="D529" s="1934"/>
      <c r="E529" s="1934">
        <v>1</v>
      </c>
      <c r="F529" s="1905"/>
      <c r="G529" s="1963" t="s">
        <v>2564</v>
      </c>
      <c r="H529" s="1964" t="s">
        <v>2564</v>
      </c>
      <c r="I529" s="2310"/>
      <c r="J529" s="2534">
        <v>0</v>
      </c>
      <c r="K529" s="1615">
        <v>0</v>
      </c>
      <c r="L529" s="1636">
        <v>0</v>
      </c>
      <c r="M529" s="1636">
        <v>6000</v>
      </c>
      <c r="N529" s="1615">
        <v>0</v>
      </c>
      <c r="O529" s="1635">
        <v>0</v>
      </c>
      <c r="P529" s="1965" t="s">
        <v>2566</v>
      </c>
      <c r="Q529" s="1966" t="s">
        <v>2587</v>
      </c>
    </row>
    <row r="530" spans="1:17" ht="12.75" customHeight="1">
      <c r="A530" s="1962"/>
      <c r="B530" s="1840"/>
      <c r="C530" s="1850"/>
      <c r="D530" s="1934"/>
      <c r="E530" s="1934"/>
      <c r="F530" s="1905"/>
      <c r="G530" s="1963"/>
      <c r="H530" s="1964"/>
      <c r="I530" s="2310"/>
      <c r="J530" s="2534"/>
      <c r="K530" s="1615"/>
      <c r="L530" s="1636"/>
      <c r="M530" s="1636"/>
      <c r="N530" s="1615"/>
      <c r="O530" s="1635"/>
      <c r="P530" s="1965"/>
      <c r="Q530" s="1966"/>
    </row>
    <row r="531" spans="1:17" ht="12.75" customHeight="1">
      <c r="A531" s="1962"/>
      <c r="B531" s="1840"/>
      <c r="C531" s="1850"/>
      <c r="D531" s="1934"/>
      <c r="E531" s="1934"/>
      <c r="F531" s="1905"/>
      <c r="G531" s="1963"/>
      <c r="H531" s="1964"/>
      <c r="I531" s="2310"/>
      <c r="J531" s="2534"/>
      <c r="K531" s="1615"/>
      <c r="L531" s="1636"/>
      <c r="M531" s="1636"/>
      <c r="N531" s="1615"/>
      <c r="O531" s="1635"/>
      <c r="P531" s="1965"/>
      <c r="Q531" s="1966"/>
    </row>
    <row r="532" spans="1:17" ht="12.75" customHeight="1">
      <c r="A532" s="1962"/>
      <c r="B532" s="1840"/>
      <c r="C532" s="1850"/>
      <c r="D532" s="1934"/>
      <c r="E532" s="1934"/>
      <c r="F532" s="1905"/>
      <c r="G532" s="1963"/>
      <c r="H532" s="1964"/>
      <c r="I532" s="2310"/>
      <c r="J532" s="2534"/>
      <c r="K532" s="1615"/>
      <c r="L532" s="1636"/>
      <c r="M532" s="1636"/>
      <c r="N532" s="1615"/>
      <c r="O532" s="1635"/>
      <c r="P532" s="1965"/>
      <c r="Q532" s="1966"/>
    </row>
    <row r="533" spans="1:17" ht="12.75" customHeight="1">
      <c r="A533" s="1962" t="s">
        <v>3253</v>
      </c>
      <c r="B533" s="1840"/>
      <c r="C533" s="1850" t="s">
        <v>3203</v>
      </c>
      <c r="D533" s="1934"/>
      <c r="E533" s="1934">
        <v>7</v>
      </c>
      <c r="F533" s="1905"/>
      <c r="G533" s="1963" t="s">
        <v>2564</v>
      </c>
      <c r="H533" s="1964" t="s">
        <v>3204</v>
      </c>
      <c r="I533" s="2310"/>
      <c r="J533" s="2534">
        <v>0</v>
      </c>
      <c r="K533" s="1615">
        <v>0</v>
      </c>
      <c r="L533" s="1636">
        <v>15183</v>
      </c>
      <c r="M533" s="1636"/>
      <c r="N533" s="1615"/>
      <c r="O533" s="1635"/>
      <c r="P533" s="1965" t="s">
        <v>2566</v>
      </c>
      <c r="Q533" s="1966" t="s">
        <v>2571</v>
      </c>
    </row>
    <row r="534" spans="1:17" ht="12.75" customHeight="1">
      <c r="A534" s="1962"/>
      <c r="B534" s="1840"/>
      <c r="C534" s="1850" t="s">
        <v>3254</v>
      </c>
      <c r="D534" s="1934"/>
      <c r="E534" s="1934">
        <v>7</v>
      </c>
      <c r="F534" s="1905"/>
      <c r="G534" s="1963" t="s">
        <v>2564</v>
      </c>
      <c r="H534" s="1964" t="s">
        <v>2623</v>
      </c>
      <c r="I534" s="2310"/>
      <c r="J534" s="2534">
        <v>0</v>
      </c>
      <c r="K534" s="1615">
        <v>0</v>
      </c>
      <c r="L534" s="1636">
        <v>2582</v>
      </c>
      <c r="M534" s="1636">
        <v>5130</v>
      </c>
      <c r="N534" s="1615">
        <v>2706</v>
      </c>
      <c r="O534" s="1635">
        <v>0</v>
      </c>
      <c r="P534" s="1965" t="s">
        <v>2566</v>
      </c>
      <c r="Q534" s="1966" t="s">
        <v>2571</v>
      </c>
    </row>
    <row r="535" spans="1:17" ht="12.75" customHeight="1">
      <c r="A535" s="1962"/>
      <c r="B535" s="1840"/>
      <c r="C535" s="1850" t="s">
        <v>2575</v>
      </c>
      <c r="D535" s="1934"/>
      <c r="E535" s="1934">
        <v>7</v>
      </c>
      <c r="F535" s="1905"/>
      <c r="G535" s="1963" t="s">
        <v>2564</v>
      </c>
      <c r="H535" s="1964" t="s">
        <v>3255</v>
      </c>
      <c r="I535" s="2310"/>
      <c r="J535" s="2534">
        <v>0</v>
      </c>
      <c r="K535" s="1615">
        <v>0</v>
      </c>
      <c r="L535" s="1636">
        <v>14631</v>
      </c>
      <c r="M535" s="1636"/>
      <c r="N535" s="1615"/>
      <c r="O535" s="1635">
        <v>0</v>
      </c>
      <c r="P535" s="1965" t="s">
        <v>2566</v>
      </c>
      <c r="Q535" s="1966" t="s">
        <v>2571</v>
      </c>
    </row>
    <row r="536" spans="1:17" ht="12.75" customHeight="1">
      <c r="A536" s="1962"/>
      <c r="B536" s="1840"/>
      <c r="C536" s="1850" t="s">
        <v>4044</v>
      </c>
      <c r="D536" s="1934"/>
      <c r="E536" s="1934">
        <v>3</v>
      </c>
      <c r="F536" s="1905"/>
      <c r="G536" s="1963" t="s">
        <v>2564</v>
      </c>
      <c r="H536" s="1964" t="s">
        <v>3204</v>
      </c>
      <c r="I536" s="2310"/>
      <c r="J536" s="2534">
        <v>0</v>
      </c>
      <c r="K536" s="1615">
        <v>0</v>
      </c>
      <c r="L536" s="1636">
        <v>0</v>
      </c>
      <c r="M536" s="1636">
        <v>30280</v>
      </c>
      <c r="N536" s="1615">
        <v>15942</v>
      </c>
      <c r="O536" s="1635">
        <v>0</v>
      </c>
      <c r="P536" s="1965" t="s">
        <v>2566</v>
      </c>
      <c r="Q536" s="1966" t="s">
        <v>2571</v>
      </c>
    </row>
    <row r="537" spans="1:17" ht="12.75" customHeight="1">
      <c r="A537" s="1962"/>
      <c r="B537" s="1840"/>
      <c r="C537" s="1850"/>
      <c r="D537" s="1934"/>
      <c r="E537" s="1934"/>
      <c r="F537" s="1905"/>
      <c r="G537" s="1963"/>
      <c r="H537" s="1964"/>
      <c r="I537" s="2310"/>
      <c r="J537" s="2534"/>
      <c r="K537" s="1615"/>
      <c r="L537" s="1636"/>
      <c r="M537" s="1636"/>
      <c r="N537" s="1615"/>
      <c r="O537" s="1635"/>
      <c r="P537" s="1965"/>
      <c r="Q537" s="1966"/>
    </row>
    <row r="538" spans="1:17" ht="12.75" customHeight="1">
      <c r="A538" s="1962"/>
      <c r="B538" s="1840"/>
      <c r="C538" s="1850"/>
      <c r="D538" s="1934"/>
      <c r="E538" s="1934"/>
      <c r="F538" s="1905"/>
      <c r="G538" s="1963"/>
      <c r="H538" s="1964"/>
      <c r="I538" s="2310"/>
      <c r="J538" s="2534"/>
      <c r="K538" s="1615"/>
      <c r="L538" s="1636"/>
      <c r="M538" s="1636"/>
      <c r="N538" s="1615"/>
      <c r="O538" s="1635"/>
      <c r="P538" s="1965"/>
      <c r="Q538" s="1966"/>
    </row>
    <row r="539" spans="1:17" ht="12.75" customHeight="1">
      <c r="A539" s="1962"/>
      <c r="B539" s="1840"/>
      <c r="C539" s="1850"/>
      <c r="D539" s="1934"/>
      <c r="E539" s="1934"/>
      <c r="F539" s="1905"/>
      <c r="G539" s="1963"/>
      <c r="H539" s="1964"/>
      <c r="I539" s="2310"/>
      <c r="J539" s="2534"/>
      <c r="K539" s="1615"/>
      <c r="L539" s="1636"/>
      <c r="M539" s="1636"/>
      <c r="N539" s="1615"/>
      <c r="O539" s="1635"/>
      <c r="P539" s="1965"/>
      <c r="Q539" s="1966"/>
    </row>
    <row r="540" spans="1:17" ht="12.75" customHeight="1">
      <c r="A540" s="1962" t="s">
        <v>3256</v>
      </c>
      <c r="B540" s="1840"/>
      <c r="C540" s="1850" t="s">
        <v>3257</v>
      </c>
      <c r="D540" s="1934"/>
      <c r="E540" s="1934">
        <v>7</v>
      </c>
      <c r="F540" s="1905"/>
      <c r="G540" s="1963" t="s">
        <v>2564</v>
      </c>
      <c r="H540" s="1964" t="s">
        <v>3258</v>
      </c>
      <c r="I540" s="2310"/>
      <c r="J540" s="2534">
        <v>0</v>
      </c>
      <c r="K540" s="1615">
        <v>0</v>
      </c>
      <c r="L540" s="1636">
        <v>99719</v>
      </c>
      <c r="M540" s="1636"/>
      <c r="N540" s="1615"/>
      <c r="O540" s="1635"/>
      <c r="P540" s="1965" t="s">
        <v>2566</v>
      </c>
      <c r="Q540" s="1966" t="s">
        <v>2571</v>
      </c>
    </row>
    <row r="541" spans="1:17" ht="12.75" customHeight="1">
      <c r="A541" s="1962"/>
      <c r="B541" s="1840"/>
      <c r="C541" s="1850" t="s">
        <v>3259</v>
      </c>
      <c r="D541" s="1934"/>
      <c r="E541" s="1934">
        <v>7</v>
      </c>
      <c r="F541" s="1905"/>
      <c r="G541" s="1963" t="s">
        <v>2564</v>
      </c>
      <c r="H541" s="1964" t="s">
        <v>3260</v>
      </c>
      <c r="I541" s="2310"/>
      <c r="J541" s="2534">
        <v>0</v>
      </c>
      <c r="K541" s="1615">
        <v>0</v>
      </c>
      <c r="L541" s="1636">
        <v>0</v>
      </c>
      <c r="M541" s="1636"/>
      <c r="N541" s="1615"/>
      <c r="O541" s="1635"/>
      <c r="P541" s="1965" t="s">
        <v>2566</v>
      </c>
      <c r="Q541" s="1966" t="s">
        <v>2587</v>
      </c>
    </row>
    <row r="542" spans="1:17" ht="12.75" customHeight="1">
      <c r="A542" s="1962"/>
      <c r="B542" s="1840"/>
      <c r="C542" s="1850" t="s">
        <v>3261</v>
      </c>
      <c r="D542" s="1934"/>
      <c r="E542" s="1934">
        <v>7</v>
      </c>
      <c r="F542" s="1905"/>
      <c r="G542" s="1963" t="s">
        <v>2564</v>
      </c>
      <c r="H542" s="1964" t="s">
        <v>2591</v>
      </c>
      <c r="I542" s="2310"/>
      <c r="J542" s="2534">
        <v>0</v>
      </c>
      <c r="K542" s="1615">
        <v>0</v>
      </c>
      <c r="L542" s="1636">
        <v>0</v>
      </c>
      <c r="M542" s="1636"/>
      <c r="N542" s="1615"/>
      <c r="O542" s="1635"/>
      <c r="P542" s="1965" t="s">
        <v>2566</v>
      </c>
      <c r="Q542" s="1966" t="s">
        <v>2571</v>
      </c>
    </row>
    <row r="543" spans="1:17" ht="12.75" customHeight="1">
      <c r="A543" s="1962"/>
      <c r="B543" s="1840"/>
      <c r="C543" s="1850" t="s">
        <v>3262</v>
      </c>
      <c r="D543" s="1934"/>
      <c r="E543" s="1934">
        <v>7</v>
      </c>
      <c r="F543" s="1905"/>
      <c r="G543" s="1963" t="s">
        <v>2564</v>
      </c>
      <c r="H543" s="1964" t="s">
        <v>3263</v>
      </c>
      <c r="I543" s="2310"/>
      <c r="J543" s="2534">
        <v>0</v>
      </c>
      <c r="K543" s="1615">
        <v>0</v>
      </c>
      <c r="L543" s="1636">
        <v>2000</v>
      </c>
      <c r="M543" s="1636"/>
      <c r="N543" s="1615"/>
      <c r="O543" s="1635"/>
      <c r="P543" s="1965" t="s">
        <v>2566</v>
      </c>
      <c r="Q543" s="1966" t="s">
        <v>2571</v>
      </c>
    </row>
    <row r="544" spans="1:17" ht="12.75" customHeight="1">
      <c r="A544" s="1962"/>
      <c r="B544" s="1840"/>
      <c r="C544" s="1850" t="s">
        <v>2596</v>
      </c>
      <c r="D544" s="1934"/>
      <c r="E544" s="1934">
        <v>7</v>
      </c>
      <c r="F544" s="1905"/>
      <c r="G544" s="1963" t="s">
        <v>2564</v>
      </c>
      <c r="H544" s="1964" t="s">
        <v>2564</v>
      </c>
      <c r="I544" s="2310"/>
      <c r="J544" s="2534">
        <v>0</v>
      </c>
      <c r="K544" s="1615">
        <v>0</v>
      </c>
      <c r="L544" s="1636">
        <v>0</v>
      </c>
      <c r="M544" s="1636"/>
      <c r="N544" s="1615"/>
      <c r="O544" s="1635"/>
      <c r="P544" s="1965" t="s">
        <v>2566</v>
      </c>
      <c r="Q544" s="1966" t="s">
        <v>2571</v>
      </c>
    </row>
    <row r="545" spans="1:17" ht="12.75" customHeight="1">
      <c r="A545" s="1962"/>
      <c r="B545" s="1840"/>
      <c r="C545" s="1850" t="s">
        <v>3264</v>
      </c>
      <c r="D545" s="1934"/>
      <c r="E545" s="1934">
        <v>7</v>
      </c>
      <c r="F545" s="1905"/>
      <c r="G545" s="1963" t="s">
        <v>2564</v>
      </c>
      <c r="H545" s="1964" t="s">
        <v>2565</v>
      </c>
      <c r="I545" s="2310"/>
      <c r="J545" s="2534">
        <v>0</v>
      </c>
      <c r="K545" s="1615">
        <v>0</v>
      </c>
      <c r="L545" s="1636">
        <v>0</v>
      </c>
      <c r="M545" s="1636"/>
      <c r="N545" s="1615"/>
      <c r="O545" s="1635"/>
      <c r="P545" s="1965" t="s">
        <v>2566</v>
      </c>
      <c r="Q545" s="1966" t="s">
        <v>2571</v>
      </c>
    </row>
    <row r="546" spans="1:17" ht="12.75" customHeight="1">
      <c r="A546" s="1962"/>
      <c r="B546" s="1840"/>
      <c r="C546" s="1850" t="s">
        <v>3265</v>
      </c>
      <c r="D546" s="1934"/>
      <c r="E546" s="1934">
        <v>7</v>
      </c>
      <c r="F546" s="1905"/>
      <c r="G546" s="1963" t="s">
        <v>2564</v>
      </c>
      <c r="H546" s="1964" t="s">
        <v>3266</v>
      </c>
      <c r="I546" s="2310"/>
      <c r="J546" s="2534">
        <v>0</v>
      </c>
      <c r="K546" s="1615">
        <v>0</v>
      </c>
      <c r="L546" s="1636">
        <v>0</v>
      </c>
      <c r="M546" s="1636"/>
      <c r="N546" s="1615"/>
      <c r="O546" s="1635"/>
      <c r="P546" s="1965" t="s">
        <v>2566</v>
      </c>
      <c r="Q546" s="1966" t="s">
        <v>2571</v>
      </c>
    </row>
    <row r="547" spans="1:17" ht="12.75" customHeight="1">
      <c r="A547" s="1962"/>
      <c r="B547" s="1840"/>
      <c r="C547" s="1850" t="s">
        <v>3267</v>
      </c>
      <c r="D547" s="1934"/>
      <c r="E547" s="1934">
        <v>7</v>
      </c>
      <c r="F547" s="1905"/>
      <c r="G547" s="1963" t="s">
        <v>2564</v>
      </c>
      <c r="H547" s="1964" t="s">
        <v>3266</v>
      </c>
      <c r="I547" s="2310"/>
      <c r="J547" s="2534">
        <v>0</v>
      </c>
      <c r="K547" s="1615">
        <v>0</v>
      </c>
      <c r="L547" s="1636">
        <v>0</v>
      </c>
      <c r="M547" s="1636"/>
      <c r="N547" s="1615"/>
      <c r="O547" s="1635"/>
      <c r="P547" s="1965" t="s">
        <v>2566</v>
      </c>
      <c r="Q547" s="1966" t="s">
        <v>2571</v>
      </c>
    </row>
    <row r="548" spans="1:17" ht="12.75" customHeight="1">
      <c r="A548" s="1962"/>
      <c r="B548" s="1840"/>
      <c r="C548" s="1850" t="s">
        <v>3268</v>
      </c>
      <c r="D548" s="1934"/>
      <c r="E548" s="1934">
        <v>7</v>
      </c>
      <c r="F548" s="1905"/>
      <c r="G548" s="1963" t="s">
        <v>2564</v>
      </c>
      <c r="H548" s="1964" t="s">
        <v>3269</v>
      </c>
      <c r="I548" s="2310"/>
      <c r="J548" s="2534">
        <v>0</v>
      </c>
      <c r="K548" s="1615">
        <v>0</v>
      </c>
      <c r="L548" s="1636">
        <v>19256</v>
      </c>
      <c r="M548" s="1636"/>
      <c r="N548" s="1615"/>
      <c r="O548" s="1635"/>
      <c r="P548" s="1965" t="s">
        <v>2566</v>
      </c>
      <c r="Q548" s="1966" t="s">
        <v>2571</v>
      </c>
    </row>
    <row r="549" spans="1:17" ht="12.75" customHeight="1">
      <c r="A549" s="1962"/>
      <c r="B549" s="1840"/>
      <c r="C549" s="1850" t="s">
        <v>3270</v>
      </c>
      <c r="D549" s="1934"/>
      <c r="E549" s="1934">
        <v>7</v>
      </c>
      <c r="F549" s="1905"/>
      <c r="G549" s="1963" t="s">
        <v>2564</v>
      </c>
      <c r="H549" s="1964" t="s">
        <v>2565</v>
      </c>
      <c r="I549" s="2310"/>
      <c r="J549" s="2534">
        <v>0</v>
      </c>
      <c r="K549" s="1615">
        <v>0</v>
      </c>
      <c r="L549" s="1636">
        <v>0</v>
      </c>
      <c r="M549" s="1636"/>
      <c r="N549" s="1615"/>
      <c r="O549" s="1635"/>
      <c r="P549" s="1965" t="s">
        <v>2566</v>
      </c>
      <c r="Q549" s="1966" t="s">
        <v>2571</v>
      </c>
    </row>
    <row r="550" spans="1:17" ht="12.75" customHeight="1">
      <c r="A550" s="1962"/>
      <c r="B550" s="1840"/>
      <c r="C550" s="1850" t="s">
        <v>3271</v>
      </c>
      <c r="D550" s="1934"/>
      <c r="E550" s="1934">
        <v>7</v>
      </c>
      <c r="F550" s="1905"/>
      <c r="G550" s="1963" t="s">
        <v>2569</v>
      </c>
      <c r="H550" s="1964" t="s">
        <v>3272</v>
      </c>
      <c r="I550" s="2310"/>
      <c r="J550" s="2534">
        <v>0</v>
      </c>
      <c r="K550" s="1615">
        <v>0</v>
      </c>
      <c r="L550" s="1636">
        <v>0</v>
      </c>
      <c r="M550" s="1636"/>
      <c r="N550" s="1615"/>
      <c r="O550" s="1635"/>
      <c r="P550" s="1965" t="s">
        <v>2566</v>
      </c>
      <c r="Q550" s="1966" t="s">
        <v>2571</v>
      </c>
    </row>
    <row r="551" spans="1:17" ht="12.75" customHeight="1">
      <c r="A551" s="1962"/>
      <c r="B551" s="1840"/>
      <c r="C551" s="1850" t="s">
        <v>2626</v>
      </c>
      <c r="D551" s="1934"/>
      <c r="E551" s="1934">
        <v>2</v>
      </c>
      <c r="F551" s="1905"/>
      <c r="G551" s="1963" t="s">
        <v>2573</v>
      </c>
      <c r="H551" s="1964" t="s">
        <v>2627</v>
      </c>
      <c r="I551" s="2310"/>
      <c r="J551" s="2534">
        <v>0</v>
      </c>
      <c r="K551" s="1615">
        <v>0</v>
      </c>
      <c r="L551" s="1636">
        <v>0</v>
      </c>
      <c r="M551" s="1636">
        <v>1650</v>
      </c>
      <c r="N551" s="1615"/>
      <c r="O551" s="1635"/>
      <c r="P551" s="1965" t="s">
        <v>2566</v>
      </c>
      <c r="Q551" s="1966" t="s">
        <v>2571</v>
      </c>
    </row>
    <row r="552" spans="1:17" ht="12.75" customHeight="1">
      <c r="A552" s="1962"/>
      <c r="B552" s="1840"/>
      <c r="C552" s="1850" t="s">
        <v>4045</v>
      </c>
      <c r="D552" s="1934"/>
      <c r="E552" s="1934">
        <v>3</v>
      </c>
      <c r="F552" s="1905"/>
      <c r="G552" s="1963" t="s">
        <v>2573</v>
      </c>
      <c r="H552" s="1964" t="s">
        <v>3579</v>
      </c>
      <c r="I552" s="2310"/>
      <c r="J552" s="2534">
        <v>0</v>
      </c>
      <c r="K552" s="1615">
        <v>0</v>
      </c>
      <c r="L552" s="1636">
        <v>0</v>
      </c>
      <c r="M552" s="1636">
        <v>1054</v>
      </c>
      <c r="N552" s="1615"/>
      <c r="O552" s="1635"/>
      <c r="P552" s="1965" t="s">
        <v>2566</v>
      </c>
      <c r="Q552" s="1966" t="s">
        <v>2571</v>
      </c>
    </row>
    <row r="553" spans="1:17" ht="12.75" customHeight="1">
      <c r="A553" s="1962"/>
      <c r="B553" s="1840"/>
      <c r="C553" s="1850" t="s">
        <v>4046</v>
      </c>
      <c r="D553" s="1934"/>
      <c r="E553" s="1934">
        <v>1</v>
      </c>
      <c r="F553" s="1905"/>
      <c r="G553" s="1963" t="s">
        <v>2564</v>
      </c>
      <c r="H553" s="1964" t="s">
        <v>3300</v>
      </c>
      <c r="I553" s="2310"/>
      <c r="J553" s="2534">
        <v>0</v>
      </c>
      <c r="K553" s="1615">
        <v>0</v>
      </c>
      <c r="L553" s="1636">
        <v>0</v>
      </c>
      <c r="M553" s="1636">
        <v>23267</v>
      </c>
      <c r="N553" s="1615"/>
      <c r="O553" s="1635"/>
      <c r="P553" s="1965" t="s">
        <v>2566</v>
      </c>
      <c r="Q553" s="1966" t="s">
        <v>4027</v>
      </c>
    </row>
    <row r="554" spans="1:17" ht="12.75" customHeight="1">
      <c r="A554" s="1962"/>
      <c r="B554" s="1840"/>
      <c r="C554" s="1850" t="s">
        <v>4047</v>
      </c>
      <c r="D554" s="1934"/>
      <c r="E554" s="1934">
        <v>1</v>
      </c>
      <c r="F554" s="1905"/>
      <c r="G554" s="1963" t="s">
        <v>2564</v>
      </c>
      <c r="H554" s="1964" t="s">
        <v>2564</v>
      </c>
      <c r="I554" s="2310"/>
      <c r="J554" s="2534">
        <v>0</v>
      </c>
      <c r="K554" s="1615">
        <v>0</v>
      </c>
      <c r="L554" s="1636">
        <v>0</v>
      </c>
      <c r="M554" s="1636">
        <v>120000</v>
      </c>
      <c r="N554" s="1615">
        <v>140000</v>
      </c>
      <c r="O554" s="1635">
        <v>0</v>
      </c>
      <c r="P554" s="1965" t="s">
        <v>2566</v>
      </c>
      <c r="Q554" s="1966" t="s">
        <v>2571</v>
      </c>
    </row>
    <row r="555" spans="1:17" ht="12.75" customHeight="1">
      <c r="A555" s="1962"/>
      <c r="B555" s="1840"/>
      <c r="C555" s="1850" t="s">
        <v>2883</v>
      </c>
      <c r="D555" s="1934"/>
      <c r="E555" s="1934">
        <v>1</v>
      </c>
      <c r="F555" s="1905"/>
      <c r="G555" s="1963" t="s">
        <v>2573</v>
      </c>
      <c r="H555" s="1964" t="s">
        <v>4048</v>
      </c>
      <c r="I555" s="2310"/>
      <c r="J555" s="2534">
        <v>0</v>
      </c>
      <c r="K555" s="1615">
        <v>0</v>
      </c>
      <c r="L555" s="1636">
        <v>0</v>
      </c>
      <c r="M555" s="1636">
        <v>9000</v>
      </c>
      <c r="N555" s="1615">
        <v>0</v>
      </c>
      <c r="O555" s="1635">
        <v>0</v>
      </c>
      <c r="P555" s="1965" t="s">
        <v>2566</v>
      </c>
      <c r="Q555" s="1966" t="s">
        <v>2571</v>
      </c>
    </row>
    <row r="556" spans="1:17" ht="12.75" customHeight="1">
      <c r="A556" s="1962"/>
      <c r="B556" s="1840"/>
      <c r="C556" s="1850" t="s">
        <v>4049</v>
      </c>
      <c r="D556" s="1934"/>
      <c r="E556" s="1934">
        <v>3</v>
      </c>
      <c r="F556" s="1905"/>
      <c r="G556" s="1963" t="s">
        <v>2564</v>
      </c>
      <c r="H556" s="1964" t="s">
        <v>2564</v>
      </c>
      <c r="I556" s="2310"/>
      <c r="J556" s="2534">
        <v>0</v>
      </c>
      <c r="K556" s="1615">
        <v>0</v>
      </c>
      <c r="L556" s="1636">
        <v>0</v>
      </c>
      <c r="M556" s="1636">
        <v>13050</v>
      </c>
      <c r="N556" s="1615">
        <v>0</v>
      </c>
      <c r="O556" s="1635">
        <v>0</v>
      </c>
      <c r="P556" s="1965" t="s">
        <v>2566</v>
      </c>
      <c r="Q556" s="1966" t="s">
        <v>2587</v>
      </c>
    </row>
    <row r="557" spans="1:17" ht="12.75" customHeight="1">
      <c r="A557" s="1962"/>
      <c r="B557" s="1840"/>
      <c r="C557" s="1850"/>
      <c r="D557" s="1934"/>
      <c r="E557" s="1934"/>
      <c r="F557" s="1905"/>
      <c r="G557" s="1963"/>
      <c r="H557" s="1964"/>
      <c r="I557" s="2310"/>
      <c r="J557" s="2534"/>
      <c r="K557" s="1615"/>
      <c r="L557" s="1636"/>
      <c r="M557" s="1636"/>
      <c r="N557" s="1615"/>
      <c r="O557" s="1635"/>
      <c r="P557" s="1965"/>
      <c r="Q557" s="1966"/>
    </row>
    <row r="558" spans="1:17" ht="12.75" customHeight="1">
      <c r="A558" s="1962"/>
      <c r="B558" s="1840"/>
      <c r="C558" s="1850"/>
      <c r="D558" s="1934"/>
      <c r="E558" s="1934"/>
      <c r="F558" s="1905"/>
      <c r="G558" s="1963"/>
      <c r="H558" s="1964"/>
      <c r="I558" s="2310"/>
      <c r="J558" s="2534"/>
      <c r="K558" s="1615"/>
      <c r="L558" s="1636"/>
      <c r="M558" s="1636"/>
      <c r="N558" s="1615"/>
      <c r="O558" s="1635"/>
      <c r="P558" s="1965"/>
      <c r="Q558" s="1966"/>
    </row>
    <row r="559" spans="1:17" ht="12.75" customHeight="1">
      <c r="A559" s="1962" t="s">
        <v>3273</v>
      </c>
      <c r="B559" s="1840"/>
      <c r="C559" s="1850" t="s">
        <v>2563</v>
      </c>
      <c r="D559" s="1934"/>
      <c r="E559" s="1934">
        <v>3</v>
      </c>
      <c r="F559" s="1905"/>
      <c r="G559" s="1963" t="s">
        <v>2564</v>
      </c>
      <c r="H559" s="1964" t="s">
        <v>2565</v>
      </c>
      <c r="I559" s="2310"/>
      <c r="J559" s="2534">
        <v>0</v>
      </c>
      <c r="K559" s="1615">
        <v>0</v>
      </c>
      <c r="L559" s="1636">
        <v>0</v>
      </c>
      <c r="M559" s="1636"/>
      <c r="N559" s="1615"/>
      <c r="O559" s="1635"/>
      <c r="P559" s="1965" t="s">
        <v>2566</v>
      </c>
      <c r="Q559" s="1966" t="s">
        <v>2571</v>
      </c>
    </row>
    <row r="560" spans="1:17" ht="12.75" customHeight="1">
      <c r="A560" s="1962"/>
      <c r="B560" s="1840"/>
      <c r="C560" s="1850" t="s">
        <v>3183</v>
      </c>
      <c r="D560" s="1934"/>
      <c r="E560" s="1934"/>
      <c r="F560" s="1905"/>
      <c r="G560" s="1963" t="s">
        <v>3188</v>
      </c>
      <c r="H560" s="1964" t="s">
        <v>3174</v>
      </c>
      <c r="I560" s="2310"/>
      <c r="J560" s="2534">
        <v>0</v>
      </c>
      <c r="K560" s="1615">
        <v>0</v>
      </c>
      <c r="L560" s="1636">
        <v>250000</v>
      </c>
      <c r="M560" s="1636"/>
      <c r="N560" s="1615"/>
      <c r="O560" s="1635"/>
      <c r="P560" s="1965" t="s">
        <v>2566</v>
      </c>
      <c r="Q560" s="1966" t="s">
        <v>2571</v>
      </c>
    </row>
    <row r="561" spans="1:17" ht="12.75" customHeight="1">
      <c r="A561" s="1962"/>
      <c r="B561" s="1840"/>
      <c r="C561" s="1850" t="s">
        <v>2593</v>
      </c>
      <c r="D561" s="1934"/>
      <c r="E561" s="1934">
        <v>7</v>
      </c>
      <c r="F561" s="1905"/>
      <c r="G561" s="1963" t="s">
        <v>2564</v>
      </c>
      <c r="H561" s="1964" t="s">
        <v>2593</v>
      </c>
      <c r="I561" s="2310"/>
      <c r="J561" s="2534">
        <v>0</v>
      </c>
      <c r="K561" s="1615">
        <v>0</v>
      </c>
      <c r="L561" s="1636">
        <v>4500</v>
      </c>
      <c r="M561" s="1636"/>
      <c r="N561" s="1615"/>
      <c r="O561" s="1635"/>
      <c r="P561" s="1965" t="s">
        <v>2566</v>
      </c>
      <c r="Q561" s="1966" t="s">
        <v>2571</v>
      </c>
    </row>
    <row r="562" spans="1:17" ht="12.75" customHeight="1">
      <c r="A562" s="1962"/>
      <c r="B562" s="1840"/>
      <c r="C562" s="1850" t="s">
        <v>3221</v>
      </c>
      <c r="D562" s="1934"/>
      <c r="E562" s="1934">
        <v>7</v>
      </c>
      <c r="F562" s="1905"/>
      <c r="G562" s="1963" t="s">
        <v>2564</v>
      </c>
      <c r="H562" s="1964" t="s">
        <v>3221</v>
      </c>
      <c r="I562" s="2310"/>
      <c r="J562" s="2534">
        <v>0</v>
      </c>
      <c r="K562" s="1615">
        <v>0</v>
      </c>
      <c r="L562" s="1636">
        <v>1500</v>
      </c>
      <c r="M562" s="1636"/>
      <c r="N562" s="1615"/>
      <c r="O562" s="1635"/>
      <c r="P562" s="1965" t="s">
        <v>2566</v>
      </c>
      <c r="Q562" s="1966" t="s">
        <v>2571</v>
      </c>
    </row>
    <row r="563" spans="1:17" ht="12.75" customHeight="1">
      <c r="A563" s="1962"/>
      <c r="B563" s="1840"/>
      <c r="C563" s="1850" t="s">
        <v>2684</v>
      </c>
      <c r="D563" s="1934"/>
      <c r="E563" s="1934">
        <v>7</v>
      </c>
      <c r="F563" s="1905"/>
      <c r="G563" s="1963" t="s">
        <v>2573</v>
      </c>
      <c r="H563" s="1964" t="s">
        <v>2688</v>
      </c>
      <c r="I563" s="2310"/>
      <c r="J563" s="2534">
        <v>0</v>
      </c>
      <c r="K563" s="1615">
        <v>0</v>
      </c>
      <c r="L563" s="1636">
        <v>0</v>
      </c>
      <c r="M563" s="1636"/>
      <c r="N563" s="1615"/>
      <c r="O563" s="1635"/>
      <c r="P563" s="1965" t="s">
        <v>2566</v>
      </c>
      <c r="Q563" s="1966" t="s">
        <v>2571</v>
      </c>
    </row>
    <row r="564" spans="1:17" ht="12.75" customHeight="1">
      <c r="A564" s="1962"/>
      <c r="B564" s="1840"/>
      <c r="C564" s="1850" t="s">
        <v>2592</v>
      </c>
      <c r="D564" s="1934"/>
      <c r="E564" s="1934">
        <v>3</v>
      </c>
      <c r="F564" s="1905"/>
      <c r="G564" s="1963" t="s">
        <v>2564</v>
      </c>
      <c r="H564" s="1964" t="s">
        <v>2592</v>
      </c>
      <c r="I564" s="2310"/>
      <c r="J564" s="2534">
        <v>0</v>
      </c>
      <c r="K564" s="1615">
        <v>0</v>
      </c>
      <c r="L564" s="1636">
        <v>0</v>
      </c>
      <c r="M564" s="1636">
        <v>108405</v>
      </c>
      <c r="N564" s="1615">
        <v>120000</v>
      </c>
      <c r="O564" s="1635">
        <v>150000</v>
      </c>
      <c r="P564" s="1965" t="s">
        <v>2566</v>
      </c>
      <c r="Q564" s="1966" t="s">
        <v>2571</v>
      </c>
    </row>
    <row r="565" spans="1:17" ht="12.75" customHeight="1">
      <c r="A565" s="1962"/>
      <c r="B565" s="1840"/>
      <c r="C565" s="1850" t="s">
        <v>2596</v>
      </c>
      <c r="D565" s="1934"/>
      <c r="E565" s="1934">
        <v>3</v>
      </c>
      <c r="F565" s="1905"/>
      <c r="G565" s="1963" t="s">
        <v>2564</v>
      </c>
      <c r="H565" s="1964" t="s">
        <v>3204</v>
      </c>
      <c r="I565" s="2310"/>
      <c r="J565" s="2534">
        <v>0</v>
      </c>
      <c r="K565" s="1615">
        <v>0</v>
      </c>
      <c r="L565" s="1636">
        <v>0</v>
      </c>
      <c r="M565" s="1636">
        <v>64825</v>
      </c>
      <c r="N565" s="1615">
        <v>200000</v>
      </c>
      <c r="O565" s="1635">
        <v>160000</v>
      </c>
      <c r="P565" s="1965" t="s">
        <v>2566</v>
      </c>
      <c r="Q565" s="1966" t="s">
        <v>2571</v>
      </c>
    </row>
    <row r="566" spans="1:17" ht="12.75" customHeight="1">
      <c r="A566" s="1962"/>
      <c r="B566" s="1840"/>
      <c r="C566" s="1850" t="s">
        <v>4050</v>
      </c>
      <c r="D566" s="1934"/>
      <c r="E566" s="1934">
        <v>3</v>
      </c>
      <c r="F566" s="1905"/>
      <c r="G566" s="1963" t="s">
        <v>2573</v>
      </c>
      <c r="H566" s="1964" t="s">
        <v>4050</v>
      </c>
      <c r="I566" s="2310"/>
      <c r="J566" s="2534">
        <v>0</v>
      </c>
      <c r="K566" s="1615">
        <v>0</v>
      </c>
      <c r="L566" s="1636">
        <v>0</v>
      </c>
      <c r="M566" s="1636">
        <v>1000</v>
      </c>
      <c r="N566" s="1615">
        <v>0</v>
      </c>
      <c r="O566" s="1635">
        <v>0</v>
      </c>
      <c r="P566" s="1965" t="s">
        <v>2566</v>
      </c>
      <c r="Q566" s="1966" t="s">
        <v>2571</v>
      </c>
    </row>
    <row r="567" spans="1:17" ht="12.75" customHeight="1">
      <c r="A567" s="1962"/>
      <c r="B567" s="1840"/>
      <c r="C567" s="1850" t="s">
        <v>4051</v>
      </c>
      <c r="D567" s="1934"/>
      <c r="E567" s="1934">
        <v>3</v>
      </c>
      <c r="F567" s="1905"/>
      <c r="G567" s="1963" t="s">
        <v>2573</v>
      </c>
      <c r="H567" s="1964" t="s">
        <v>4051</v>
      </c>
      <c r="I567" s="2310"/>
      <c r="J567" s="2534">
        <v>0</v>
      </c>
      <c r="K567" s="1615">
        <v>0</v>
      </c>
      <c r="L567" s="1636">
        <v>0</v>
      </c>
      <c r="M567" s="1636">
        <v>10000</v>
      </c>
      <c r="N567" s="1615">
        <v>0</v>
      </c>
      <c r="O567" s="1635">
        <v>0</v>
      </c>
      <c r="P567" s="1965" t="s">
        <v>2566</v>
      </c>
      <c r="Q567" s="1966" t="s">
        <v>2571</v>
      </c>
    </row>
    <row r="568" spans="1:17" ht="12.75" customHeight="1">
      <c r="A568" s="1962"/>
      <c r="B568" s="1840"/>
      <c r="C568" s="1850" t="s">
        <v>2593</v>
      </c>
      <c r="D568" s="1934"/>
      <c r="E568" s="1934">
        <v>3</v>
      </c>
      <c r="F568" s="1905"/>
      <c r="G568" s="1963" t="s">
        <v>2564</v>
      </c>
      <c r="H568" s="1964" t="s">
        <v>2593</v>
      </c>
      <c r="I568" s="2310"/>
      <c r="J568" s="2534">
        <v>0</v>
      </c>
      <c r="K568" s="1615">
        <v>0</v>
      </c>
      <c r="L568" s="1636">
        <v>0</v>
      </c>
      <c r="M568" s="1636">
        <v>6000</v>
      </c>
      <c r="N568" s="1615">
        <v>0</v>
      </c>
      <c r="O568" s="1635">
        <v>0</v>
      </c>
      <c r="P568" s="1965" t="s">
        <v>2566</v>
      </c>
      <c r="Q568" s="1966" t="s">
        <v>2571</v>
      </c>
    </row>
    <row r="569" spans="1:17" ht="12.75" customHeight="1">
      <c r="A569" s="1962"/>
      <c r="B569" s="1840"/>
      <c r="C569" s="1850" t="s">
        <v>3579</v>
      </c>
      <c r="D569" s="1934"/>
      <c r="E569" s="1934">
        <v>3</v>
      </c>
      <c r="F569" s="1905"/>
      <c r="G569" s="1963" t="s">
        <v>2573</v>
      </c>
      <c r="H569" s="1964" t="s">
        <v>3579</v>
      </c>
      <c r="I569" s="2310"/>
      <c r="J569" s="2534">
        <v>0</v>
      </c>
      <c r="K569" s="1615">
        <v>0</v>
      </c>
      <c r="L569" s="1636">
        <v>0</v>
      </c>
      <c r="M569" s="1636">
        <v>2500</v>
      </c>
      <c r="N569" s="1615">
        <v>0</v>
      </c>
      <c r="O569" s="1635">
        <v>0</v>
      </c>
      <c r="P569" s="1965" t="s">
        <v>2566</v>
      </c>
      <c r="Q569" s="1966" t="s">
        <v>2571</v>
      </c>
    </row>
    <row r="570" spans="1:17" ht="12.75" customHeight="1">
      <c r="A570" s="1962"/>
      <c r="B570" s="1840"/>
      <c r="C570" s="1850" t="s">
        <v>4052</v>
      </c>
      <c r="D570" s="1934"/>
      <c r="E570" s="1934">
        <v>3</v>
      </c>
      <c r="F570" s="1905"/>
      <c r="G570" s="1963" t="s">
        <v>2573</v>
      </c>
      <c r="H570" s="1964" t="s">
        <v>4052</v>
      </c>
      <c r="I570" s="2310"/>
      <c r="J570" s="2534">
        <v>0</v>
      </c>
      <c r="K570" s="1615">
        <v>0</v>
      </c>
      <c r="L570" s="1636">
        <v>0</v>
      </c>
      <c r="M570" s="1636">
        <v>112000</v>
      </c>
      <c r="N570" s="1615">
        <v>0</v>
      </c>
      <c r="O570" s="1635">
        <v>0</v>
      </c>
      <c r="P570" s="1965" t="s">
        <v>2566</v>
      </c>
      <c r="Q570" s="1966" t="s">
        <v>2571</v>
      </c>
    </row>
    <row r="571" spans="1:17" ht="12.75" customHeight="1">
      <c r="A571" s="1962"/>
      <c r="B571" s="1840"/>
      <c r="C571" s="1850" t="s">
        <v>4053</v>
      </c>
      <c r="D571" s="1934"/>
      <c r="E571" s="1934">
        <v>3</v>
      </c>
      <c r="F571" s="1905"/>
      <c r="G571" s="1963" t="s">
        <v>2573</v>
      </c>
      <c r="H571" s="1964" t="s">
        <v>4054</v>
      </c>
      <c r="I571" s="2310"/>
      <c r="J571" s="2534">
        <v>0</v>
      </c>
      <c r="K571" s="1615">
        <v>0</v>
      </c>
      <c r="L571" s="1636">
        <v>0</v>
      </c>
      <c r="M571" s="1636">
        <v>12000</v>
      </c>
      <c r="N571" s="1615">
        <v>0</v>
      </c>
      <c r="O571" s="1635">
        <v>0</v>
      </c>
      <c r="P571" s="1965" t="s">
        <v>2566</v>
      </c>
      <c r="Q571" s="1966" t="s">
        <v>2571</v>
      </c>
    </row>
    <row r="572" spans="1:17" ht="12.75" customHeight="1">
      <c r="A572" s="1962"/>
      <c r="B572" s="1840"/>
      <c r="C572" s="1850" t="s">
        <v>4055</v>
      </c>
      <c r="D572" s="1934"/>
      <c r="E572" s="1934">
        <v>3</v>
      </c>
      <c r="F572" s="1905"/>
      <c r="G572" s="1963" t="s">
        <v>2573</v>
      </c>
      <c r="H572" s="1964" t="s">
        <v>4055</v>
      </c>
      <c r="I572" s="2310"/>
      <c r="J572" s="2534">
        <v>0</v>
      </c>
      <c r="K572" s="1615">
        <v>0</v>
      </c>
      <c r="L572" s="1636">
        <v>0</v>
      </c>
      <c r="M572" s="1636">
        <v>4000</v>
      </c>
      <c r="N572" s="1615">
        <v>0</v>
      </c>
      <c r="O572" s="1635">
        <v>0</v>
      </c>
      <c r="P572" s="1965" t="s">
        <v>2566</v>
      </c>
      <c r="Q572" s="1966" t="s">
        <v>2571</v>
      </c>
    </row>
    <row r="573" spans="1:17" ht="12.75" customHeight="1">
      <c r="A573" s="1962"/>
      <c r="B573" s="1840"/>
      <c r="C573" s="1850" t="s">
        <v>4056</v>
      </c>
      <c r="D573" s="1934"/>
      <c r="E573" s="1934">
        <v>3</v>
      </c>
      <c r="F573" s="1905"/>
      <c r="G573" s="1963" t="s">
        <v>2573</v>
      </c>
      <c r="H573" s="1964" t="s">
        <v>4056</v>
      </c>
      <c r="I573" s="2310"/>
      <c r="J573" s="2534">
        <v>0</v>
      </c>
      <c r="K573" s="1615">
        <v>0</v>
      </c>
      <c r="L573" s="1636">
        <v>0</v>
      </c>
      <c r="M573" s="1636">
        <v>60000</v>
      </c>
      <c r="N573" s="1615">
        <v>0</v>
      </c>
      <c r="O573" s="1635">
        <v>0</v>
      </c>
      <c r="P573" s="1965" t="s">
        <v>2566</v>
      </c>
      <c r="Q573" s="1966" t="s">
        <v>2571</v>
      </c>
    </row>
    <row r="574" spans="1:17" ht="12.75" customHeight="1">
      <c r="A574" s="1962"/>
      <c r="B574" s="1840"/>
      <c r="C574" s="1850"/>
      <c r="D574" s="1934"/>
      <c r="E574" s="1934"/>
      <c r="F574" s="1905"/>
      <c r="G574" s="1963"/>
      <c r="H574" s="1964"/>
      <c r="I574" s="2310"/>
      <c r="J574" s="2534"/>
      <c r="K574" s="1615"/>
      <c r="L574" s="1636"/>
      <c r="M574" s="1636"/>
      <c r="N574" s="1615"/>
      <c r="O574" s="1635"/>
      <c r="P574" s="1965"/>
      <c r="Q574" s="1966"/>
    </row>
    <row r="575" spans="1:17" ht="12.75" customHeight="1">
      <c r="A575" s="1962"/>
      <c r="B575" s="1840"/>
      <c r="C575" s="1850"/>
      <c r="D575" s="1934"/>
      <c r="E575" s="1934"/>
      <c r="F575" s="1905"/>
      <c r="G575" s="1963"/>
      <c r="H575" s="1964"/>
      <c r="I575" s="2310"/>
      <c r="J575" s="2534"/>
      <c r="K575" s="1615"/>
      <c r="L575" s="1636"/>
      <c r="M575" s="1636"/>
      <c r="N575" s="1615"/>
      <c r="O575" s="1635"/>
      <c r="P575" s="1965"/>
      <c r="Q575" s="1966"/>
    </row>
    <row r="576" spans="1:17" ht="12.75" customHeight="1">
      <c r="A576" s="1962"/>
      <c r="B576" s="1840"/>
      <c r="C576" s="1850"/>
      <c r="D576" s="1934"/>
      <c r="E576" s="1934"/>
      <c r="F576" s="1905"/>
      <c r="G576" s="1963"/>
      <c r="H576" s="1964"/>
      <c r="I576" s="2310"/>
      <c r="J576" s="2534"/>
      <c r="K576" s="1615"/>
      <c r="L576" s="1636"/>
      <c r="M576" s="1636"/>
      <c r="N576" s="1615"/>
      <c r="O576" s="1635"/>
      <c r="P576" s="1965"/>
      <c r="Q576" s="1966"/>
    </row>
    <row r="577" spans="1:17" ht="12.75" customHeight="1">
      <c r="A577" s="1962" t="s">
        <v>3274</v>
      </c>
      <c r="B577" s="1840"/>
      <c r="C577" s="1850" t="s">
        <v>3275</v>
      </c>
      <c r="D577" s="1934"/>
      <c r="E577" s="1934">
        <v>1</v>
      </c>
      <c r="F577" s="1905"/>
      <c r="G577" s="1963" t="s">
        <v>2569</v>
      </c>
      <c r="H577" s="1964" t="s">
        <v>2593</v>
      </c>
      <c r="I577" s="2310"/>
      <c r="J577" s="2534">
        <v>0</v>
      </c>
      <c r="K577" s="1615">
        <v>0</v>
      </c>
      <c r="L577" s="1636">
        <v>25000</v>
      </c>
      <c r="M577" s="1636"/>
      <c r="N577" s="1615"/>
      <c r="O577" s="1635"/>
      <c r="P577" s="1965" t="s">
        <v>2566</v>
      </c>
      <c r="Q577" s="1966" t="s">
        <v>2587</v>
      </c>
    </row>
    <row r="578" spans="1:17" ht="12.75" customHeight="1">
      <c r="A578" s="1962"/>
      <c r="B578" s="1840"/>
      <c r="C578" s="1850" t="s">
        <v>3276</v>
      </c>
      <c r="D578" s="1934"/>
      <c r="E578" s="1934">
        <v>1</v>
      </c>
      <c r="F578" s="1905"/>
      <c r="G578" s="1963" t="s">
        <v>3188</v>
      </c>
      <c r="H578" s="1964" t="s">
        <v>3174</v>
      </c>
      <c r="I578" s="2310"/>
      <c r="J578" s="2534">
        <v>0</v>
      </c>
      <c r="K578" s="1615">
        <v>0</v>
      </c>
      <c r="L578" s="1636">
        <v>193324</v>
      </c>
      <c r="M578" s="1636"/>
      <c r="N578" s="1615"/>
      <c r="O578" s="1635"/>
      <c r="P578" s="1965" t="s">
        <v>2566</v>
      </c>
      <c r="Q578" s="1966" t="s">
        <v>2571</v>
      </c>
    </row>
    <row r="579" spans="1:17" ht="12.75" customHeight="1">
      <c r="A579" s="1962"/>
      <c r="B579" s="1840"/>
      <c r="C579" s="1850" t="s">
        <v>3277</v>
      </c>
      <c r="D579" s="1934"/>
      <c r="E579" s="1934">
        <v>1</v>
      </c>
      <c r="F579" s="1905"/>
      <c r="G579" s="1963" t="s">
        <v>2564</v>
      </c>
      <c r="H579" s="1964" t="s">
        <v>3260</v>
      </c>
      <c r="I579" s="2310"/>
      <c r="J579" s="2534">
        <v>0</v>
      </c>
      <c r="K579" s="1615">
        <v>0</v>
      </c>
      <c r="L579" s="1636">
        <v>0</v>
      </c>
      <c r="M579" s="1636"/>
      <c r="N579" s="1615"/>
      <c r="O579" s="1635"/>
      <c r="P579" s="1965" t="s">
        <v>2566</v>
      </c>
      <c r="Q579" s="1966" t="s">
        <v>2587</v>
      </c>
    </row>
    <row r="580" spans="1:17" ht="12.75" customHeight="1">
      <c r="A580" s="1962"/>
      <c r="B580" s="1840"/>
      <c r="C580" s="1850" t="s">
        <v>3234</v>
      </c>
      <c r="D580" s="1934"/>
      <c r="E580" s="1934">
        <v>1</v>
      </c>
      <c r="F580" s="1905"/>
      <c r="G580" s="1963" t="s">
        <v>2569</v>
      </c>
      <c r="H580" s="1964" t="s">
        <v>3272</v>
      </c>
      <c r="I580" s="2310"/>
      <c r="J580" s="2534">
        <v>0</v>
      </c>
      <c r="K580" s="1615">
        <v>0</v>
      </c>
      <c r="L580" s="1636">
        <v>0</v>
      </c>
      <c r="M580" s="1636"/>
      <c r="N580" s="1615"/>
      <c r="O580" s="1635"/>
      <c r="P580" s="1965" t="s">
        <v>2566</v>
      </c>
      <c r="Q580" s="1966" t="s">
        <v>2587</v>
      </c>
    </row>
    <row r="581" spans="1:17" ht="12.75" customHeight="1">
      <c r="A581" s="1962"/>
      <c r="B581" s="1840"/>
      <c r="C581" s="1850" t="s">
        <v>3278</v>
      </c>
      <c r="D581" s="1934"/>
      <c r="E581" s="1934">
        <v>1</v>
      </c>
      <c r="F581" s="1905"/>
      <c r="G581" s="1963" t="s">
        <v>2564</v>
      </c>
      <c r="H581" s="1964" t="s">
        <v>2623</v>
      </c>
      <c r="I581" s="2310"/>
      <c r="J581" s="2534">
        <v>0</v>
      </c>
      <c r="K581" s="1615">
        <v>0</v>
      </c>
      <c r="L581" s="1636">
        <v>4871</v>
      </c>
      <c r="M581" s="1636"/>
      <c r="N581" s="1615"/>
      <c r="O581" s="1635"/>
      <c r="P581" s="1965" t="s">
        <v>2566</v>
      </c>
      <c r="Q581" s="1966" t="s">
        <v>2587</v>
      </c>
    </row>
    <row r="582" spans="1:17" ht="12.75" customHeight="1">
      <c r="A582" s="1962"/>
      <c r="B582" s="1840"/>
      <c r="C582" s="1850" t="s">
        <v>4057</v>
      </c>
      <c r="D582" s="1934"/>
      <c r="E582" s="1934">
        <v>3</v>
      </c>
      <c r="F582" s="1905"/>
      <c r="G582" s="1963" t="s">
        <v>2573</v>
      </c>
      <c r="H582" s="1964" t="s">
        <v>2627</v>
      </c>
      <c r="I582" s="2310"/>
      <c r="J582" s="2534">
        <v>0</v>
      </c>
      <c r="K582" s="1615">
        <v>0</v>
      </c>
      <c r="L582" s="1636">
        <v>0</v>
      </c>
      <c r="M582" s="1636">
        <v>15000</v>
      </c>
      <c r="N582" s="1615">
        <v>0</v>
      </c>
      <c r="O582" s="1635">
        <v>0</v>
      </c>
      <c r="P582" s="1965" t="s">
        <v>2566</v>
      </c>
      <c r="Q582" s="1966" t="s">
        <v>2587</v>
      </c>
    </row>
    <row r="583" spans="1:17" ht="12.75" customHeight="1">
      <c r="A583" s="1962"/>
      <c r="B583" s="1840"/>
      <c r="C583" s="1850"/>
      <c r="D583" s="1934"/>
      <c r="E583" s="1934"/>
      <c r="F583" s="1905"/>
      <c r="G583" s="1963"/>
      <c r="H583" s="1964"/>
      <c r="I583" s="2310"/>
      <c r="J583" s="2534"/>
      <c r="K583" s="1615"/>
      <c r="L583" s="1636"/>
      <c r="M583" s="1636"/>
      <c r="N583" s="1615"/>
      <c r="O583" s="1635"/>
      <c r="P583" s="1965"/>
      <c r="Q583" s="1966"/>
    </row>
    <row r="584" spans="1:17" ht="12.75" customHeight="1">
      <c r="A584" s="1962"/>
      <c r="B584" s="1840"/>
      <c r="C584" s="1850"/>
      <c r="D584" s="1934"/>
      <c r="E584" s="1934"/>
      <c r="F584" s="1905"/>
      <c r="G584" s="1963"/>
      <c r="H584" s="1964"/>
      <c r="I584" s="2310"/>
      <c r="J584" s="2534"/>
      <c r="K584" s="1615"/>
      <c r="L584" s="1636"/>
      <c r="M584" s="1636"/>
      <c r="N584" s="1615"/>
      <c r="O584" s="1635"/>
      <c r="P584" s="1965"/>
      <c r="Q584" s="1966"/>
    </row>
    <row r="585" spans="1:17" ht="12.75" customHeight="1">
      <c r="A585" s="1962"/>
      <c r="B585" s="1840"/>
      <c r="C585" s="1850"/>
      <c r="D585" s="1934"/>
      <c r="E585" s="1934"/>
      <c r="F585" s="1905"/>
      <c r="G585" s="1963"/>
      <c r="H585" s="1964"/>
      <c r="I585" s="2310"/>
      <c r="J585" s="2534"/>
      <c r="K585" s="1615"/>
      <c r="L585" s="1636"/>
      <c r="M585" s="1636"/>
      <c r="N585" s="1615"/>
      <c r="O585" s="1635"/>
      <c r="P585" s="1965"/>
      <c r="Q585" s="1966"/>
    </row>
    <row r="586" spans="1:17" ht="12.75" customHeight="1">
      <c r="A586" s="1962" t="s">
        <v>3279</v>
      </c>
      <c r="B586" s="1840"/>
      <c r="C586" s="1850" t="s">
        <v>3280</v>
      </c>
      <c r="D586" s="1934"/>
      <c r="E586" s="1934">
        <v>4</v>
      </c>
      <c r="F586" s="1905"/>
      <c r="G586" s="1963" t="s">
        <v>2564</v>
      </c>
      <c r="H586" s="1964" t="s">
        <v>3280</v>
      </c>
      <c r="I586" s="2310"/>
      <c r="J586" s="2534">
        <v>0</v>
      </c>
      <c r="K586" s="1615">
        <v>0</v>
      </c>
      <c r="L586" s="1636">
        <v>2000</v>
      </c>
      <c r="M586" s="1636"/>
      <c r="N586" s="1615"/>
      <c r="O586" s="1635"/>
      <c r="P586" s="1965" t="s">
        <v>2566</v>
      </c>
      <c r="Q586" s="1966" t="s">
        <v>2571</v>
      </c>
    </row>
    <row r="587" spans="1:17" ht="12.75" customHeight="1">
      <c r="A587" s="1962"/>
      <c r="B587" s="1840"/>
      <c r="C587" s="1850" t="s">
        <v>2575</v>
      </c>
      <c r="D587" s="1934"/>
      <c r="E587" s="1934">
        <v>4</v>
      </c>
      <c r="F587" s="1905"/>
      <c r="G587" s="1963" t="s">
        <v>2564</v>
      </c>
      <c r="H587" s="1964" t="s">
        <v>3255</v>
      </c>
      <c r="I587" s="2310"/>
      <c r="J587" s="2534">
        <v>0</v>
      </c>
      <c r="K587" s="1615">
        <v>0</v>
      </c>
      <c r="L587" s="1636">
        <v>1500</v>
      </c>
      <c r="M587" s="1636"/>
      <c r="N587" s="1615"/>
      <c r="O587" s="1635"/>
      <c r="P587" s="1965" t="s">
        <v>2566</v>
      </c>
      <c r="Q587" s="1966" t="s">
        <v>2571</v>
      </c>
    </row>
    <row r="588" spans="1:17" ht="12.75" customHeight="1">
      <c r="A588" s="1962"/>
      <c r="B588" s="1840"/>
      <c r="C588" s="1850" t="s">
        <v>3281</v>
      </c>
      <c r="D588" s="1934"/>
      <c r="E588" s="1934">
        <v>4</v>
      </c>
      <c r="F588" s="1905"/>
      <c r="G588" s="1963" t="s">
        <v>2564</v>
      </c>
      <c r="H588" s="1964" t="s">
        <v>3282</v>
      </c>
      <c r="I588" s="2310"/>
      <c r="J588" s="2534">
        <v>0</v>
      </c>
      <c r="K588" s="1615">
        <v>0</v>
      </c>
      <c r="L588" s="1636">
        <v>65500</v>
      </c>
      <c r="M588" s="1636"/>
      <c r="N588" s="1615"/>
      <c r="O588" s="1635"/>
      <c r="P588" s="1965" t="s">
        <v>2566</v>
      </c>
      <c r="Q588" s="1966" t="s">
        <v>2571</v>
      </c>
    </row>
    <row r="589" spans="1:17" ht="12.75" customHeight="1">
      <c r="A589" s="1962"/>
      <c r="B589" s="1840"/>
      <c r="C589" s="1850" t="s">
        <v>3283</v>
      </c>
      <c r="D589" s="1934"/>
      <c r="E589" s="1934">
        <v>4</v>
      </c>
      <c r="F589" s="1905"/>
      <c r="G589" s="1963" t="s">
        <v>2564</v>
      </c>
      <c r="H589" s="1964" t="s">
        <v>3283</v>
      </c>
      <c r="I589" s="2310"/>
      <c r="J589" s="2534">
        <v>0</v>
      </c>
      <c r="K589" s="1615">
        <v>0</v>
      </c>
      <c r="L589" s="1636">
        <v>1000</v>
      </c>
      <c r="M589" s="1636"/>
      <c r="N589" s="1615"/>
      <c r="O589" s="1635"/>
      <c r="P589" s="1965" t="s">
        <v>2566</v>
      </c>
      <c r="Q589" s="1966" t="s">
        <v>2571</v>
      </c>
    </row>
    <row r="590" spans="1:17" ht="12.75" customHeight="1">
      <c r="A590" s="1962"/>
      <c r="B590" s="1840"/>
      <c r="C590" s="1850" t="s">
        <v>3284</v>
      </c>
      <c r="D590" s="1934"/>
      <c r="E590" s="1934">
        <v>4</v>
      </c>
      <c r="F590" s="1905"/>
      <c r="G590" s="1963" t="s">
        <v>2564</v>
      </c>
      <c r="H590" s="1964" t="s">
        <v>3284</v>
      </c>
      <c r="I590" s="2310"/>
      <c r="J590" s="2534">
        <v>0</v>
      </c>
      <c r="K590" s="1615">
        <v>0</v>
      </c>
      <c r="L590" s="1636">
        <v>10000</v>
      </c>
      <c r="M590" s="1636"/>
      <c r="N590" s="1615"/>
      <c r="O590" s="1635"/>
      <c r="P590" s="1965" t="s">
        <v>2566</v>
      </c>
      <c r="Q590" s="1966" t="s">
        <v>2571</v>
      </c>
    </row>
    <row r="591" spans="1:17" ht="12.75" customHeight="1">
      <c r="A591" s="1962"/>
      <c r="B591" s="1840"/>
      <c r="C591" s="1850" t="s">
        <v>2591</v>
      </c>
      <c r="D591" s="1934"/>
      <c r="E591" s="1934">
        <v>4</v>
      </c>
      <c r="F591" s="1905"/>
      <c r="G591" s="1963" t="s">
        <v>2564</v>
      </c>
      <c r="H591" s="1964" t="s">
        <v>2591</v>
      </c>
      <c r="I591" s="2310"/>
      <c r="J591" s="2534">
        <v>0</v>
      </c>
      <c r="K591" s="1615">
        <v>0</v>
      </c>
      <c r="L591" s="1636">
        <v>0</v>
      </c>
      <c r="M591" s="1636"/>
      <c r="N591" s="1615"/>
      <c r="O591" s="1635"/>
      <c r="P591" s="1965" t="s">
        <v>2566</v>
      </c>
      <c r="Q591" s="1966" t="s">
        <v>2571</v>
      </c>
    </row>
    <row r="592" spans="1:17" ht="12.75" customHeight="1">
      <c r="A592" s="1962"/>
      <c r="B592" s="1840"/>
      <c r="C592" s="1850" t="s">
        <v>2628</v>
      </c>
      <c r="D592" s="1934"/>
      <c r="E592" s="1934">
        <v>4</v>
      </c>
      <c r="F592" s="1905"/>
      <c r="G592" s="1963" t="s">
        <v>2569</v>
      </c>
      <c r="H592" s="1964" t="s">
        <v>3272</v>
      </c>
      <c r="I592" s="2310"/>
      <c r="J592" s="2534">
        <v>0</v>
      </c>
      <c r="K592" s="1615">
        <v>0</v>
      </c>
      <c r="L592" s="1636">
        <v>0</v>
      </c>
      <c r="M592" s="1636"/>
      <c r="N592" s="1615"/>
      <c r="O592" s="1635"/>
      <c r="P592" s="1965" t="s">
        <v>2566</v>
      </c>
      <c r="Q592" s="1966" t="s">
        <v>2571</v>
      </c>
    </row>
    <row r="593" spans="1:17" ht="12.75" customHeight="1">
      <c r="A593" s="1962"/>
      <c r="B593" s="1840"/>
      <c r="C593" s="1850" t="s">
        <v>4058</v>
      </c>
      <c r="D593" s="1934"/>
      <c r="E593" s="1934">
        <v>1</v>
      </c>
      <c r="F593" s="1905"/>
      <c r="G593" s="1963" t="s">
        <v>2569</v>
      </c>
      <c r="H593" s="1964" t="s">
        <v>4058</v>
      </c>
      <c r="I593" s="2310"/>
      <c r="J593" s="2534">
        <v>0</v>
      </c>
      <c r="K593" s="1615">
        <v>0</v>
      </c>
      <c r="L593" s="1636">
        <v>0</v>
      </c>
      <c r="M593" s="1636">
        <v>800000</v>
      </c>
      <c r="N593" s="1615">
        <v>0</v>
      </c>
      <c r="O593" s="1635">
        <v>0</v>
      </c>
      <c r="P593" s="1965">
        <v>18</v>
      </c>
      <c r="Q593" s="1966" t="s">
        <v>2571</v>
      </c>
    </row>
    <row r="594" spans="1:17" ht="12.75" customHeight="1">
      <c r="A594" s="1962"/>
      <c r="B594" s="1840"/>
      <c r="C594" s="1850" t="s">
        <v>4059</v>
      </c>
      <c r="D594" s="1934"/>
      <c r="E594" s="1934">
        <v>1</v>
      </c>
      <c r="F594" s="1905"/>
      <c r="G594" s="1963" t="s">
        <v>2573</v>
      </c>
      <c r="H594" s="1964" t="s">
        <v>4059</v>
      </c>
      <c r="I594" s="2310"/>
      <c r="J594" s="2534">
        <v>0</v>
      </c>
      <c r="K594" s="1615">
        <v>0</v>
      </c>
      <c r="L594" s="1636">
        <v>0</v>
      </c>
      <c r="M594" s="1636">
        <v>400000</v>
      </c>
      <c r="N594" s="1615">
        <v>0</v>
      </c>
      <c r="O594" s="1635">
        <v>0</v>
      </c>
      <c r="P594" s="1965" t="s">
        <v>2566</v>
      </c>
      <c r="Q594" s="1966" t="s">
        <v>2571</v>
      </c>
    </row>
    <row r="595" spans="1:17" ht="12.75" customHeight="1">
      <c r="A595" s="1962"/>
      <c r="B595" s="1840"/>
      <c r="C595" s="1850" t="s">
        <v>4060</v>
      </c>
      <c r="D595" s="1934"/>
      <c r="E595" s="1934">
        <v>1</v>
      </c>
      <c r="F595" s="1905"/>
      <c r="G595" s="1963" t="s">
        <v>2569</v>
      </c>
      <c r="H595" s="1964" t="s">
        <v>4060</v>
      </c>
      <c r="I595" s="2310"/>
      <c r="J595" s="2534">
        <v>0</v>
      </c>
      <c r="K595" s="1615">
        <v>0</v>
      </c>
      <c r="L595" s="1636">
        <v>0</v>
      </c>
      <c r="M595" s="1636">
        <v>2000000</v>
      </c>
      <c r="N595" s="1615">
        <v>0</v>
      </c>
      <c r="O595" s="1635">
        <v>0</v>
      </c>
      <c r="P595" s="1965" t="s">
        <v>2566</v>
      </c>
      <c r="Q595" s="1966" t="s">
        <v>2571</v>
      </c>
    </row>
    <row r="596" spans="1:17" ht="12.75" customHeight="1">
      <c r="A596" s="1962"/>
      <c r="B596" s="1840"/>
      <c r="C596" s="1850" t="s">
        <v>4061</v>
      </c>
      <c r="D596" s="1934"/>
      <c r="E596" s="1934">
        <v>1</v>
      </c>
      <c r="F596" s="1905"/>
      <c r="G596" s="1963" t="s">
        <v>2569</v>
      </c>
      <c r="H596" s="1964" t="s">
        <v>3166</v>
      </c>
      <c r="I596" s="2310"/>
      <c r="J596" s="2534">
        <v>0</v>
      </c>
      <c r="K596" s="1615">
        <v>0</v>
      </c>
      <c r="L596" s="1636">
        <v>0</v>
      </c>
      <c r="M596" s="1636">
        <v>7000000</v>
      </c>
      <c r="N596" s="1615">
        <v>8000000</v>
      </c>
      <c r="O596" s="1635">
        <v>0</v>
      </c>
      <c r="P596" s="1965" t="s">
        <v>2566</v>
      </c>
      <c r="Q596" s="1966" t="s">
        <v>2587</v>
      </c>
    </row>
    <row r="597" spans="1:17" ht="12.75" customHeight="1">
      <c r="A597" s="1962"/>
      <c r="B597" s="1840"/>
      <c r="C597" s="1850" t="s">
        <v>4062</v>
      </c>
      <c r="D597" s="1934"/>
      <c r="E597" s="1934">
        <v>1</v>
      </c>
      <c r="F597" s="1905"/>
      <c r="G597" s="1963" t="s">
        <v>2569</v>
      </c>
      <c r="H597" s="1964" t="s">
        <v>4062</v>
      </c>
      <c r="I597" s="2310"/>
      <c r="J597" s="2534">
        <v>0</v>
      </c>
      <c r="K597" s="1615">
        <v>0</v>
      </c>
      <c r="L597" s="1636">
        <v>0</v>
      </c>
      <c r="M597" s="1636">
        <v>6000000</v>
      </c>
      <c r="N597" s="1615">
        <v>7000000</v>
      </c>
      <c r="O597" s="1635">
        <v>0</v>
      </c>
      <c r="P597" s="1965">
        <v>14</v>
      </c>
      <c r="Q597" s="1966" t="s">
        <v>2587</v>
      </c>
    </row>
    <row r="598" spans="1:17" ht="12.75" customHeight="1">
      <c r="A598" s="1962"/>
      <c r="B598" s="1840"/>
      <c r="C598" s="1850" t="s">
        <v>4063</v>
      </c>
      <c r="D598" s="1934"/>
      <c r="E598" s="1934">
        <v>1</v>
      </c>
      <c r="F598" s="1905"/>
      <c r="G598" s="1963" t="s">
        <v>2569</v>
      </c>
      <c r="H598" s="1964" t="s">
        <v>4063</v>
      </c>
      <c r="I598" s="2310"/>
      <c r="J598" s="2534">
        <v>0</v>
      </c>
      <c r="K598" s="1615">
        <v>0</v>
      </c>
      <c r="L598" s="1636">
        <v>0</v>
      </c>
      <c r="M598" s="1636">
        <v>3000000</v>
      </c>
      <c r="N598" s="1615">
        <v>3000000</v>
      </c>
      <c r="O598" s="1635">
        <v>0</v>
      </c>
      <c r="P598" s="1965">
        <v>14</v>
      </c>
      <c r="Q598" s="1966" t="s">
        <v>2587</v>
      </c>
    </row>
    <row r="599" spans="1:17" ht="12.75" customHeight="1">
      <c r="A599" s="1962"/>
      <c r="B599" s="1840"/>
      <c r="C599" s="1850" t="s">
        <v>4064</v>
      </c>
      <c r="D599" s="1934"/>
      <c r="E599" s="1934">
        <v>1</v>
      </c>
      <c r="F599" s="1905"/>
      <c r="G599" s="1963" t="s">
        <v>2569</v>
      </c>
      <c r="H599" s="1964" t="s">
        <v>4065</v>
      </c>
      <c r="I599" s="2310"/>
      <c r="J599" s="2534">
        <v>0</v>
      </c>
      <c r="K599" s="1615">
        <v>0</v>
      </c>
      <c r="L599" s="1636">
        <v>0</v>
      </c>
      <c r="M599" s="1636">
        <v>5000000</v>
      </c>
      <c r="N599" s="1615">
        <v>5000000</v>
      </c>
      <c r="O599" s="1635">
        <v>0</v>
      </c>
      <c r="P599" s="1965">
        <v>15</v>
      </c>
      <c r="Q599" s="1966" t="s">
        <v>2587</v>
      </c>
    </row>
    <row r="600" spans="1:17" ht="12.75" customHeight="1">
      <c r="A600" s="1962"/>
      <c r="B600" s="1840"/>
      <c r="C600" s="1850" t="s">
        <v>4066</v>
      </c>
      <c r="D600" s="1934"/>
      <c r="E600" s="1934">
        <v>1</v>
      </c>
      <c r="F600" s="1905"/>
      <c r="G600" s="1963" t="s">
        <v>2569</v>
      </c>
      <c r="H600" s="1964" t="s">
        <v>4067</v>
      </c>
      <c r="I600" s="2310"/>
      <c r="J600" s="2534">
        <v>0</v>
      </c>
      <c r="K600" s="1615">
        <v>0</v>
      </c>
      <c r="L600" s="1636">
        <v>0</v>
      </c>
      <c r="M600" s="1636">
        <v>300000</v>
      </c>
      <c r="N600" s="1615">
        <v>0</v>
      </c>
      <c r="O600" s="1635">
        <v>0</v>
      </c>
      <c r="P600" s="1965">
        <v>18</v>
      </c>
      <c r="Q600" s="1966" t="s">
        <v>2571</v>
      </c>
    </row>
    <row r="601" spans="1:17" ht="12.75" customHeight="1">
      <c r="A601" s="1962"/>
      <c r="B601" s="1840"/>
      <c r="C601" s="1850" t="s">
        <v>4068</v>
      </c>
      <c r="D601" s="1934"/>
      <c r="E601" s="1934">
        <v>1</v>
      </c>
      <c r="F601" s="1905"/>
      <c r="G601" s="1963" t="s">
        <v>2569</v>
      </c>
      <c r="H601" s="1964" t="s">
        <v>4068</v>
      </c>
      <c r="I601" s="2310"/>
      <c r="J601" s="2534">
        <v>0</v>
      </c>
      <c r="K601" s="1615">
        <v>0</v>
      </c>
      <c r="L601" s="1636">
        <v>0</v>
      </c>
      <c r="M601" s="1636">
        <v>7000000</v>
      </c>
      <c r="N601" s="1615">
        <v>10000000</v>
      </c>
      <c r="O601" s="1635">
        <v>16000000</v>
      </c>
      <c r="P601" s="1965">
        <v>18</v>
      </c>
      <c r="Q601" s="1966" t="s">
        <v>2571</v>
      </c>
    </row>
    <row r="602" spans="1:17" ht="12.75" customHeight="1">
      <c r="A602" s="1962"/>
      <c r="B602" s="1840"/>
      <c r="C602" s="1850" t="s">
        <v>4069</v>
      </c>
      <c r="D602" s="1934"/>
      <c r="E602" s="1934">
        <v>1</v>
      </c>
      <c r="F602" s="1905"/>
      <c r="G602" s="1963" t="s">
        <v>2569</v>
      </c>
      <c r="H602" s="1964" t="s">
        <v>4070</v>
      </c>
      <c r="I602" s="2310"/>
      <c r="J602" s="2534">
        <v>0</v>
      </c>
      <c r="K602" s="1615">
        <v>0</v>
      </c>
      <c r="L602" s="1636">
        <v>0</v>
      </c>
      <c r="M602" s="1636">
        <v>5000000</v>
      </c>
      <c r="N602" s="1615">
        <v>3000000</v>
      </c>
      <c r="O602" s="1635">
        <v>0</v>
      </c>
      <c r="P602" s="1965" t="s">
        <v>2566</v>
      </c>
      <c r="Q602" s="1966" t="s">
        <v>2587</v>
      </c>
    </row>
    <row r="603" spans="1:17" ht="12.75" customHeight="1">
      <c r="A603" s="1962"/>
      <c r="B603" s="1840"/>
      <c r="C603" s="1850" t="s">
        <v>2592</v>
      </c>
      <c r="D603" s="1934"/>
      <c r="E603" s="1934">
        <v>1</v>
      </c>
      <c r="F603" s="1905"/>
      <c r="G603" s="1963" t="s">
        <v>2564</v>
      </c>
      <c r="H603" s="1964" t="s">
        <v>2592</v>
      </c>
      <c r="I603" s="2310"/>
      <c r="J603" s="2534">
        <v>0</v>
      </c>
      <c r="K603" s="1615">
        <v>0</v>
      </c>
      <c r="L603" s="1636">
        <v>0</v>
      </c>
      <c r="M603" s="1636">
        <v>15000</v>
      </c>
      <c r="N603" s="1615">
        <v>0</v>
      </c>
      <c r="O603" s="1635">
        <v>0</v>
      </c>
      <c r="P603" s="1965" t="s">
        <v>2566</v>
      </c>
      <c r="Q603" s="1966" t="s">
        <v>2571</v>
      </c>
    </row>
    <row r="604" spans="1:17" ht="12.75" customHeight="1">
      <c r="A604" s="1962"/>
      <c r="B604" s="1840"/>
      <c r="C604" s="1850" t="s">
        <v>4071</v>
      </c>
      <c r="D604" s="1934"/>
      <c r="E604" s="1934">
        <v>2</v>
      </c>
      <c r="F604" s="1905"/>
      <c r="G604" s="1963" t="s">
        <v>2573</v>
      </c>
      <c r="H604" s="1964" t="s">
        <v>4071</v>
      </c>
      <c r="I604" s="2310"/>
      <c r="J604" s="2534">
        <v>0</v>
      </c>
      <c r="K604" s="1615">
        <v>0</v>
      </c>
      <c r="L604" s="1636">
        <v>0</v>
      </c>
      <c r="M604" s="1636">
        <v>800000</v>
      </c>
      <c r="N604" s="1615">
        <v>0</v>
      </c>
      <c r="O604" s="1635">
        <v>0</v>
      </c>
      <c r="P604" s="1965" t="s">
        <v>2566</v>
      </c>
      <c r="Q604" s="1966" t="s">
        <v>2571</v>
      </c>
    </row>
    <row r="605" spans="1:17" ht="12.75" customHeight="1">
      <c r="A605" s="1962"/>
      <c r="B605" s="1840"/>
      <c r="C605" s="1850"/>
      <c r="D605" s="1934"/>
      <c r="E605" s="1934"/>
      <c r="F605" s="1905"/>
      <c r="G605" s="1963"/>
      <c r="H605" s="1964"/>
      <c r="I605" s="2310"/>
      <c r="J605" s="2534"/>
      <c r="K605" s="1615"/>
      <c r="L605" s="1636"/>
      <c r="M605" s="1636"/>
      <c r="N605" s="1615"/>
      <c r="O605" s="1635"/>
      <c r="P605" s="1965"/>
      <c r="Q605" s="1966"/>
    </row>
    <row r="606" spans="1:17" ht="12.75" customHeight="1">
      <c r="A606" s="1962"/>
      <c r="B606" s="1840"/>
      <c r="C606" s="1850"/>
      <c r="D606" s="1934"/>
      <c r="E606" s="1934"/>
      <c r="F606" s="1905"/>
      <c r="G606" s="1963"/>
      <c r="H606" s="1964"/>
      <c r="I606" s="2310"/>
      <c r="J606" s="2534"/>
      <c r="K606" s="1615"/>
      <c r="L606" s="1636"/>
      <c r="M606" s="1636"/>
      <c r="N606" s="1615"/>
      <c r="O606" s="1635"/>
      <c r="P606" s="1965"/>
      <c r="Q606" s="1966"/>
    </row>
    <row r="607" spans="1:17" ht="12.75" customHeight="1">
      <c r="A607" s="1962"/>
      <c r="B607" s="1840"/>
      <c r="C607" s="1850"/>
      <c r="D607" s="1934"/>
      <c r="E607" s="1934"/>
      <c r="F607" s="1905"/>
      <c r="G607" s="1963"/>
      <c r="H607" s="1964"/>
      <c r="I607" s="2310"/>
      <c r="J607" s="2534"/>
      <c r="K607" s="1615"/>
      <c r="L607" s="1636"/>
      <c r="M607" s="1636"/>
      <c r="N607" s="1615"/>
      <c r="O607" s="1635"/>
      <c r="P607" s="1965"/>
      <c r="Q607" s="1966"/>
    </row>
    <row r="608" spans="1:17" ht="12.75" customHeight="1">
      <c r="A608" s="1962" t="s">
        <v>3285</v>
      </c>
      <c r="B608" s="1840"/>
      <c r="C608" s="1850" t="s">
        <v>3286</v>
      </c>
      <c r="D608" s="1934"/>
      <c r="E608" s="1934">
        <v>4</v>
      </c>
      <c r="F608" s="1905"/>
      <c r="G608" s="1963" t="s">
        <v>2564</v>
      </c>
      <c r="H608" s="1964" t="s">
        <v>3260</v>
      </c>
      <c r="I608" s="2310"/>
      <c r="J608" s="2534">
        <v>0</v>
      </c>
      <c r="K608" s="1615">
        <v>0</v>
      </c>
      <c r="L608" s="1636">
        <v>0</v>
      </c>
      <c r="M608" s="1636"/>
      <c r="N608" s="1615"/>
      <c r="O608" s="1635"/>
      <c r="P608" s="1965" t="s">
        <v>2566</v>
      </c>
      <c r="Q608" s="1966" t="s">
        <v>2587</v>
      </c>
    </row>
    <row r="609" spans="1:17" ht="12.75" customHeight="1">
      <c r="A609" s="1962"/>
      <c r="B609" s="1840"/>
      <c r="C609" s="1850" t="s">
        <v>3287</v>
      </c>
      <c r="D609" s="1934"/>
      <c r="E609" s="1934">
        <v>4</v>
      </c>
      <c r="F609" s="1905"/>
      <c r="G609" s="1963" t="s">
        <v>2573</v>
      </c>
      <c r="H609" s="1964" t="s">
        <v>3288</v>
      </c>
      <c r="I609" s="2310"/>
      <c r="J609" s="2534">
        <v>0</v>
      </c>
      <c r="K609" s="1615">
        <v>0</v>
      </c>
      <c r="L609" s="1636">
        <v>200000</v>
      </c>
      <c r="M609" s="1636"/>
      <c r="N609" s="1615"/>
      <c r="O609" s="1635"/>
      <c r="P609" s="1965" t="s">
        <v>2566</v>
      </c>
      <c r="Q609" s="1966" t="s">
        <v>2587</v>
      </c>
    </row>
    <row r="610" spans="1:17" ht="12.75" customHeight="1">
      <c r="A610" s="1962"/>
      <c r="B610" s="1840"/>
      <c r="C610" s="1850" t="s">
        <v>4072</v>
      </c>
      <c r="D610" s="1934"/>
      <c r="E610" s="1934">
        <v>1</v>
      </c>
      <c r="F610" s="1905"/>
      <c r="G610" s="1963" t="s">
        <v>2573</v>
      </c>
      <c r="H610" s="1964" t="s">
        <v>3213</v>
      </c>
      <c r="I610" s="2310"/>
      <c r="J610" s="2534">
        <v>0</v>
      </c>
      <c r="K610" s="1615">
        <v>0</v>
      </c>
      <c r="L610" s="1636">
        <v>0</v>
      </c>
      <c r="M610" s="1636">
        <v>300000</v>
      </c>
      <c r="N610" s="1615">
        <v>0</v>
      </c>
      <c r="O610" s="1635">
        <v>0</v>
      </c>
      <c r="P610" s="1965" t="s">
        <v>2566</v>
      </c>
      <c r="Q610" s="1966" t="s">
        <v>2571</v>
      </c>
    </row>
    <row r="611" spans="1:17" ht="12.75" customHeight="1">
      <c r="A611" s="1962"/>
      <c r="B611" s="1840"/>
      <c r="C611" s="1850" t="s">
        <v>4073</v>
      </c>
      <c r="D611" s="1934"/>
      <c r="E611" s="1934">
        <v>2</v>
      </c>
      <c r="F611" s="1905"/>
      <c r="G611" s="1963" t="s">
        <v>2573</v>
      </c>
      <c r="H611" s="1964" t="s">
        <v>4074</v>
      </c>
      <c r="I611" s="2310"/>
      <c r="J611" s="2534">
        <v>0</v>
      </c>
      <c r="K611" s="1615">
        <v>0</v>
      </c>
      <c r="L611" s="1636">
        <v>0</v>
      </c>
      <c r="M611" s="1636">
        <v>300000</v>
      </c>
      <c r="N611" s="1615">
        <v>0</v>
      </c>
      <c r="O611" s="1635">
        <v>0</v>
      </c>
      <c r="P611" s="1965" t="s">
        <v>2566</v>
      </c>
      <c r="Q611" s="1966" t="s">
        <v>2587</v>
      </c>
    </row>
    <row r="612" spans="1:17" ht="12.75" customHeight="1">
      <c r="A612" s="1962"/>
      <c r="B612" s="1840"/>
      <c r="C612" s="1850" t="s">
        <v>2591</v>
      </c>
      <c r="D612" s="1934"/>
      <c r="E612" s="1934">
        <v>3</v>
      </c>
      <c r="F612" s="1905"/>
      <c r="G612" s="1963" t="s">
        <v>2564</v>
      </c>
      <c r="H612" s="1964" t="s">
        <v>2591</v>
      </c>
      <c r="I612" s="2310"/>
      <c r="J612" s="2534">
        <v>0</v>
      </c>
      <c r="K612" s="1615">
        <v>0</v>
      </c>
      <c r="L612" s="1636">
        <v>0</v>
      </c>
      <c r="M612" s="1636">
        <v>30000</v>
      </c>
      <c r="N612" s="1615">
        <v>0</v>
      </c>
      <c r="O612" s="1635">
        <v>0</v>
      </c>
      <c r="P612" s="1965" t="s">
        <v>2566</v>
      </c>
      <c r="Q612" s="1966" t="s">
        <v>2587</v>
      </c>
    </row>
    <row r="613" spans="1:17" ht="12.75" customHeight="1">
      <c r="A613" s="1962"/>
      <c r="B613" s="1840"/>
      <c r="C613" s="1850"/>
      <c r="D613" s="1934"/>
      <c r="E613" s="1934"/>
      <c r="F613" s="1905"/>
      <c r="G613" s="1963"/>
      <c r="H613" s="1964"/>
      <c r="I613" s="2310"/>
      <c r="J613" s="2534"/>
      <c r="K613" s="1615"/>
      <c r="L613" s="1636"/>
      <c r="M613" s="1636"/>
      <c r="N613" s="1615"/>
      <c r="O613" s="1635"/>
      <c r="P613" s="1965"/>
      <c r="Q613" s="1966"/>
    </row>
    <row r="614" spans="1:17" ht="12.75" customHeight="1">
      <c r="A614" s="1962"/>
      <c r="B614" s="1840"/>
      <c r="C614" s="1850"/>
      <c r="D614" s="1934"/>
      <c r="E614" s="1934"/>
      <c r="F614" s="1905"/>
      <c r="G614" s="1963"/>
      <c r="H614" s="1964"/>
      <c r="I614" s="2310"/>
      <c r="J614" s="2534"/>
      <c r="K614" s="1615"/>
      <c r="L614" s="1636"/>
      <c r="M614" s="1636"/>
      <c r="N614" s="1615"/>
      <c r="O614" s="1635"/>
      <c r="P614" s="1965"/>
      <c r="Q614" s="1966"/>
    </row>
    <row r="615" spans="1:17" ht="12.75" customHeight="1">
      <c r="A615" s="1962"/>
      <c r="B615" s="1840"/>
      <c r="C615" s="1850"/>
      <c r="D615" s="1934"/>
      <c r="E615" s="1934"/>
      <c r="F615" s="1905"/>
      <c r="G615" s="1963"/>
      <c r="H615" s="1964"/>
      <c r="I615" s="2310"/>
      <c r="J615" s="2534"/>
      <c r="K615" s="1615"/>
      <c r="L615" s="1636"/>
      <c r="M615" s="1636"/>
      <c r="N615" s="1615"/>
      <c r="O615" s="1635"/>
      <c r="P615" s="1965"/>
      <c r="Q615" s="1966"/>
    </row>
    <row r="616" spans="1:17" ht="12.75" customHeight="1">
      <c r="A616" s="1962" t="s">
        <v>3289</v>
      </c>
      <c r="B616" s="1840"/>
      <c r="C616" s="1850" t="s">
        <v>3290</v>
      </c>
      <c r="D616" s="1934"/>
      <c r="E616" s="1934">
        <v>4</v>
      </c>
      <c r="F616" s="1905"/>
      <c r="G616" s="1963" t="s">
        <v>2564</v>
      </c>
      <c r="H616" s="1964" t="s">
        <v>3291</v>
      </c>
      <c r="I616" s="2310"/>
      <c r="J616" s="2534">
        <v>0</v>
      </c>
      <c r="K616" s="1615">
        <v>0</v>
      </c>
      <c r="L616" s="1636">
        <v>3200</v>
      </c>
      <c r="M616" s="1636"/>
      <c r="N616" s="1615"/>
      <c r="O616" s="1635"/>
      <c r="P616" s="1965" t="s">
        <v>2566</v>
      </c>
      <c r="Q616" s="1966" t="s">
        <v>2587</v>
      </c>
    </row>
    <row r="617" spans="1:17" ht="12.75" customHeight="1">
      <c r="A617" s="1962"/>
      <c r="B617" s="1840"/>
      <c r="C617" s="1850" t="s">
        <v>3292</v>
      </c>
      <c r="D617" s="1934"/>
      <c r="E617" s="1934">
        <v>7</v>
      </c>
      <c r="F617" s="1905"/>
      <c r="G617" s="1963" t="s">
        <v>2564</v>
      </c>
      <c r="H617" s="1964" t="s">
        <v>3293</v>
      </c>
      <c r="I617" s="2310"/>
      <c r="J617" s="2534">
        <v>0</v>
      </c>
      <c r="K617" s="1615">
        <v>0</v>
      </c>
      <c r="L617" s="1636">
        <v>2900</v>
      </c>
      <c r="M617" s="1636"/>
      <c r="N617" s="1615"/>
      <c r="O617" s="1635"/>
      <c r="P617" s="1965" t="s">
        <v>2566</v>
      </c>
      <c r="Q617" s="1966" t="s">
        <v>2587</v>
      </c>
    </row>
    <row r="618" spans="1:17" ht="12.75" customHeight="1">
      <c r="A618" s="1962"/>
      <c r="B618" s="1840"/>
      <c r="C618" s="1850" t="s">
        <v>3294</v>
      </c>
      <c r="D618" s="1934"/>
      <c r="E618" s="1934">
        <v>7</v>
      </c>
      <c r="F618" s="1905"/>
      <c r="G618" s="1963" t="s">
        <v>2564</v>
      </c>
      <c r="H618" s="1964" t="s">
        <v>3282</v>
      </c>
      <c r="I618" s="2310"/>
      <c r="J618" s="2534">
        <v>0</v>
      </c>
      <c r="K618" s="1615">
        <v>0</v>
      </c>
      <c r="L618" s="1636">
        <v>7500</v>
      </c>
      <c r="M618" s="1636"/>
      <c r="N618" s="1615"/>
      <c r="O618" s="1635"/>
      <c r="P618" s="1965" t="s">
        <v>2566</v>
      </c>
      <c r="Q618" s="1966" t="s">
        <v>2571</v>
      </c>
    </row>
    <row r="619" spans="1:17" ht="12.75" customHeight="1">
      <c r="A619" s="1962"/>
      <c r="B619" s="1840"/>
      <c r="C619" s="1850" t="s">
        <v>3295</v>
      </c>
      <c r="D619" s="1934"/>
      <c r="E619" s="1934">
        <v>7</v>
      </c>
      <c r="F619" s="1905"/>
      <c r="G619" s="1963" t="s">
        <v>2564</v>
      </c>
      <c r="H619" s="1964" t="s">
        <v>3291</v>
      </c>
      <c r="I619" s="2310"/>
      <c r="J619" s="2534">
        <v>0</v>
      </c>
      <c r="K619" s="1615">
        <v>0</v>
      </c>
      <c r="L619" s="1636">
        <v>1500</v>
      </c>
      <c r="M619" s="1636"/>
      <c r="N619" s="1615"/>
      <c r="O619" s="1635"/>
      <c r="P619" s="1965" t="s">
        <v>2566</v>
      </c>
      <c r="Q619" s="1966" t="s">
        <v>2587</v>
      </c>
    </row>
    <row r="620" spans="1:17" ht="12.75" customHeight="1">
      <c r="A620" s="1962"/>
      <c r="B620" s="1840"/>
      <c r="C620" s="1850" t="s">
        <v>3296</v>
      </c>
      <c r="D620" s="1934"/>
      <c r="E620" s="1934">
        <v>7</v>
      </c>
      <c r="F620" s="1905"/>
      <c r="G620" s="1963" t="s">
        <v>2564</v>
      </c>
      <c r="H620" s="1964" t="s">
        <v>3297</v>
      </c>
      <c r="I620" s="2310"/>
      <c r="J620" s="2534">
        <v>0</v>
      </c>
      <c r="K620" s="1615">
        <v>0</v>
      </c>
      <c r="L620" s="1636">
        <v>5500</v>
      </c>
      <c r="M620" s="1636"/>
      <c r="N620" s="1615"/>
      <c r="O620" s="1635"/>
      <c r="P620" s="1965" t="s">
        <v>2566</v>
      </c>
      <c r="Q620" s="1966" t="s">
        <v>2571</v>
      </c>
    </row>
    <row r="621" spans="1:17" ht="12.75" customHeight="1">
      <c r="A621" s="1962"/>
      <c r="B621" s="1840"/>
      <c r="C621" s="1850" t="s">
        <v>3298</v>
      </c>
      <c r="D621" s="1934"/>
      <c r="E621" s="1934">
        <v>7</v>
      </c>
      <c r="F621" s="1905"/>
      <c r="G621" s="1963" t="s">
        <v>2564</v>
      </c>
      <c r="H621" s="1964" t="s">
        <v>3293</v>
      </c>
      <c r="I621" s="2310"/>
      <c r="J621" s="2534">
        <v>0</v>
      </c>
      <c r="K621" s="1615">
        <v>0</v>
      </c>
      <c r="L621" s="1636">
        <v>5000</v>
      </c>
      <c r="M621" s="1636"/>
      <c r="N621" s="1615"/>
      <c r="O621" s="1635"/>
      <c r="P621" s="1965" t="s">
        <v>2566</v>
      </c>
      <c r="Q621" s="1966" t="s">
        <v>2587</v>
      </c>
    </row>
    <row r="622" spans="1:17" ht="12.75" customHeight="1">
      <c r="A622" s="1962"/>
      <c r="B622" s="1840"/>
      <c r="C622" s="1850" t="s">
        <v>3299</v>
      </c>
      <c r="D622" s="1934"/>
      <c r="E622" s="1934">
        <v>7</v>
      </c>
      <c r="F622" s="1905"/>
      <c r="G622" s="1963" t="s">
        <v>2564</v>
      </c>
      <c r="H622" s="1964" t="s">
        <v>3300</v>
      </c>
      <c r="I622" s="2310"/>
      <c r="J622" s="2534">
        <v>0</v>
      </c>
      <c r="K622" s="1615">
        <v>0</v>
      </c>
      <c r="L622" s="1636">
        <v>9100</v>
      </c>
      <c r="M622" s="1636"/>
      <c r="N622" s="1615"/>
      <c r="O622" s="1635"/>
      <c r="P622" s="1965" t="s">
        <v>2566</v>
      </c>
      <c r="Q622" s="1966" t="s">
        <v>2571</v>
      </c>
    </row>
    <row r="623" spans="1:17" ht="12.75" customHeight="1">
      <c r="A623" s="1962"/>
      <c r="B623" s="1840"/>
      <c r="C623" s="1850" t="s">
        <v>3301</v>
      </c>
      <c r="D623" s="1934"/>
      <c r="E623" s="1934">
        <v>7</v>
      </c>
      <c r="F623" s="1905"/>
      <c r="G623" s="1963" t="s">
        <v>2569</v>
      </c>
      <c r="H623" s="1964" t="s">
        <v>2786</v>
      </c>
      <c r="I623" s="2310"/>
      <c r="J623" s="2534">
        <v>0</v>
      </c>
      <c r="K623" s="1615">
        <v>0</v>
      </c>
      <c r="L623" s="1636">
        <v>0</v>
      </c>
      <c r="M623" s="1636"/>
      <c r="N623" s="1615"/>
      <c r="O623" s="1635"/>
      <c r="P623" s="1965" t="s">
        <v>2566</v>
      </c>
      <c r="Q623" s="1966" t="s">
        <v>2571</v>
      </c>
    </row>
    <row r="624" spans="1:17" ht="12.75" customHeight="1">
      <c r="A624" s="1962"/>
      <c r="B624" s="1840"/>
      <c r="C624" s="1850" t="s">
        <v>3302</v>
      </c>
      <c r="D624" s="1934"/>
      <c r="E624" s="1934">
        <v>7</v>
      </c>
      <c r="F624" s="1905"/>
      <c r="G624" s="1963" t="s">
        <v>2564</v>
      </c>
      <c r="H624" s="1964" t="s">
        <v>3303</v>
      </c>
      <c r="I624" s="2310"/>
      <c r="J624" s="2534">
        <v>0</v>
      </c>
      <c r="K624" s="1615">
        <v>0</v>
      </c>
      <c r="L624" s="1636">
        <v>4400</v>
      </c>
      <c r="M624" s="1636"/>
      <c r="N624" s="1615"/>
      <c r="O624" s="1635"/>
      <c r="P624" s="1965" t="s">
        <v>2566</v>
      </c>
      <c r="Q624" s="1966" t="s">
        <v>2571</v>
      </c>
    </row>
    <row r="625" spans="1:17" ht="12.75" customHeight="1">
      <c r="A625" s="1962"/>
      <c r="B625" s="1840"/>
      <c r="C625" s="1850" t="s">
        <v>3304</v>
      </c>
      <c r="D625" s="1934"/>
      <c r="E625" s="1934">
        <v>4</v>
      </c>
      <c r="F625" s="1905"/>
      <c r="G625" s="1963" t="s">
        <v>2564</v>
      </c>
      <c r="H625" s="1964" t="s">
        <v>3291</v>
      </c>
      <c r="I625" s="2310"/>
      <c r="J625" s="2534">
        <v>0</v>
      </c>
      <c r="K625" s="1615">
        <v>0</v>
      </c>
      <c r="L625" s="1636">
        <v>3400</v>
      </c>
      <c r="M625" s="1636"/>
      <c r="N625" s="1615"/>
      <c r="O625" s="1635"/>
      <c r="P625" s="1965" t="s">
        <v>2566</v>
      </c>
      <c r="Q625" s="1966" t="s">
        <v>2587</v>
      </c>
    </row>
    <row r="626" spans="1:17" ht="12.75" customHeight="1">
      <c r="A626" s="1962"/>
      <c r="B626" s="1840"/>
      <c r="C626" s="1850" t="s">
        <v>3305</v>
      </c>
      <c r="D626" s="1934"/>
      <c r="E626" s="1934">
        <v>4</v>
      </c>
      <c r="F626" s="1905"/>
      <c r="G626" s="1963" t="s">
        <v>2564</v>
      </c>
      <c r="H626" s="1964" t="s">
        <v>3291</v>
      </c>
      <c r="I626" s="2310"/>
      <c r="J626" s="2534">
        <v>0</v>
      </c>
      <c r="K626" s="1615">
        <v>0</v>
      </c>
      <c r="L626" s="1636">
        <v>9300</v>
      </c>
      <c r="M626" s="1636"/>
      <c r="N626" s="1615"/>
      <c r="O626" s="1635"/>
      <c r="P626" s="1965" t="s">
        <v>2566</v>
      </c>
      <c r="Q626" s="1966" t="s">
        <v>2587</v>
      </c>
    </row>
    <row r="627" spans="1:17" ht="12.75" customHeight="1">
      <c r="A627" s="1962"/>
      <c r="B627" s="1840"/>
      <c r="C627" s="1850" t="s">
        <v>3306</v>
      </c>
      <c r="D627" s="1934"/>
      <c r="E627" s="1934">
        <v>4</v>
      </c>
      <c r="F627" s="1905"/>
      <c r="G627" s="1963" t="s">
        <v>2564</v>
      </c>
      <c r="H627" s="1964" t="s">
        <v>3307</v>
      </c>
      <c r="I627" s="2310"/>
      <c r="J627" s="2534">
        <v>0</v>
      </c>
      <c r="K627" s="1615">
        <v>0</v>
      </c>
      <c r="L627" s="1636">
        <v>2000</v>
      </c>
      <c r="M627" s="1636"/>
      <c r="N627" s="1615"/>
      <c r="O627" s="1635"/>
      <c r="P627" s="1965" t="s">
        <v>2566</v>
      </c>
      <c r="Q627" s="1966" t="s">
        <v>2587</v>
      </c>
    </row>
    <row r="628" spans="1:17" ht="12.75" customHeight="1">
      <c r="A628" s="1962"/>
      <c r="B628" s="1840"/>
      <c r="C628" s="1850" t="s">
        <v>3308</v>
      </c>
      <c r="D628" s="1934"/>
      <c r="E628" s="1934">
        <v>4</v>
      </c>
      <c r="F628" s="1905"/>
      <c r="G628" s="1963" t="s">
        <v>2564</v>
      </c>
      <c r="H628" s="1964" t="s">
        <v>3309</v>
      </c>
      <c r="I628" s="2310"/>
      <c r="J628" s="2534">
        <v>0</v>
      </c>
      <c r="K628" s="1615">
        <v>0</v>
      </c>
      <c r="L628" s="1636">
        <v>1200</v>
      </c>
      <c r="M628" s="1636"/>
      <c r="N628" s="1615"/>
      <c r="O628" s="1635"/>
      <c r="P628" s="1965" t="s">
        <v>2566</v>
      </c>
      <c r="Q628" s="1966" t="s">
        <v>2571</v>
      </c>
    </row>
    <row r="629" spans="1:17" ht="12.75" customHeight="1">
      <c r="A629" s="1962"/>
      <c r="B629" s="1840"/>
      <c r="C629" s="1850" t="s">
        <v>3310</v>
      </c>
      <c r="D629" s="1934"/>
      <c r="E629" s="1934">
        <v>4</v>
      </c>
      <c r="F629" s="1905"/>
      <c r="G629" s="1963" t="s">
        <v>2564</v>
      </c>
      <c r="H629" s="1964" t="s">
        <v>3311</v>
      </c>
      <c r="I629" s="2310"/>
      <c r="J629" s="2534">
        <v>0</v>
      </c>
      <c r="K629" s="1615">
        <v>0</v>
      </c>
      <c r="L629" s="1636">
        <v>0</v>
      </c>
      <c r="M629" s="1636"/>
      <c r="N629" s="1615"/>
      <c r="O629" s="1635"/>
      <c r="P629" s="1965" t="s">
        <v>2566</v>
      </c>
      <c r="Q629" s="1966" t="s">
        <v>2571</v>
      </c>
    </row>
    <row r="630" spans="1:17" ht="12.75" customHeight="1">
      <c r="A630" s="1962"/>
      <c r="B630" s="1840"/>
      <c r="C630" s="1850" t="s">
        <v>3312</v>
      </c>
      <c r="D630" s="1934"/>
      <c r="E630" s="1934">
        <v>4</v>
      </c>
      <c r="F630" s="1905"/>
      <c r="G630" s="1963" t="s">
        <v>2564</v>
      </c>
      <c r="H630" s="1964" t="s">
        <v>3313</v>
      </c>
      <c r="I630" s="2310"/>
      <c r="J630" s="2534">
        <v>0</v>
      </c>
      <c r="K630" s="1615">
        <v>0</v>
      </c>
      <c r="L630" s="1636">
        <v>17000</v>
      </c>
      <c r="M630" s="1636"/>
      <c r="N630" s="1615"/>
      <c r="O630" s="1635"/>
      <c r="P630" s="1965" t="s">
        <v>2566</v>
      </c>
      <c r="Q630" s="1966" t="s">
        <v>2587</v>
      </c>
    </row>
    <row r="631" spans="1:17" ht="12.75" customHeight="1">
      <c r="A631" s="1962"/>
      <c r="B631" s="1840"/>
      <c r="C631" s="1850" t="s">
        <v>3314</v>
      </c>
      <c r="D631" s="1934"/>
      <c r="E631" s="1934">
        <v>4</v>
      </c>
      <c r="F631" s="1905"/>
      <c r="G631" s="1963" t="s">
        <v>2564</v>
      </c>
      <c r="H631" s="1964" t="s">
        <v>3315</v>
      </c>
      <c r="I631" s="2310"/>
      <c r="J631" s="2534">
        <v>0</v>
      </c>
      <c r="K631" s="1615">
        <v>0</v>
      </c>
      <c r="L631" s="1636">
        <v>7800</v>
      </c>
      <c r="M631" s="1636"/>
      <c r="N631" s="1615"/>
      <c r="O631" s="1635"/>
      <c r="P631" s="1965" t="s">
        <v>2566</v>
      </c>
      <c r="Q631" s="1966" t="s">
        <v>2587</v>
      </c>
    </row>
    <row r="632" spans="1:17" ht="12.75" customHeight="1">
      <c r="A632" s="1962"/>
      <c r="B632" s="1840"/>
      <c r="C632" s="1850" t="s">
        <v>4075</v>
      </c>
      <c r="D632" s="1934"/>
      <c r="E632" s="1934">
        <v>7</v>
      </c>
      <c r="F632" s="1905"/>
      <c r="G632" s="1963" t="s">
        <v>2564</v>
      </c>
      <c r="H632" s="1964" t="s">
        <v>2591</v>
      </c>
      <c r="I632" s="2310"/>
      <c r="J632" s="2534">
        <v>0</v>
      </c>
      <c r="K632" s="1615">
        <v>0</v>
      </c>
      <c r="L632" s="1636">
        <v>0</v>
      </c>
      <c r="M632" s="1636">
        <v>40000</v>
      </c>
      <c r="N632" s="1615">
        <v>0</v>
      </c>
      <c r="O632" s="1635">
        <v>0</v>
      </c>
      <c r="P632" s="1965" t="s">
        <v>2566</v>
      </c>
      <c r="Q632" s="1966" t="s">
        <v>2587</v>
      </c>
    </row>
    <row r="633" spans="1:17" ht="12.75" customHeight="1">
      <c r="A633" s="1962"/>
      <c r="B633" s="1840"/>
      <c r="C633" s="1850"/>
      <c r="D633" s="1934"/>
      <c r="E633" s="1934"/>
      <c r="F633" s="1905"/>
      <c r="G633" s="1963"/>
      <c r="H633" s="1964"/>
      <c r="I633" s="2310"/>
      <c r="J633" s="2534"/>
      <c r="K633" s="1615"/>
      <c r="L633" s="1636"/>
      <c r="M633" s="1636"/>
      <c r="N633" s="1615"/>
      <c r="O633" s="1635"/>
      <c r="P633" s="1965"/>
      <c r="Q633" s="1966"/>
    </row>
    <row r="634" spans="1:17" ht="12.75" customHeight="1">
      <c r="A634" s="1962"/>
      <c r="B634" s="1840"/>
      <c r="C634" s="1850"/>
      <c r="D634" s="1934"/>
      <c r="E634" s="1934"/>
      <c r="F634" s="1905"/>
      <c r="G634" s="1963"/>
      <c r="H634" s="1964"/>
      <c r="I634" s="2310"/>
      <c r="J634" s="2534"/>
      <c r="K634" s="1615"/>
      <c r="L634" s="1636"/>
      <c r="M634" s="1636"/>
      <c r="N634" s="1615"/>
      <c r="O634" s="1635"/>
      <c r="P634" s="1965"/>
      <c r="Q634" s="1966"/>
    </row>
    <row r="635" spans="1:17" ht="12.75" customHeight="1">
      <c r="A635" s="1962"/>
      <c r="B635" s="1840"/>
      <c r="C635" s="1850"/>
      <c r="D635" s="1934"/>
      <c r="E635" s="1934"/>
      <c r="F635" s="1905"/>
      <c r="G635" s="1963"/>
      <c r="H635" s="1964"/>
      <c r="I635" s="2310"/>
      <c r="J635" s="2534"/>
      <c r="K635" s="1615"/>
      <c r="L635" s="1636"/>
      <c r="M635" s="1636"/>
      <c r="N635" s="1615"/>
      <c r="O635" s="1635"/>
      <c r="P635" s="1965"/>
      <c r="Q635" s="1966"/>
    </row>
    <row r="636" spans="1:17" ht="12.75" customHeight="1">
      <c r="A636" s="1962" t="s">
        <v>3316</v>
      </c>
      <c r="B636" s="1840"/>
      <c r="C636" s="1850" t="s">
        <v>3317</v>
      </c>
      <c r="D636" s="1934"/>
      <c r="E636" s="1934">
        <v>1</v>
      </c>
      <c r="F636" s="1905"/>
      <c r="G636" s="1963" t="s">
        <v>3318</v>
      </c>
      <c r="H636" s="1964" t="s">
        <v>3319</v>
      </c>
      <c r="I636" s="2310"/>
      <c r="J636" s="2534">
        <v>0</v>
      </c>
      <c r="K636" s="1615">
        <v>0</v>
      </c>
      <c r="L636" s="1636">
        <v>0</v>
      </c>
      <c r="M636" s="1636"/>
      <c r="N636" s="1615"/>
      <c r="O636" s="1635"/>
      <c r="P636" s="1965">
        <v>1</v>
      </c>
      <c r="Q636" s="1966" t="s">
        <v>2571</v>
      </c>
    </row>
    <row r="637" spans="1:17" ht="12.75" customHeight="1">
      <c r="A637" s="1962"/>
      <c r="B637" s="1840"/>
      <c r="C637" s="1850" t="s">
        <v>3320</v>
      </c>
      <c r="D637" s="1934"/>
      <c r="E637" s="1934">
        <v>1</v>
      </c>
      <c r="F637" s="1905"/>
      <c r="G637" s="1963" t="s">
        <v>3318</v>
      </c>
      <c r="H637" s="1964" t="s">
        <v>2565</v>
      </c>
      <c r="I637" s="2310"/>
      <c r="J637" s="2534">
        <v>0</v>
      </c>
      <c r="K637" s="1615">
        <v>0</v>
      </c>
      <c r="L637" s="1636">
        <v>0</v>
      </c>
      <c r="M637" s="1636"/>
      <c r="N637" s="1615"/>
      <c r="O637" s="1635"/>
      <c r="P637" s="1965" t="s">
        <v>2566</v>
      </c>
      <c r="Q637" s="1966" t="s">
        <v>2571</v>
      </c>
    </row>
    <row r="638" spans="1:17" ht="12.75" customHeight="1">
      <c r="A638" s="1962"/>
      <c r="B638" s="1840"/>
      <c r="C638" s="1850" t="s">
        <v>3321</v>
      </c>
      <c r="D638" s="1934"/>
      <c r="E638" s="1934">
        <v>1</v>
      </c>
      <c r="F638" s="1905"/>
      <c r="G638" s="1963" t="s">
        <v>3318</v>
      </c>
      <c r="H638" s="1964" t="s">
        <v>2688</v>
      </c>
      <c r="I638" s="2310"/>
      <c r="J638" s="2534">
        <v>0</v>
      </c>
      <c r="K638" s="1615">
        <v>0</v>
      </c>
      <c r="L638" s="1636">
        <v>0</v>
      </c>
      <c r="M638" s="1636"/>
      <c r="N638" s="1615"/>
      <c r="O638" s="1635"/>
      <c r="P638" s="1965" t="s">
        <v>2566</v>
      </c>
      <c r="Q638" s="1966" t="s">
        <v>2571</v>
      </c>
    </row>
    <row r="639" spans="1:17" ht="12.75" customHeight="1">
      <c r="A639" s="1962"/>
      <c r="B639" s="1840"/>
      <c r="C639" s="1850" t="s">
        <v>3322</v>
      </c>
      <c r="D639" s="1934"/>
      <c r="E639" s="1934">
        <v>1</v>
      </c>
      <c r="F639" s="1905"/>
      <c r="G639" s="1963" t="s">
        <v>3318</v>
      </c>
      <c r="H639" s="1964" t="s">
        <v>3272</v>
      </c>
      <c r="I639" s="2310"/>
      <c r="J639" s="2534">
        <v>0</v>
      </c>
      <c r="K639" s="1615">
        <v>0</v>
      </c>
      <c r="L639" s="1636">
        <v>0</v>
      </c>
      <c r="M639" s="1636"/>
      <c r="N639" s="1615"/>
      <c r="O639" s="1635"/>
      <c r="P639" s="1965">
        <v>35</v>
      </c>
      <c r="Q639" s="1966" t="s">
        <v>2571</v>
      </c>
    </row>
    <row r="640" spans="1:17" ht="12.75" customHeight="1">
      <c r="A640" s="1962"/>
      <c r="B640" s="1840"/>
      <c r="C640" s="1850" t="s">
        <v>3317</v>
      </c>
      <c r="D640" s="1934"/>
      <c r="E640" s="1934">
        <v>1</v>
      </c>
      <c r="F640" s="1905"/>
      <c r="G640" s="1963" t="s">
        <v>3318</v>
      </c>
      <c r="H640" s="1964" t="s">
        <v>3319</v>
      </c>
      <c r="I640" s="2310"/>
      <c r="J640" s="2534">
        <v>0</v>
      </c>
      <c r="K640" s="1615">
        <v>0</v>
      </c>
      <c r="L640" s="1636">
        <v>0</v>
      </c>
      <c r="M640" s="1636"/>
      <c r="N640" s="1615"/>
      <c r="O640" s="1635"/>
      <c r="P640" s="1965" t="s">
        <v>2920</v>
      </c>
      <c r="Q640" s="1966" t="s">
        <v>2571</v>
      </c>
    </row>
    <row r="641" spans="1:17" ht="12.75" customHeight="1">
      <c r="A641" s="1962"/>
      <c r="B641" s="1840"/>
      <c r="C641" s="1850" t="s">
        <v>3317</v>
      </c>
      <c r="D641" s="1934"/>
      <c r="E641" s="1934">
        <v>1</v>
      </c>
      <c r="F641" s="1905"/>
      <c r="G641" s="1963" t="s">
        <v>3318</v>
      </c>
      <c r="H641" s="1964" t="s">
        <v>3319</v>
      </c>
      <c r="I641" s="2310"/>
      <c r="J641" s="2534">
        <v>0</v>
      </c>
      <c r="K641" s="1615">
        <v>0</v>
      </c>
      <c r="L641" s="1636">
        <v>1700000</v>
      </c>
      <c r="M641" s="1636"/>
      <c r="N641" s="1615"/>
      <c r="O641" s="1635"/>
      <c r="P641" s="1965">
        <v>18</v>
      </c>
      <c r="Q641" s="1966" t="s">
        <v>2571</v>
      </c>
    </row>
    <row r="642" spans="1:17" ht="12.75" customHeight="1">
      <c r="A642" s="1962"/>
      <c r="B642" s="1840"/>
      <c r="C642" s="1850" t="s">
        <v>3317</v>
      </c>
      <c r="D642" s="1934"/>
      <c r="E642" s="1934">
        <v>1</v>
      </c>
      <c r="F642" s="1905"/>
      <c r="G642" s="1963" t="s">
        <v>3318</v>
      </c>
      <c r="H642" s="1964" t="s">
        <v>3319</v>
      </c>
      <c r="I642" s="2310"/>
      <c r="J642" s="2534">
        <v>0</v>
      </c>
      <c r="K642" s="1615">
        <v>0</v>
      </c>
      <c r="L642" s="1636">
        <v>1500000</v>
      </c>
      <c r="M642" s="1636"/>
      <c r="N642" s="1615"/>
      <c r="O642" s="1635"/>
      <c r="P642" s="1965">
        <v>19</v>
      </c>
      <c r="Q642" s="1966" t="s">
        <v>2571</v>
      </c>
    </row>
    <row r="643" spans="1:17" ht="12.75" customHeight="1">
      <c r="A643" s="1962"/>
      <c r="B643" s="1840"/>
      <c r="C643" s="1850" t="s">
        <v>3317</v>
      </c>
      <c r="D643" s="1934"/>
      <c r="E643" s="1934">
        <v>1</v>
      </c>
      <c r="F643" s="1905"/>
      <c r="G643" s="1963" t="s">
        <v>3318</v>
      </c>
      <c r="H643" s="1964" t="s">
        <v>3319</v>
      </c>
      <c r="I643" s="2310"/>
      <c r="J643" s="2534">
        <v>0</v>
      </c>
      <c r="K643" s="1615">
        <v>0</v>
      </c>
      <c r="L643" s="1636">
        <v>2400000</v>
      </c>
      <c r="M643" s="1636"/>
      <c r="N643" s="1615"/>
      <c r="O643" s="1635"/>
      <c r="P643" s="1965">
        <v>26</v>
      </c>
      <c r="Q643" s="1966" t="s">
        <v>2571</v>
      </c>
    </row>
    <row r="644" spans="1:17" ht="12.75" customHeight="1">
      <c r="A644" s="1962"/>
      <c r="B644" s="1840"/>
      <c r="C644" s="1850" t="s">
        <v>3317</v>
      </c>
      <c r="D644" s="1934"/>
      <c r="E644" s="1934">
        <v>1</v>
      </c>
      <c r="F644" s="1905"/>
      <c r="G644" s="1963" t="s">
        <v>3318</v>
      </c>
      <c r="H644" s="1964" t="s">
        <v>3319</v>
      </c>
      <c r="I644" s="2310"/>
      <c r="J644" s="2534">
        <v>0</v>
      </c>
      <c r="K644" s="1615">
        <v>0</v>
      </c>
      <c r="L644" s="1636">
        <v>0</v>
      </c>
      <c r="M644" s="1636"/>
      <c r="N644" s="1615"/>
      <c r="O644" s="1635"/>
      <c r="P644" s="1965">
        <v>28</v>
      </c>
      <c r="Q644" s="1966" t="s">
        <v>2571</v>
      </c>
    </row>
    <row r="645" spans="1:17" ht="12.75" customHeight="1">
      <c r="A645" s="1962"/>
      <c r="B645" s="1840"/>
      <c r="C645" s="1850" t="s">
        <v>3317</v>
      </c>
      <c r="D645" s="1934"/>
      <c r="E645" s="1934">
        <v>1</v>
      </c>
      <c r="F645" s="1905"/>
      <c r="G645" s="1963" t="s">
        <v>3318</v>
      </c>
      <c r="H645" s="1964" t="s">
        <v>3319</v>
      </c>
      <c r="I645" s="2310"/>
      <c r="J645" s="2534">
        <v>0</v>
      </c>
      <c r="K645" s="1615">
        <v>0</v>
      </c>
      <c r="L645" s="1636">
        <v>0</v>
      </c>
      <c r="M645" s="1636"/>
      <c r="N645" s="1615"/>
      <c r="O645" s="1635"/>
      <c r="P645" s="1965">
        <v>29</v>
      </c>
      <c r="Q645" s="1966" t="s">
        <v>2571</v>
      </c>
    </row>
    <row r="646" spans="1:17" ht="12.75" customHeight="1">
      <c r="A646" s="1962"/>
      <c r="B646" s="1840"/>
      <c r="C646" s="1850" t="s">
        <v>3317</v>
      </c>
      <c r="D646" s="1934"/>
      <c r="E646" s="1934">
        <v>1</v>
      </c>
      <c r="F646" s="1905"/>
      <c r="G646" s="1963" t="s">
        <v>3318</v>
      </c>
      <c r="H646" s="1964" t="s">
        <v>3319</v>
      </c>
      <c r="I646" s="2310"/>
      <c r="J646" s="2534">
        <v>0</v>
      </c>
      <c r="K646" s="1615">
        <v>0</v>
      </c>
      <c r="L646" s="1636">
        <v>0</v>
      </c>
      <c r="M646" s="1636"/>
      <c r="N646" s="1615"/>
      <c r="O646" s="1635"/>
      <c r="P646" s="1965">
        <v>31</v>
      </c>
      <c r="Q646" s="1966" t="s">
        <v>2571</v>
      </c>
    </row>
    <row r="647" spans="1:17" ht="12.75" customHeight="1">
      <c r="A647" s="1962"/>
      <c r="B647" s="1840"/>
      <c r="C647" s="1850" t="s">
        <v>3317</v>
      </c>
      <c r="D647" s="1934"/>
      <c r="E647" s="1934">
        <v>1</v>
      </c>
      <c r="F647" s="1905"/>
      <c r="G647" s="1963" t="s">
        <v>3318</v>
      </c>
      <c r="H647" s="1964" t="s">
        <v>3319</v>
      </c>
      <c r="I647" s="2310"/>
      <c r="J647" s="2534">
        <v>0</v>
      </c>
      <c r="K647" s="1615">
        <v>0</v>
      </c>
      <c r="L647" s="1636">
        <v>0</v>
      </c>
      <c r="M647" s="1636"/>
      <c r="N647" s="1615"/>
      <c r="O647" s="1635"/>
      <c r="P647" s="1965">
        <v>35</v>
      </c>
      <c r="Q647" s="1966" t="s">
        <v>2571</v>
      </c>
    </row>
    <row r="648" spans="1:17" ht="12.75" customHeight="1">
      <c r="A648" s="1962"/>
      <c r="B648" s="1840"/>
      <c r="C648" s="1850" t="s">
        <v>3317</v>
      </c>
      <c r="D648" s="1934"/>
      <c r="E648" s="1934">
        <v>1</v>
      </c>
      <c r="F648" s="1905"/>
      <c r="G648" s="1963" t="s">
        <v>3318</v>
      </c>
      <c r="H648" s="1964" t="s">
        <v>3319</v>
      </c>
      <c r="I648" s="2310"/>
      <c r="J648" s="2534">
        <v>0</v>
      </c>
      <c r="K648" s="1615">
        <v>0</v>
      </c>
      <c r="L648" s="1636">
        <v>22000000</v>
      </c>
      <c r="M648" s="1636"/>
      <c r="N648" s="1615"/>
      <c r="O648" s="1635"/>
      <c r="P648" s="1965">
        <v>1</v>
      </c>
      <c r="Q648" s="1966" t="s">
        <v>2571</v>
      </c>
    </row>
    <row r="649" spans="1:17" ht="12.75" customHeight="1">
      <c r="A649" s="1962"/>
      <c r="B649" s="1840"/>
      <c r="C649" s="1850" t="s">
        <v>3317</v>
      </c>
      <c r="D649" s="1934"/>
      <c r="E649" s="1934">
        <v>1</v>
      </c>
      <c r="F649" s="1905"/>
      <c r="G649" s="1963" t="s">
        <v>3318</v>
      </c>
      <c r="H649" s="1964" t="s">
        <v>3319</v>
      </c>
      <c r="I649" s="2310"/>
      <c r="J649" s="2534">
        <v>0</v>
      </c>
      <c r="K649" s="1615">
        <v>0</v>
      </c>
      <c r="L649" s="1636">
        <v>0</v>
      </c>
      <c r="M649" s="1636">
        <v>6000000</v>
      </c>
      <c r="N649" s="1615">
        <v>0</v>
      </c>
      <c r="O649" s="1635">
        <v>0</v>
      </c>
      <c r="P649" s="1965" t="s">
        <v>4076</v>
      </c>
      <c r="Q649" s="1966" t="s">
        <v>2571</v>
      </c>
    </row>
    <row r="650" spans="1:17" ht="12.75" customHeight="1">
      <c r="A650" s="1962"/>
      <c r="B650" s="1840"/>
      <c r="C650" s="1850" t="s">
        <v>4077</v>
      </c>
      <c r="D650" s="1934"/>
      <c r="E650" s="1934">
        <v>1</v>
      </c>
      <c r="F650" s="1905"/>
      <c r="G650" s="1963" t="s">
        <v>2564</v>
      </c>
      <c r="H650" s="1964" t="s">
        <v>2591</v>
      </c>
      <c r="I650" s="2310"/>
      <c r="J650" s="2534">
        <v>0</v>
      </c>
      <c r="K650" s="1615">
        <v>0</v>
      </c>
      <c r="L650" s="1636">
        <v>0</v>
      </c>
      <c r="M650" s="1636">
        <v>40000</v>
      </c>
      <c r="N650" s="1615">
        <v>0</v>
      </c>
      <c r="O650" s="1635">
        <v>0</v>
      </c>
      <c r="P650" s="1965" t="s">
        <v>2566</v>
      </c>
      <c r="Q650" s="1966" t="s">
        <v>2587</v>
      </c>
    </row>
    <row r="651" spans="1:17" ht="12.75" customHeight="1">
      <c r="A651" s="1962"/>
      <c r="B651" s="1840"/>
      <c r="C651" s="1850" t="s">
        <v>2596</v>
      </c>
      <c r="D651" s="1934"/>
      <c r="E651" s="1934">
        <v>1</v>
      </c>
      <c r="F651" s="1905"/>
      <c r="G651" s="1963" t="s">
        <v>2564</v>
      </c>
      <c r="H651" s="1964" t="s">
        <v>3204</v>
      </c>
      <c r="I651" s="2310"/>
      <c r="J651" s="2534">
        <v>0</v>
      </c>
      <c r="K651" s="1615">
        <v>0</v>
      </c>
      <c r="L651" s="1636">
        <v>0</v>
      </c>
      <c r="M651" s="1636">
        <v>40000</v>
      </c>
      <c r="N651" s="1615">
        <v>0</v>
      </c>
      <c r="O651" s="1635">
        <v>0</v>
      </c>
      <c r="P651" s="1965" t="s">
        <v>2566</v>
      </c>
      <c r="Q651" s="1966" t="s">
        <v>2587</v>
      </c>
    </row>
    <row r="652" spans="1:17" ht="12.75" customHeight="1">
      <c r="A652" s="1962"/>
      <c r="B652" s="1840"/>
      <c r="C652" s="1850"/>
      <c r="D652" s="1934"/>
      <c r="E652" s="1934"/>
      <c r="F652" s="1905"/>
      <c r="G652" s="1963"/>
      <c r="H652" s="1964"/>
      <c r="I652" s="2310"/>
      <c r="J652" s="2534"/>
      <c r="K652" s="1615"/>
      <c r="L652" s="1636"/>
      <c r="M652" s="1636"/>
      <c r="N652" s="1615"/>
      <c r="O652" s="1635"/>
      <c r="P652" s="1965"/>
      <c r="Q652" s="1966"/>
    </row>
    <row r="653" spans="1:17" ht="12.75" customHeight="1">
      <c r="A653" s="1962"/>
      <c r="B653" s="1840"/>
      <c r="C653" s="1850"/>
      <c r="D653" s="1934"/>
      <c r="E653" s="1934"/>
      <c r="F653" s="1905"/>
      <c r="G653" s="1963"/>
      <c r="H653" s="1964"/>
      <c r="I653" s="2310"/>
      <c r="J653" s="2534"/>
      <c r="K653" s="1615"/>
      <c r="L653" s="1636"/>
      <c r="M653" s="1636"/>
      <c r="N653" s="1615"/>
      <c r="O653" s="1635"/>
      <c r="P653" s="1965"/>
      <c r="Q653" s="1966"/>
    </row>
    <row r="654" spans="1:17" ht="12.75" customHeight="1">
      <c r="A654" s="1962" t="s">
        <v>3323</v>
      </c>
      <c r="B654" s="1840"/>
      <c r="C654" s="1850" t="s">
        <v>3324</v>
      </c>
      <c r="D654" s="1934"/>
      <c r="E654" s="1934">
        <v>1</v>
      </c>
      <c r="F654" s="1905"/>
      <c r="G654" s="1963" t="s">
        <v>3188</v>
      </c>
      <c r="H654" s="1964" t="s">
        <v>3174</v>
      </c>
      <c r="I654" s="2310"/>
      <c r="J654" s="2534">
        <v>0</v>
      </c>
      <c r="K654" s="1615">
        <v>0</v>
      </c>
      <c r="L654" s="1636">
        <v>190233</v>
      </c>
      <c r="M654" s="1636"/>
      <c r="N654" s="1615"/>
      <c r="O654" s="1635"/>
      <c r="P654" s="1965" t="s">
        <v>2566</v>
      </c>
      <c r="Q654" s="1966" t="s">
        <v>2571</v>
      </c>
    </row>
    <row r="655" spans="1:17" ht="12.75" customHeight="1">
      <c r="A655" s="1962"/>
      <c r="B655" s="1840"/>
      <c r="C655" s="1850" t="s">
        <v>3325</v>
      </c>
      <c r="D655" s="1934"/>
      <c r="E655" s="1934">
        <v>1</v>
      </c>
      <c r="F655" s="1905"/>
      <c r="G655" s="1963" t="s">
        <v>2573</v>
      </c>
      <c r="H655" s="1964" t="s">
        <v>2619</v>
      </c>
      <c r="I655" s="2310"/>
      <c r="J655" s="2534">
        <v>0</v>
      </c>
      <c r="K655" s="1615">
        <v>0</v>
      </c>
      <c r="L655" s="1636">
        <v>150000</v>
      </c>
      <c r="M655" s="1636"/>
      <c r="N655" s="1615"/>
      <c r="O655" s="1635"/>
      <c r="P655" s="1965" t="s">
        <v>2566</v>
      </c>
      <c r="Q655" s="1966" t="s">
        <v>2571</v>
      </c>
    </row>
    <row r="656" spans="1:17" ht="12.75" customHeight="1">
      <c r="A656" s="1962"/>
      <c r="B656" s="1840"/>
      <c r="C656" s="1850" t="s">
        <v>4078</v>
      </c>
      <c r="D656" s="1934"/>
      <c r="E656" s="1934">
        <v>1</v>
      </c>
      <c r="F656" s="1905"/>
      <c r="G656" s="1963" t="s">
        <v>3318</v>
      </c>
      <c r="H656" s="1964" t="s">
        <v>3319</v>
      </c>
      <c r="I656" s="2310"/>
      <c r="J656" s="2534">
        <v>0</v>
      </c>
      <c r="K656" s="1615">
        <v>0</v>
      </c>
      <c r="L656" s="1636">
        <v>0</v>
      </c>
      <c r="M656" s="1636">
        <v>33000000</v>
      </c>
      <c r="N656" s="1615">
        <v>0</v>
      </c>
      <c r="O656" s="1635">
        <v>0</v>
      </c>
      <c r="P656" s="1965"/>
      <c r="Q656" s="1966" t="s">
        <v>2571</v>
      </c>
    </row>
    <row r="657" spans="1:17" ht="12.75" customHeight="1">
      <c r="A657" s="1962"/>
      <c r="B657" s="1840"/>
      <c r="C657" s="1850"/>
      <c r="D657" s="1934"/>
      <c r="E657" s="1934"/>
      <c r="F657" s="1905"/>
      <c r="G657" s="1963"/>
      <c r="H657" s="1964"/>
      <c r="I657" s="2310"/>
      <c r="J657" s="2534"/>
      <c r="K657" s="1615"/>
      <c r="L657" s="1636"/>
      <c r="M657" s="1636"/>
      <c r="N657" s="1615"/>
      <c r="O657" s="1635"/>
      <c r="P657" s="1965"/>
      <c r="Q657" s="1966"/>
    </row>
    <row r="658" spans="1:17" ht="12.75" customHeight="1">
      <c r="A658" s="1962"/>
      <c r="B658" s="1840"/>
      <c r="C658" s="1850"/>
      <c r="D658" s="1934"/>
      <c r="E658" s="1934"/>
      <c r="F658" s="1905"/>
      <c r="G658" s="1963"/>
      <c r="H658" s="1964"/>
      <c r="I658" s="2310"/>
      <c r="J658" s="2534"/>
      <c r="K658" s="1615"/>
      <c r="L658" s="1636"/>
      <c r="M658" s="1636"/>
      <c r="N658" s="1615"/>
      <c r="O658" s="1635"/>
      <c r="P658" s="1965"/>
      <c r="Q658" s="1966"/>
    </row>
    <row r="659" spans="1:17" ht="12.75" customHeight="1">
      <c r="A659" s="1962"/>
      <c r="B659" s="1840"/>
      <c r="C659" s="1850"/>
      <c r="D659" s="1934"/>
      <c r="E659" s="1934"/>
      <c r="F659" s="1905"/>
      <c r="G659" s="1963"/>
      <c r="H659" s="1964"/>
      <c r="I659" s="2310"/>
      <c r="J659" s="2534"/>
      <c r="K659" s="1615"/>
      <c r="L659" s="1636"/>
      <c r="M659" s="1636"/>
      <c r="N659" s="1615"/>
      <c r="O659" s="1635"/>
      <c r="P659" s="1965"/>
      <c r="Q659" s="1966"/>
    </row>
    <row r="660" spans="1:17" ht="12.75" customHeight="1">
      <c r="A660" s="1962" t="s">
        <v>4079</v>
      </c>
      <c r="B660" s="1840"/>
      <c r="C660" s="1850" t="s">
        <v>2596</v>
      </c>
      <c r="D660" s="1934"/>
      <c r="E660" s="1934">
        <v>3</v>
      </c>
      <c r="F660" s="1905"/>
      <c r="G660" s="1963" t="s">
        <v>4080</v>
      </c>
      <c r="H660" s="1964" t="s">
        <v>3204</v>
      </c>
      <c r="I660" s="2310"/>
      <c r="J660" s="2534">
        <v>0</v>
      </c>
      <c r="K660" s="1615">
        <v>0</v>
      </c>
      <c r="L660" s="1636">
        <v>0</v>
      </c>
      <c r="M660" s="1636">
        <v>50000</v>
      </c>
      <c r="N660" s="1615">
        <v>140000</v>
      </c>
      <c r="O660" s="1635">
        <v>0</v>
      </c>
      <c r="P660" s="1965" t="s">
        <v>2566</v>
      </c>
      <c r="Q660" s="1966" t="s">
        <v>2571</v>
      </c>
    </row>
    <row r="661" spans="1:17" ht="12.75" customHeight="1">
      <c r="A661" s="1962"/>
      <c r="B661" s="1840"/>
      <c r="C661" s="1850" t="s">
        <v>2733</v>
      </c>
      <c r="D661" s="1934"/>
      <c r="E661" s="1934">
        <v>4</v>
      </c>
      <c r="F661" s="1905"/>
      <c r="G661" s="1963" t="s">
        <v>2573</v>
      </c>
      <c r="H661" s="1964" t="s">
        <v>2733</v>
      </c>
      <c r="I661" s="2310"/>
      <c r="J661" s="2534">
        <v>0</v>
      </c>
      <c r="K661" s="1615">
        <v>0</v>
      </c>
      <c r="L661" s="1636">
        <v>0</v>
      </c>
      <c r="M661" s="1636">
        <v>0</v>
      </c>
      <c r="N661" s="1615">
        <v>0</v>
      </c>
      <c r="O661" s="1635">
        <v>1000</v>
      </c>
      <c r="P661" s="1965" t="s">
        <v>2566</v>
      </c>
      <c r="Q661" s="1966" t="s">
        <v>2571</v>
      </c>
    </row>
    <row r="662" spans="1:17" ht="12.75" customHeight="1">
      <c r="A662" s="1962"/>
      <c r="B662" s="1840"/>
      <c r="C662" s="1850" t="s">
        <v>4081</v>
      </c>
      <c r="D662" s="1934"/>
      <c r="E662" s="1934">
        <v>4</v>
      </c>
      <c r="F662" s="1905"/>
      <c r="G662" s="1963" t="s">
        <v>4080</v>
      </c>
      <c r="H662" s="1964" t="s">
        <v>3255</v>
      </c>
      <c r="I662" s="2310"/>
      <c r="J662" s="2534">
        <v>0</v>
      </c>
      <c r="K662" s="1615">
        <v>0</v>
      </c>
      <c r="L662" s="1636">
        <v>0</v>
      </c>
      <c r="M662" s="1636">
        <v>0</v>
      </c>
      <c r="N662" s="1615">
        <v>5000</v>
      </c>
      <c r="O662" s="1635">
        <v>0</v>
      </c>
      <c r="P662" s="1965" t="s">
        <v>2566</v>
      </c>
      <c r="Q662" s="1966" t="s">
        <v>2571</v>
      </c>
    </row>
    <row r="663" spans="1:17" ht="12.75" customHeight="1">
      <c r="A663" s="1962"/>
      <c r="B663" s="1840"/>
      <c r="C663" s="1850" t="s">
        <v>4082</v>
      </c>
      <c r="D663" s="1934"/>
      <c r="E663" s="1934">
        <v>1</v>
      </c>
      <c r="F663" s="1905"/>
      <c r="G663" s="1963" t="s">
        <v>2573</v>
      </c>
      <c r="H663" s="1964" t="s">
        <v>2860</v>
      </c>
      <c r="I663" s="2310"/>
      <c r="J663" s="2534">
        <v>0</v>
      </c>
      <c r="K663" s="1615">
        <v>0</v>
      </c>
      <c r="L663" s="1636">
        <v>0</v>
      </c>
      <c r="M663" s="1636">
        <v>150000</v>
      </c>
      <c r="N663" s="1615">
        <v>0</v>
      </c>
      <c r="O663" s="1635">
        <v>0</v>
      </c>
      <c r="P663" s="1965" t="s">
        <v>2566</v>
      </c>
      <c r="Q663" s="1966" t="s">
        <v>2571</v>
      </c>
    </row>
    <row r="664" spans="1:17" ht="12.75" customHeight="1">
      <c r="A664" s="1962"/>
      <c r="B664" s="1840"/>
      <c r="C664" s="1850" t="s">
        <v>3229</v>
      </c>
      <c r="D664" s="1934"/>
      <c r="E664" s="1934">
        <v>3</v>
      </c>
      <c r="F664" s="1905"/>
      <c r="G664" s="1963" t="s">
        <v>2573</v>
      </c>
      <c r="H664" s="1964" t="s">
        <v>3229</v>
      </c>
      <c r="I664" s="2310"/>
      <c r="J664" s="2534">
        <v>0</v>
      </c>
      <c r="K664" s="1615">
        <v>0</v>
      </c>
      <c r="L664" s="1636">
        <v>0</v>
      </c>
      <c r="M664" s="1636">
        <v>800</v>
      </c>
      <c r="N664" s="1615">
        <v>0</v>
      </c>
      <c r="O664" s="1635">
        <v>0</v>
      </c>
      <c r="P664" s="1965" t="s">
        <v>2566</v>
      </c>
      <c r="Q664" s="1966" t="s">
        <v>2571</v>
      </c>
    </row>
    <row r="665" spans="1:17" ht="12.75" customHeight="1">
      <c r="A665" s="1962"/>
      <c r="B665" s="1840"/>
      <c r="C665" s="1850"/>
      <c r="D665" s="1934"/>
      <c r="E665" s="1934"/>
      <c r="F665" s="1905"/>
      <c r="G665" s="1963"/>
      <c r="H665" s="1964"/>
      <c r="I665" s="2310"/>
      <c r="J665" s="2534"/>
      <c r="K665" s="1615"/>
      <c r="L665" s="1636"/>
      <c r="M665" s="1636"/>
      <c r="N665" s="1615"/>
      <c r="O665" s="1635"/>
      <c r="P665" s="1965"/>
      <c r="Q665" s="1966"/>
    </row>
    <row r="666" spans="1:17" ht="12.75" customHeight="1">
      <c r="A666" s="1962"/>
      <c r="B666" s="1840"/>
      <c r="C666" s="1850"/>
      <c r="D666" s="1934"/>
      <c r="E666" s="1934"/>
      <c r="F666" s="1905"/>
      <c r="G666" s="1963"/>
      <c r="H666" s="1964"/>
      <c r="I666" s="2310"/>
      <c r="J666" s="2534"/>
      <c r="K666" s="1615"/>
      <c r="L666" s="1636"/>
      <c r="M666" s="1636"/>
      <c r="N666" s="1615"/>
      <c r="O666" s="1635"/>
      <c r="P666" s="1965"/>
      <c r="Q666" s="1966"/>
    </row>
    <row r="667" spans="1:17" ht="12.75" customHeight="1">
      <c r="A667" s="1962"/>
      <c r="B667" s="1840"/>
      <c r="C667" s="1850"/>
      <c r="D667" s="1934"/>
      <c r="E667" s="1934"/>
      <c r="F667" s="1905"/>
      <c r="G667" s="1963"/>
      <c r="H667" s="1964"/>
      <c r="I667" s="2310"/>
      <c r="J667" s="2534"/>
      <c r="K667" s="1615"/>
      <c r="L667" s="1636"/>
      <c r="M667" s="1636"/>
      <c r="N667" s="1615"/>
      <c r="O667" s="1635"/>
      <c r="P667" s="1965"/>
      <c r="Q667" s="1966"/>
    </row>
    <row r="668" spans="1:17" ht="12.75" customHeight="1">
      <c r="A668" s="1962" t="s">
        <v>3326</v>
      </c>
      <c r="B668" s="1840"/>
      <c r="C668" s="1850" t="s">
        <v>3327</v>
      </c>
      <c r="D668" s="1934"/>
      <c r="E668" s="1934">
        <v>4</v>
      </c>
      <c r="F668" s="1905"/>
      <c r="G668" s="1963" t="s">
        <v>2564</v>
      </c>
      <c r="H668" s="1964" t="s">
        <v>3255</v>
      </c>
      <c r="I668" s="2310"/>
      <c r="J668" s="2534">
        <v>0</v>
      </c>
      <c r="K668" s="1615">
        <v>0</v>
      </c>
      <c r="L668" s="1636">
        <v>0</v>
      </c>
      <c r="M668" s="1636"/>
      <c r="N668" s="1615"/>
      <c r="O668" s="1635"/>
      <c r="P668" s="1965" t="s">
        <v>2566</v>
      </c>
      <c r="Q668" s="1966" t="s">
        <v>2571</v>
      </c>
    </row>
    <row r="669" spans="1:17" ht="12.75" customHeight="1">
      <c r="A669" s="1962"/>
      <c r="B669" s="1840"/>
      <c r="C669" s="1850" t="s">
        <v>3328</v>
      </c>
      <c r="D669" s="1934"/>
      <c r="E669" s="1934">
        <v>2</v>
      </c>
      <c r="F669" s="1905"/>
      <c r="G669" s="1963" t="s">
        <v>2573</v>
      </c>
      <c r="H669" s="1964" t="s">
        <v>2986</v>
      </c>
      <c r="I669" s="2310"/>
      <c r="J669" s="2534">
        <v>0</v>
      </c>
      <c r="K669" s="1615">
        <v>0</v>
      </c>
      <c r="L669" s="1636">
        <v>10000</v>
      </c>
      <c r="M669" s="1636"/>
      <c r="N669" s="1615"/>
      <c r="O669" s="1635"/>
      <c r="P669" s="1965" t="s">
        <v>2566</v>
      </c>
      <c r="Q669" s="1966" t="s">
        <v>2571</v>
      </c>
    </row>
    <row r="670" spans="1:17" ht="12.75" customHeight="1">
      <c r="A670" s="1962"/>
      <c r="B670" s="1840"/>
      <c r="C670" s="1850" t="s">
        <v>3329</v>
      </c>
      <c r="D670" s="1934"/>
      <c r="E670" s="1934">
        <v>2</v>
      </c>
      <c r="F670" s="1905"/>
      <c r="G670" s="1963" t="s">
        <v>2569</v>
      </c>
      <c r="H670" s="1964" t="s">
        <v>3330</v>
      </c>
      <c r="I670" s="2310"/>
      <c r="J670" s="2534">
        <v>0</v>
      </c>
      <c r="K670" s="1615">
        <v>0</v>
      </c>
      <c r="L670" s="1636">
        <v>150000</v>
      </c>
      <c r="M670" s="1636"/>
      <c r="N670" s="1615"/>
      <c r="O670" s="1635"/>
      <c r="P670" s="1965" t="s">
        <v>2566</v>
      </c>
      <c r="Q670" s="1966" t="s">
        <v>2571</v>
      </c>
    </row>
    <row r="671" spans="1:17" ht="12.75" customHeight="1">
      <c r="A671" s="1962"/>
      <c r="B671" s="1840"/>
      <c r="C671" s="1850" t="s">
        <v>3331</v>
      </c>
      <c r="D671" s="1934"/>
      <c r="E671" s="1934">
        <v>2</v>
      </c>
      <c r="F671" s="1905"/>
      <c r="G671" s="1963" t="s">
        <v>3188</v>
      </c>
      <c r="H671" s="1964" t="s">
        <v>3332</v>
      </c>
      <c r="I671" s="2310"/>
      <c r="J671" s="2534">
        <v>0</v>
      </c>
      <c r="K671" s="1615">
        <v>0</v>
      </c>
      <c r="L671" s="1636">
        <v>350000</v>
      </c>
      <c r="M671" s="1636"/>
      <c r="N671" s="1615"/>
      <c r="O671" s="1635"/>
      <c r="P671" s="1965" t="s">
        <v>2566</v>
      </c>
      <c r="Q671" s="1966" t="s">
        <v>2587</v>
      </c>
    </row>
    <row r="672" spans="1:17" ht="12.75" customHeight="1">
      <c r="A672" s="1962"/>
      <c r="B672" s="1840"/>
      <c r="C672" s="1850" t="s">
        <v>2596</v>
      </c>
      <c r="D672" s="1934"/>
      <c r="E672" s="1934">
        <v>2</v>
      </c>
      <c r="F672" s="1905"/>
      <c r="G672" s="1963" t="s">
        <v>2564</v>
      </c>
      <c r="H672" s="1964" t="s">
        <v>3204</v>
      </c>
      <c r="I672" s="2310"/>
      <c r="J672" s="2534">
        <v>0</v>
      </c>
      <c r="K672" s="1615">
        <v>0</v>
      </c>
      <c r="L672" s="1636">
        <v>0</v>
      </c>
      <c r="M672" s="1636">
        <v>60000</v>
      </c>
      <c r="N672" s="1615">
        <v>0</v>
      </c>
      <c r="O672" s="1635">
        <v>0</v>
      </c>
      <c r="P672" s="1965" t="s">
        <v>2566</v>
      </c>
      <c r="Q672" s="1966" t="s">
        <v>2587</v>
      </c>
    </row>
    <row r="673" spans="1:17" ht="12.75" customHeight="1">
      <c r="A673" s="1962"/>
      <c r="B673" s="1840"/>
      <c r="C673" s="1850" t="s">
        <v>4083</v>
      </c>
      <c r="D673" s="1934"/>
      <c r="E673" s="1934">
        <v>2</v>
      </c>
      <c r="F673" s="1905"/>
      <c r="G673" s="1963" t="s">
        <v>2569</v>
      </c>
      <c r="H673" s="1964" t="s">
        <v>4083</v>
      </c>
      <c r="I673" s="2310"/>
      <c r="J673" s="2534">
        <v>0</v>
      </c>
      <c r="K673" s="1615">
        <v>0</v>
      </c>
      <c r="L673" s="1636">
        <v>0</v>
      </c>
      <c r="M673" s="1636">
        <v>4000</v>
      </c>
      <c r="N673" s="1615">
        <v>0</v>
      </c>
      <c r="O673" s="1635">
        <v>0</v>
      </c>
      <c r="P673" s="1965" t="s">
        <v>2566</v>
      </c>
      <c r="Q673" s="1966" t="s">
        <v>2571</v>
      </c>
    </row>
    <row r="674" spans="1:17" ht="12.75" customHeight="1">
      <c r="A674" s="1962"/>
      <c r="B674" s="1840"/>
      <c r="C674" s="1850" t="s">
        <v>4084</v>
      </c>
      <c r="D674" s="1934"/>
      <c r="E674" s="1934">
        <v>2</v>
      </c>
      <c r="F674" s="1905"/>
      <c r="G674" s="1963" t="s">
        <v>2564</v>
      </c>
      <c r="H674" s="1964" t="s">
        <v>3255</v>
      </c>
      <c r="I674" s="2310"/>
      <c r="J674" s="2534">
        <v>0</v>
      </c>
      <c r="K674" s="1615">
        <v>0</v>
      </c>
      <c r="L674" s="1636">
        <v>0</v>
      </c>
      <c r="M674" s="1636">
        <v>5000</v>
      </c>
      <c r="N674" s="1615">
        <v>0</v>
      </c>
      <c r="O674" s="1635">
        <v>0</v>
      </c>
      <c r="P674" s="1965" t="s">
        <v>2566</v>
      </c>
      <c r="Q674" s="1966" t="s">
        <v>2571</v>
      </c>
    </row>
    <row r="675" spans="1:17" ht="12.75" customHeight="1">
      <c r="A675" s="1962"/>
      <c r="B675" s="1840"/>
      <c r="C675" s="1850" t="s">
        <v>3280</v>
      </c>
      <c r="D675" s="1934"/>
      <c r="E675" s="1934">
        <v>2</v>
      </c>
      <c r="F675" s="1905"/>
      <c r="G675" s="1963" t="s">
        <v>2564</v>
      </c>
      <c r="H675" s="1964" t="s">
        <v>3280</v>
      </c>
      <c r="I675" s="2310"/>
      <c r="J675" s="2534">
        <v>0</v>
      </c>
      <c r="K675" s="1615">
        <v>0</v>
      </c>
      <c r="L675" s="1636">
        <v>0</v>
      </c>
      <c r="M675" s="1636">
        <v>1250</v>
      </c>
      <c r="N675" s="1615">
        <v>0</v>
      </c>
      <c r="O675" s="1635">
        <v>0</v>
      </c>
      <c r="P675" s="1965" t="s">
        <v>2566</v>
      </c>
      <c r="Q675" s="1966" t="s">
        <v>2587</v>
      </c>
    </row>
    <row r="676" spans="1:17" ht="12.75" customHeight="1">
      <c r="A676" s="1962"/>
      <c r="B676" s="1840"/>
      <c r="C676" s="1850" t="s">
        <v>4085</v>
      </c>
      <c r="D676" s="1934"/>
      <c r="E676" s="1934">
        <v>1</v>
      </c>
      <c r="F676" s="1905"/>
      <c r="G676" s="1963" t="s">
        <v>2573</v>
      </c>
      <c r="H676" s="1964" t="s">
        <v>4086</v>
      </c>
      <c r="I676" s="2310"/>
      <c r="J676" s="2534">
        <v>0</v>
      </c>
      <c r="K676" s="1615">
        <v>0</v>
      </c>
      <c r="L676" s="1636">
        <v>0</v>
      </c>
      <c r="M676" s="1636">
        <v>2000</v>
      </c>
      <c r="N676" s="1615">
        <v>0</v>
      </c>
      <c r="O676" s="1635">
        <v>0</v>
      </c>
      <c r="P676" s="1965" t="s">
        <v>2566</v>
      </c>
      <c r="Q676" s="1966" t="s">
        <v>2587</v>
      </c>
    </row>
    <row r="677" spans="1:17" ht="12.75" customHeight="1">
      <c r="A677" s="1962"/>
      <c r="B677" s="1840"/>
      <c r="C677" s="1850" t="s">
        <v>2592</v>
      </c>
      <c r="D677" s="1934"/>
      <c r="E677" s="1934">
        <v>3</v>
      </c>
      <c r="F677" s="1905"/>
      <c r="G677" s="1963" t="s">
        <v>2564</v>
      </c>
      <c r="H677" s="1964" t="s">
        <v>2592</v>
      </c>
      <c r="I677" s="2310"/>
      <c r="J677" s="2534">
        <v>0</v>
      </c>
      <c r="K677" s="1615">
        <v>0</v>
      </c>
      <c r="L677" s="1636">
        <v>0</v>
      </c>
      <c r="M677" s="1636">
        <v>8000</v>
      </c>
      <c r="N677" s="1615">
        <v>31000</v>
      </c>
      <c r="O677" s="1635">
        <v>11000</v>
      </c>
      <c r="P677" s="1965" t="s">
        <v>2566</v>
      </c>
      <c r="Q677" s="1966" t="s">
        <v>2571</v>
      </c>
    </row>
    <row r="678" spans="1:17" ht="12.75" customHeight="1">
      <c r="A678" s="1962"/>
      <c r="B678" s="1840"/>
      <c r="C678" s="1850" t="s">
        <v>4087</v>
      </c>
      <c r="D678" s="1934"/>
      <c r="E678" s="1934">
        <v>2</v>
      </c>
      <c r="F678" s="1905"/>
      <c r="G678" s="1963" t="s">
        <v>2569</v>
      </c>
      <c r="H678" s="1964" t="s">
        <v>4088</v>
      </c>
      <c r="I678" s="2310"/>
      <c r="J678" s="2534">
        <v>0</v>
      </c>
      <c r="K678" s="1615">
        <v>0</v>
      </c>
      <c r="L678" s="1636">
        <v>0</v>
      </c>
      <c r="M678" s="1636">
        <v>100000</v>
      </c>
      <c r="N678" s="1615">
        <v>50000</v>
      </c>
      <c r="O678" s="1635">
        <v>0</v>
      </c>
      <c r="P678" s="1965" t="s">
        <v>2566</v>
      </c>
      <c r="Q678" s="1966" t="s">
        <v>2571</v>
      </c>
    </row>
    <row r="679" spans="1:17" ht="12.75" customHeight="1">
      <c r="A679" s="1962"/>
      <c r="B679" s="1840"/>
      <c r="C679" s="1850" t="s">
        <v>4089</v>
      </c>
      <c r="D679" s="1934"/>
      <c r="E679" s="1934">
        <v>2</v>
      </c>
      <c r="F679" s="1905"/>
      <c r="G679" s="1963" t="s">
        <v>2573</v>
      </c>
      <c r="H679" s="1964" t="s">
        <v>4090</v>
      </c>
      <c r="I679" s="2310"/>
      <c r="J679" s="2534">
        <v>0</v>
      </c>
      <c r="K679" s="1615">
        <v>0</v>
      </c>
      <c r="L679" s="1636">
        <v>0</v>
      </c>
      <c r="M679" s="1636">
        <v>0</v>
      </c>
      <c r="N679" s="1615">
        <v>50000</v>
      </c>
      <c r="O679" s="1635">
        <v>0</v>
      </c>
      <c r="P679" s="1965" t="s">
        <v>2566</v>
      </c>
      <c r="Q679" s="1966" t="s">
        <v>2587</v>
      </c>
    </row>
    <row r="680" spans="1:17" ht="12.75" customHeight="1">
      <c r="A680" s="1962"/>
      <c r="B680" s="1840"/>
      <c r="C680" s="1850" t="s">
        <v>3248</v>
      </c>
      <c r="D680" s="1934"/>
      <c r="E680" s="1934">
        <v>2</v>
      </c>
      <c r="F680" s="1905"/>
      <c r="G680" s="1963" t="s">
        <v>2564</v>
      </c>
      <c r="H680" s="1964" t="s">
        <v>3248</v>
      </c>
      <c r="I680" s="2310"/>
      <c r="J680" s="2534">
        <v>0</v>
      </c>
      <c r="K680" s="1615">
        <v>0</v>
      </c>
      <c r="L680" s="1636">
        <v>0</v>
      </c>
      <c r="M680" s="1636">
        <v>30000</v>
      </c>
      <c r="N680" s="1615">
        <v>3000</v>
      </c>
      <c r="O680" s="1635">
        <v>0</v>
      </c>
      <c r="P680" s="1965" t="s">
        <v>2566</v>
      </c>
      <c r="Q680" s="1966" t="s">
        <v>2571</v>
      </c>
    </row>
    <row r="681" spans="1:17" ht="12.75" customHeight="1">
      <c r="A681" s="1962"/>
      <c r="B681" s="1840"/>
      <c r="C681" s="1850" t="s">
        <v>4091</v>
      </c>
      <c r="D681" s="1934"/>
      <c r="E681" s="1934">
        <v>2</v>
      </c>
      <c r="F681" s="1905"/>
      <c r="G681" s="1963" t="s">
        <v>2569</v>
      </c>
      <c r="H681" s="1964" t="s">
        <v>4091</v>
      </c>
      <c r="I681" s="2310"/>
      <c r="J681" s="2534">
        <v>0</v>
      </c>
      <c r="K681" s="1615">
        <v>0</v>
      </c>
      <c r="L681" s="1636">
        <v>0</v>
      </c>
      <c r="M681" s="1636">
        <v>50000</v>
      </c>
      <c r="N681" s="1615">
        <v>50000</v>
      </c>
      <c r="O681" s="1635">
        <v>0</v>
      </c>
      <c r="P681" s="1965" t="s">
        <v>2566</v>
      </c>
      <c r="Q681" s="1966" t="s">
        <v>2571</v>
      </c>
    </row>
    <row r="682" spans="1:17" ht="12.75" customHeight="1">
      <c r="A682" s="1962"/>
      <c r="B682" s="1840"/>
      <c r="C682" s="1850" t="s">
        <v>4092</v>
      </c>
      <c r="D682" s="1934"/>
      <c r="E682" s="1934">
        <v>2</v>
      </c>
      <c r="F682" s="1905"/>
      <c r="G682" s="1963" t="s">
        <v>2573</v>
      </c>
      <c r="H682" s="1964" t="s">
        <v>4092</v>
      </c>
      <c r="I682" s="2310"/>
      <c r="J682" s="2534">
        <v>0</v>
      </c>
      <c r="K682" s="1615">
        <v>0</v>
      </c>
      <c r="L682" s="1636">
        <v>0</v>
      </c>
      <c r="M682" s="1636">
        <v>0</v>
      </c>
      <c r="N682" s="1615">
        <v>0</v>
      </c>
      <c r="O682" s="1635">
        <v>10000</v>
      </c>
      <c r="P682" s="1965" t="s">
        <v>2566</v>
      </c>
      <c r="Q682" s="1966" t="s">
        <v>2587</v>
      </c>
    </row>
    <row r="683" spans="1:17" ht="12.75" customHeight="1">
      <c r="A683" s="1962"/>
      <c r="B683" s="1840"/>
      <c r="C683" s="1850" t="s">
        <v>4093</v>
      </c>
      <c r="D683" s="1934"/>
      <c r="E683" s="1934">
        <v>2</v>
      </c>
      <c r="F683" s="1905"/>
      <c r="G683" s="1963" t="s">
        <v>2573</v>
      </c>
      <c r="H683" s="1964" t="s">
        <v>4094</v>
      </c>
      <c r="I683" s="2310"/>
      <c r="J683" s="2534">
        <v>0</v>
      </c>
      <c r="K683" s="1615">
        <v>0</v>
      </c>
      <c r="L683" s="1636">
        <v>0</v>
      </c>
      <c r="M683" s="1636">
        <v>0</v>
      </c>
      <c r="N683" s="1615">
        <v>0</v>
      </c>
      <c r="O683" s="1635">
        <v>60000</v>
      </c>
      <c r="P683" s="1965" t="s">
        <v>2566</v>
      </c>
      <c r="Q683" s="1966" t="s">
        <v>2587</v>
      </c>
    </row>
    <row r="684" spans="1:17" ht="12.75" customHeight="1">
      <c r="A684" s="1962"/>
      <c r="B684" s="1840"/>
      <c r="C684" s="1850" t="s">
        <v>2636</v>
      </c>
      <c r="D684" s="1934"/>
      <c r="E684" s="1934">
        <v>2</v>
      </c>
      <c r="F684" s="1905"/>
      <c r="G684" s="1963" t="s">
        <v>2569</v>
      </c>
      <c r="H684" s="1964" t="s">
        <v>2636</v>
      </c>
      <c r="I684" s="2310"/>
      <c r="J684" s="2534">
        <v>0</v>
      </c>
      <c r="K684" s="1615">
        <v>0</v>
      </c>
      <c r="L684" s="1636">
        <v>0</v>
      </c>
      <c r="M684" s="1636">
        <v>100000</v>
      </c>
      <c r="N684" s="1615">
        <v>100000</v>
      </c>
      <c r="O684" s="1635">
        <v>0</v>
      </c>
      <c r="P684" s="1965" t="s">
        <v>2566</v>
      </c>
      <c r="Q684" s="1966" t="s">
        <v>2571</v>
      </c>
    </row>
    <row r="685" spans="1:17" ht="12.75" customHeight="1">
      <c r="A685" s="1962"/>
      <c r="B685" s="1840"/>
      <c r="C685" s="1850" t="s">
        <v>4095</v>
      </c>
      <c r="D685" s="1934"/>
      <c r="E685" s="1934">
        <v>2</v>
      </c>
      <c r="F685" s="1905"/>
      <c r="G685" s="1963" t="s">
        <v>2573</v>
      </c>
      <c r="H685" s="1964" t="s">
        <v>4095</v>
      </c>
      <c r="I685" s="2310"/>
      <c r="J685" s="2534">
        <v>0</v>
      </c>
      <c r="K685" s="1615">
        <v>0</v>
      </c>
      <c r="L685" s="1636">
        <v>0</v>
      </c>
      <c r="M685" s="1636">
        <v>10000</v>
      </c>
      <c r="N685" s="1615">
        <v>0</v>
      </c>
      <c r="O685" s="1635">
        <v>0</v>
      </c>
      <c r="P685" s="1965" t="s">
        <v>2566</v>
      </c>
      <c r="Q685" s="1966" t="s">
        <v>2571</v>
      </c>
    </row>
    <row r="686" spans="1:17" ht="12.75" customHeight="1">
      <c r="A686" s="1962"/>
      <c r="B686" s="1840"/>
      <c r="C686" s="1850" t="s">
        <v>4096</v>
      </c>
      <c r="D686" s="1934"/>
      <c r="E686" s="1934">
        <v>2</v>
      </c>
      <c r="F686" s="1905"/>
      <c r="G686" s="1963" t="s">
        <v>2573</v>
      </c>
      <c r="H686" s="1964" t="s">
        <v>4097</v>
      </c>
      <c r="I686" s="2310"/>
      <c r="J686" s="2534">
        <v>0</v>
      </c>
      <c r="K686" s="1615">
        <v>0</v>
      </c>
      <c r="L686" s="1636">
        <v>0</v>
      </c>
      <c r="M686" s="1636">
        <v>50000</v>
      </c>
      <c r="N686" s="1615">
        <v>120000</v>
      </c>
      <c r="O686" s="1635">
        <v>0</v>
      </c>
      <c r="P686" s="1965" t="s">
        <v>2566</v>
      </c>
      <c r="Q686" s="1966" t="s">
        <v>2571</v>
      </c>
    </row>
    <row r="687" spans="1:17" ht="12.75" customHeight="1">
      <c r="A687" s="1962"/>
      <c r="B687" s="1840"/>
      <c r="C687" s="1850" t="s">
        <v>4098</v>
      </c>
      <c r="D687" s="1934"/>
      <c r="E687" s="1934">
        <v>3</v>
      </c>
      <c r="F687" s="1905"/>
      <c r="G687" s="1963" t="s">
        <v>2573</v>
      </c>
      <c r="H687" s="1964" t="s">
        <v>3138</v>
      </c>
      <c r="I687" s="2310"/>
      <c r="J687" s="2534">
        <v>0</v>
      </c>
      <c r="K687" s="1615">
        <v>0</v>
      </c>
      <c r="L687" s="1636">
        <v>0</v>
      </c>
      <c r="M687" s="1636">
        <v>0</v>
      </c>
      <c r="N687" s="1615">
        <v>60000</v>
      </c>
      <c r="O687" s="1635">
        <v>0</v>
      </c>
      <c r="P687" s="1965" t="s">
        <v>2566</v>
      </c>
      <c r="Q687" s="1966" t="s">
        <v>2571</v>
      </c>
    </row>
    <row r="688" spans="1:17" ht="12.75" customHeight="1">
      <c r="A688" s="1962"/>
      <c r="B688" s="1840"/>
      <c r="C688" s="1850" t="s">
        <v>4099</v>
      </c>
      <c r="D688" s="1934"/>
      <c r="E688" s="1934">
        <v>3</v>
      </c>
      <c r="F688" s="1905"/>
      <c r="G688" s="1963" t="s">
        <v>2564</v>
      </c>
      <c r="H688" s="1964" t="s">
        <v>4100</v>
      </c>
      <c r="I688" s="2310"/>
      <c r="J688" s="2534">
        <v>0</v>
      </c>
      <c r="K688" s="1615">
        <v>0</v>
      </c>
      <c r="L688" s="1636">
        <v>0</v>
      </c>
      <c r="M688" s="1636">
        <v>0</v>
      </c>
      <c r="N688" s="1615">
        <v>20000</v>
      </c>
      <c r="O688" s="1635">
        <v>0</v>
      </c>
      <c r="P688" s="1965" t="s">
        <v>2566</v>
      </c>
      <c r="Q688" s="1966" t="s">
        <v>2571</v>
      </c>
    </row>
    <row r="689" spans="1:17" ht="12.75" customHeight="1">
      <c r="A689" s="1962"/>
      <c r="B689" s="1840"/>
      <c r="C689" s="1850"/>
      <c r="D689" s="1934"/>
      <c r="E689" s="1934"/>
      <c r="F689" s="1905"/>
      <c r="G689" s="1963"/>
      <c r="H689" s="1964"/>
      <c r="I689" s="2310"/>
      <c r="J689" s="2534"/>
      <c r="K689" s="1615"/>
      <c r="L689" s="1636"/>
      <c r="M689" s="1636"/>
      <c r="N689" s="1615"/>
      <c r="O689" s="1635"/>
      <c r="P689" s="1965"/>
      <c r="Q689" s="1966"/>
    </row>
    <row r="690" spans="1:17" ht="12.75" customHeight="1">
      <c r="A690" s="1962"/>
      <c r="B690" s="1840"/>
      <c r="C690" s="1850"/>
      <c r="D690" s="1934"/>
      <c r="E690" s="1934"/>
      <c r="F690" s="1905"/>
      <c r="G690" s="1963"/>
      <c r="H690" s="1964"/>
      <c r="I690" s="2310"/>
      <c r="J690" s="2534"/>
      <c r="K690" s="1615"/>
      <c r="L690" s="1636"/>
      <c r="M690" s="1636"/>
      <c r="N690" s="1615"/>
      <c r="O690" s="1635"/>
      <c r="P690" s="1965"/>
      <c r="Q690" s="1966"/>
    </row>
    <row r="691" spans="1:17" ht="12.75" customHeight="1">
      <c r="A691" s="1962"/>
      <c r="B691" s="1840"/>
      <c r="C691" s="1850"/>
      <c r="D691" s="1934"/>
      <c r="E691" s="1934"/>
      <c r="F691" s="1905"/>
      <c r="G691" s="1963"/>
      <c r="H691" s="1964"/>
      <c r="I691" s="2310"/>
      <c r="J691" s="2534"/>
      <c r="K691" s="1615"/>
      <c r="L691" s="1636"/>
      <c r="M691" s="1636"/>
      <c r="N691" s="1615"/>
      <c r="O691" s="1635"/>
      <c r="P691" s="1965"/>
      <c r="Q691" s="1966"/>
    </row>
    <row r="692" spans="1:17" ht="12.75" customHeight="1">
      <c r="A692" s="1962" t="s">
        <v>3333</v>
      </c>
      <c r="B692" s="1840"/>
      <c r="C692" s="1850" t="s">
        <v>3334</v>
      </c>
      <c r="D692" s="1934"/>
      <c r="E692" s="1934">
        <v>1</v>
      </c>
      <c r="F692" s="1905"/>
      <c r="G692" s="1963" t="s">
        <v>3188</v>
      </c>
      <c r="H692" s="1964" t="s">
        <v>3335</v>
      </c>
      <c r="I692" s="2310"/>
      <c r="J692" s="2534">
        <v>0</v>
      </c>
      <c r="K692" s="1615">
        <v>0</v>
      </c>
      <c r="L692" s="1636">
        <v>0</v>
      </c>
      <c r="M692" s="1636"/>
      <c r="N692" s="1615"/>
      <c r="O692" s="1635"/>
      <c r="P692" s="1965" t="s">
        <v>2566</v>
      </c>
      <c r="Q692" s="1966" t="s">
        <v>2571</v>
      </c>
    </row>
    <row r="693" spans="1:17" ht="12.75" customHeight="1">
      <c r="A693" s="1962"/>
      <c r="B693" s="1840"/>
      <c r="C693" s="1850" t="s">
        <v>2579</v>
      </c>
      <c r="D693" s="1934"/>
      <c r="E693" s="1934"/>
      <c r="F693" s="1905"/>
      <c r="G693" s="1963" t="s">
        <v>2569</v>
      </c>
      <c r="H693" s="1964" t="s">
        <v>2579</v>
      </c>
      <c r="I693" s="2310"/>
      <c r="J693" s="2534">
        <v>0</v>
      </c>
      <c r="K693" s="1615">
        <v>0</v>
      </c>
      <c r="L693" s="1636">
        <v>1600000</v>
      </c>
      <c r="M693" s="1636"/>
      <c r="N693" s="1615"/>
      <c r="O693" s="1635"/>
      <c r="P693" s="1965" t="s">
        <v>2566</v>
      </c>
      <c r="Q693" s="1966" t="s">
        <v>2571</v>
      </c>
    </row>
    <row r="694" spans="1:17" ht="12.75" customHeight="1">
      <c r="A694" s="1962"/>
      <c r="B694" s="1840"/>
      <c r="C694" s="1850" t="s">
        <v>3336</v>
      </c>
      <c r="D694" s="1934"/>
      <c r="E694" s="1934">
        <v>3</v>
      </c>
      <c r="F694" s="1905"/>
      <c r="G694" s="1963" t="s">
        <v>2564</v>
      </c>
      <c r="H694" s="1964" t="s">
        <v>2591</v>
      </c>
      <c r="I694" s="2310"/>
      <c r="J694" s="2534">
        <v>0</v>
      </c>
      <c r="K694" s="1615">
        <v>0</v>
      </c>
      <c r="L694" s="1636">
        <v>0</v>
      </c>
      <c r="M694" s="1636"/>
      <c r="N694" s="1615"/>
      <c r="O694" s="1635"/>
      <c r="P694" s="1965" t="s">
        <v>2566</v>
      </c>
      <c r="Q694" s="1966" t="s">
        <v>2571</v>
      </c>
    </row>
    <row r="695" spans="1:17" ht="12.75" customHeight="1">
      <c r="A695" s="1962"/>
      <c r="B695" s="1840"/>
      <c r="C695" s="1850" t="s">
        <v>3337</v>
      </c>
      <c r="D695" s="1934"/>
      <c r="E695" s="1934">
        <v>4</v>
      </c>
      <c r="F695" s="1905"/>
      <c r="G695" s="1963" t="s">
        <v>3203</v>
      </c>
      <c r="H695" s="1964" t="s">
        <v>3204</v>
      </c>
      <c r="I695" s="2310"/>
      <c r="J695" s="2534">
        <v>0</v>
      </c>
      <c r="K695" s="1615">
        <v>0</v>
      </c>
      <c r="L695" s="1636">
        <v>0</v>
      </c>
      <c r="M695" s="1636"/>
      <c r="N695" s="1615"/>
      <c r="O695" s="1635"/>
      <c r="P695" s="1965" t="s">
        <v>2566</v>
      </c>
      <c r="Q695" s="1966" t="s">
        <v>2571</v>
      </c>
    </row>
    <row r="696" spans="1:17" ht="12.75" customHeight="1">
      <c r="A696" s="1962"/>
      <c r="B696" s="1840"/>
      <c r="C696" s="1850" t="s">
        <v>3338</v>
      </c>
      <c r="D696" s="1934"/>
      <c r="E696" s="1934">
        <v>4</v>
      </c>
      <c r="F696" s="1905"/>
      <c r="G696" s="1963" t="s">
        <v>3203</v>
      </c>
      <c r="H696" s="1964" t="s">
        <v>3204</v>
      </c>
      <c r="I696" s="2310"/>
      <c r="J696" s="2534">
        <v>0</v>
      </c>
      <c r="K696" s="1615">
        <v>0</v>
      </c>
      <c r="L696" s="1636">
        <v>65000</v>
      </c>
      <c r="M696" s="1636"/>
      <c r="N696" s="1615"/>
      <c r="O696" s="1635"/>
      <c r="P696" s="1965" t="s">
        <v>2566</v>
      </c>
      <c r="Q696" s="1966" t="s">
        <v>2587</v>
      </c>
    </row>
    <row r="697" spans="1:17" ht="12.75" customHeight="1">
      <c r="A697" s="1962"/>
      <c r="B697" s="1840"/>
      <c r="C697" s="1850" t="s">
        <v>3339</v>
      </c>
      <c r="D697" s="1934"/>
      <c r="E697" s="1934">
        <v>4</v>
      </c>
      <c r="F697" s="1905"/>
      <c r="G697" s="1963" t="s">
        <v>2569</v>
      </c>
      <c r="H697" s="1964" t="s">
        <v>3272</v>
      </c>
      <c r="I697" s="2310"/>
      <c r="J697" s="2534">
        <v>0</v>
      </c>
      <c r="K697" s="1615">
        <v>0</v>
      </c>
      <c r="L697" s="1636">
        <v>20000</v>
      </c>
      <c r="M697" s="1636"/>
      <c r="N697" s="1615"/>
      <c r="O697" s="1635"/>
      <c r="P697" s="1965" t="s">
        <v>2566</v>
      </c>
      <c r="Q697" s="1966" t="s">
        <v>2587</v>
      </c>
    </row>
    <row r="698" spans="1:17" ht="12.75" customHeight="1">
      <c r="A698" s="1962"/>
      <c r="B698" s="1840"/>
      <c r="C698" s="1850" t="s">
        <v>3340</v>
      </c>
      <c r="D698" s="1934"/>
      <c r="E698" s="1934">
        <v>4</v>
      </c>
      <c r="F698" s="1905"/>
      <c r="G698" s="1963" t="s">
        <v>2569</v>
      </c>
      <c r="H698" s="1964" t="s">
        <v>3341</v>
      </c>
      <c r="I698" s="2310"/>
      <c r="J698" s="2534">
        <v>0</v>
      </c>
      <c r="K698" s="1615">
        <v>0</v>
      </c>
      <c r="L698" s="1636">
        <v>150000</v>
      </c>
      <c r="M698" s="1636"/>
      <c r="N698" s="1615"/>
      <c r="O698" s="1635"/>
      <c r="P698" s="1965" t="s">
        <v>2566</v>
      </c>
      <c r="Q698" s="1966" t="s">
        <v>2571</v>
      </c>
    </row>
    <row r="699" spans="1:17" ht="12.75" customHeight="1">
      <c r="A699" s="1962"/>
      <c r="B699" s="1840"/>
      <c r="C699" s="1850" t="s">
        <v>3342</v>
      </c>
      <c r="D699" s="1934"/>
      <c r="E699" s="1934">
        <v>4</v>
      </c>
      <c r="F699" s="1905"/>
      <c r="G699" s="1963" t="s">
        <v>2569</v>
      </c>
      <c r="H699" s="1964" t="s">
        <v>3272</v>
      </c>
      <c r="I699" s="2310"/>
      <c r="J699" s="2534">
        <v>0</v>
      </c>
      <c r="K699" s="1615">
        <v>0</v>
      </c>
      <c r="L699" s="1636">
        <v>0</v>
      </c>
      <c r="M699" s="1636"/>
      <c r="N699" s="1615"/>
      <c r="O699" s="1635"/>
      <c r="P699" s="1965" t="s">
        <v>2566</v>
      </c>
      <c r="Q699" s="1966" t="s">
        <v>2571</v>
      </c>
    </row>
    <row r="700" spans="1:17" ht="12.75" customHeight="1">
      <c r="A700" s="1962"/>
      <c r="B700" s="1840"/>
      <c r="C700" s="1850" t="s">
        <v>3343</v>
      </c>
      <c r="D700" s="1934"/>
      <c r="E700" s="1934">
        <v>3</v>
      </c>
      <c r="F700" s="1905"/>
      <c r="G700" s="1963" t="s">
        <v>2573</v>
      </c>
      <c r="H700" s="1964" t="s">
        <v>3344</v>
      </c>
      <c r="I700" s="2310"/>
      <c r="J700" s="2534">
        <v>0</v>
      </c>
      <c r="K700" s="1615">
        <v>0</v>
      </c>
      <c r="L700" s="1636">
        <v>75000</v>
      </c>
      <c r="M700" s="1636"/>
      <c r="N700" s="1615"/>
      <c r="O700" s="1635"/>
      <c r="P700" s="1965" t="s">
        <v>2566</v>
      </c>
      <c r="Q700" s="1966" t="s">
        <v>2571</v>
      </c>
    </row>
    <row r="701" spans="1:17" ht="12.75" customHeight="1">
      <c r="A701" s="1962"/>
      <c r="B701" s="1840"/>
      <c r="C701" s="1850" t="s">
        <v>3345</v>
      </c>
      <c r="D701" s="1934"/>
      <c r="E701" s="1934">
        <v>4</v>
      </c>
      <c r="F701" s="1905"/>
      <c r="G701" s="1963" t="s">
        <v>3203</v>
      </c>
      <c r="H701" s="1964" t="s">
        <v>2623</v>
      </c>
      <c r="I701" s="2310"/>
      <c r="J701" s="2534">
        <v>0</v>
      </c>
      <c r="K701" s="1615">
        <v>0</v>
      </c>
      <c r="L701" s="1636">
        <v>7000</v>
      </c>
      <c r="M701" s="1636"/>
      <c r="N701" s="1615"/>
      <c r="O701" s="1635"/>
      <c r="P701" s="1965" t="s">
        <v>2566</v>
      </c>
      <c r="Q701" s="1966" t="s">
        <v>2587</v>
      </c>
    </row>
    <row r="702" spans="1:17" ht="12.75" customHeight="1">
      <c r="A702" s="1962"/>
      <c r="B702" s="1840"/>
      <c r="C702" s="1850" t="s">
        <v>3346</v>
      </c>
      <c r="D702" s="1934"/>
      <c r="E702" s="1934">
        <v>3</v>
      </c>
      <c r="F702" s="1905"/>
      <c r="G702" s="1963" t="s">
        <v>2564</v>
      </c>
      <c r="H702" s="1964" t="s">
        <v>2565</v>
      </c>
      <c r="I702" s="2310"/>
      <c r="J702" s="2534">
        <v>0</v>
      </c>
      <c r="K702" s="1615">
        <v>0</v>
      </c>
      <c r="L702" s="1636">
        <v>0</v>
      </c>
      <c r="M702" s="1636"/>
      <c r="N702" s="1615"/>
      <c r="O702" s="1635"/>
      <c r="P702" s="1965" t="s">
        <v>2566</v>
      </c>
      <c r="Q702" s="1966" t="s">
        <v>2587</v>
      </c>
    </row>
    <row r="703" spans="1:17" ht="12.75" customHeight="1">
      <c r="A703" s="1962"/>
      <c r="B703" s="1840"/>
      <c r="C703" s="1850" t="s">
        <v>3347</v>
      </c>
      <c r="D703" s="1934"/>
      <c r="E703" s="1934">
        <v>4</v>
      </c>
      <c r="F703" s="1905"/>
      <c r="G703" s="1963" t="s">
        <v>2569</v>
      </c>
      <c r="H703" s="1964" t="s">
        <v>3272</v>
      </c>
      <c r="I703" s="2310"/>
      <c r="J703" s="2534">
        <v>0</v>
      </c>
      <c r="K703" s="1615">
        <v>0</v>
      </c>
      <c r="L703" s="1636">
        <v>0</v>
      </c>
      <c r="M703" s="1636"/>
      <c r="N703" s="1615"/>
      <c r="O703" s="1635"/>
      <c r="P703" s="1965" t="s">
        <v>2566</v>
      </c>
      <c r="Q703" s="1966" t="s">
        <v>2587</v>
      </c>
    </row>
    <row r="704" spans="1:17" ht="12.75" customHeight="1">
      <c r="A704" s="1962"/>
      <c r="B704" s="1840"/>
      <c r="C704" s="1850" t="s">
        <v>3348</v>
      </c>
      <c r="D704" s="1934"/>
      <c r="E704" s="1934">
        <v>3</v>
      </c>
      <c r="F704" s="1905"/>
      <c r="G704" s="1963" t="s">
        <v>2564</v>
      </c>
      <c r="H704" s="1964" t="s">
        <v>2591</v>
      </c>
      <c r="I704" s="2310"/>
      <c r="J704" s="2534">
        <v>0</v>
      </c>
      <c r="K704" s="1615">
        <v>0</v>
      </c>
      <c r="L704" s="1636">
        <v>30000</v>
      </c>
      <c r="M704" s="1636"/>
      <c r="N704" s="1615"/>
      <c r="O704" s="1635"/>
      <c r="P704" s="1965" t="s">
        <v>2566</v>
      </c>
      <c r="Q704" s="1966" t="s">
        <v>2587</v>
      </c>
    </row>
    <row r="705" spans="1:17" ht="12.75" customHeight="1">
      <c r="A705" s="1962"/>
      <c r="B705" s="1840"/>
      <c r="C705" s="1850" t="s">
        <v>3349</v>
      </c>
      <c r="D705" s="1934"/>
      <c r="E705" s="1934">
        <v>3</v>
      </c>
      <c r="F705" s="1905"/>
      <c r="G705" s="1963" t="s">
        <v>2573</v>
      </c>
      <c r="H705" s="1964" t="s">
        <v>3350</v>
      </c>
      <c r="I705" s="2310"/>
      <c r="J705" s="2534">
        <v>0</v>
      </c>
      <c r="K705" s="1615">
        <v>0</v>
      </c>
      <c r="L705" s="1636">
        <v>15000</v>
      </c>
      <c r="M705" s="1636"/>
      <c r="N705" s="1615"/>
      <c r="O705" s="1635"/>
      <c r="P705" s="1965" t="s">
        <v>2566</v>
      </c>
      <c r="Q705" s="1966" t="s">
        <v>2571</v>
      </c>
    </row>
    <row r="706" spans="1:17" ht="12.75" customHeight="1">
      <c r="A706" s="1962"/>
      <c r="B706" s="1840"/>
      <c r="C706" s="1850" t="s">
        <v>3336</v>
      </c>
      <c r="D706" s="1934"/>
      <c r="E706" s="1934">
        <v>3</v>
      </c>
      <c r="F706" s="1905"/>
      <c r="G706" s="1963" t="s">
        <v>2564</v>
      </c>
      <c r="H706" s="1964" t="s">
        <v>2591</v>
      </c>
      <c r="I706" s="2310"/>
      <c r="J706" s="2534">
        <v>0</v>
      </c>
      <c r="K706" s="1615">
        <v>0</v>
      </c>
      <c r="L706" s="1636">
        <v>60000</v>
      </c>
      <c r="M706" s="1636"/>
      <c r="N706" s="1615"/>
      <c r="O706" s="1635"/>
      <c r="P706" s="1965" t="s">
        <v>2566</v>
      </c>
      <c r="Q706" s="1966" t="s">
        <v>2571</v>
      </c>
    </row>
    <row r="707" spans="1:17" ht="12.75" customHeight="1">
      <c r="A707" s="1962"/>
      <c r="B707" s="1840"/>
      <c r="C707" s="1850" t="s">
        <v>3351</v>
      </c>
      <c r="D707" s="1934"/>
      <c r="E707" s="1934">
        <v>4</v>
      </c>
      <c r="F707" s="1905"/>
      <c r="G707" s="1963" t="s">
        <v>3203</v>
      </c>
      <c r="H707" s="1964" t="s">
        <v>2623</v>
      </c>
      <c r="I707" s="2310"/>
      <c r="J707" s="2534">
        <v>0</v>
      </c>
      <c r="K707" s="1615">
        <v>0</v>
      </c>
      <c r="L707" s="1636">
        <v>0</v>
      </c>
      <c r="M707" s="1636"/>
      <c r="N707" s="1615"/>
      <c r="O707" s="1635"/>
      <c r="P707" s="1965" t="s">
        <v>2566</v>
      </c>
      <c r="Q707" s="1966" t="s">
        <v>2571</v>
      </c>
    </row>
    <row r="708" spans="1:17" ht="12.75" customHeight="1">
      <c r="A708" s="1962"/>
      <c r="B708" s="1840"/>
      <c r="C708" s="1850" t="s">
        <v>3352</v>
      </c>
      <c r="D708" s="1934"/>
      <c r="E708" s="1934">
        <v>4</v>
      </c>
      <c r="F708" s="1905"/>
      <c r="G708" s="1963" t="s">
        <v>3203</v>
      </c>
      <c r="H708" s="1964" t="s">
        <v>2623</v>
      </c>
      <c r="I708" s="2310"/>
      <c r="J708" s="2534">
        <v>0</v>
      </c>
      <c r="K708" s="1615">
        <v>0</v>
      </c>
      <c r="L708" s="1636">
        <v>0</v>
      </c>
      <c r="M708" s="1636"/>
      <c r="N708" s="1615"/>
      <c r="O708" s="1635"/>
      <c r="P708" s="1965" t="s">
        <v>2566</v>
      </c>
      <c r="Q708" s="1966" t="s">
        <v>2587</v>
      </c>
    </row>
    <row r="709" spans="1:17" ht="12.75" customHeight="1">
      <c r="A709" s="1962"/>
      <c r="B709" s="1840"/>
      <c r="C709" s="1850" t="s">
        <v>3353</v>
      </c>
      <c r="D709" s="1934"/>
      <c r="E709" s="1934">
        <v>4</v>
      </c>
      <c r="F709" s="1905"/>
      <c r="G709" s="1963" t="s">
        <v>2573</v>
      </c>
      <c r="H709" s="1964" t="s">
        <v>3353</v>
      </c>
      <c r="I709" s="2310"/>
      <c r="J709" s="2534">
        <v>0</v>
      </c>
      <c r="K709" s="1615">
        <v>0</v>
      </c>
      <c r="L709" s="1636">
        <v>3000</v>
      </c>
      <c r="M709" s="1636"/>
      <c r="N709" s="1615"/>
      <c r="O709" s="1635"/>
      <c r="P709" s="1965" t="s">
        <v>2566</v>
      </c>
      <c r="Q709" s="1966" t="s">
        <v>2571</v>
      </c>
    </row>
    <row r="710" spans="1:17" ht="12.75" customHeight="1">
      <c r="A710" s="1962"/>
      <c r="B710" s="1840"/>
      <c r="C710" s="1850" t="s">
        <v>3354</v>
      </c>
      <c r="D710" s="1934"/>
      <c r="E710" s="1934">
        <v>4</v>
      </c>
      <c r="F710" s="1905"/>
      <c r="G710" s="1963" t="s">
        <v>3203</v>
      </c>
      <c r="H710" s="1964" t="s">
        <v>3204</v>
      </c>
      <c r="I710" s="2310"/>
      <c r="J710" s="2534">
        <v>0</v>
      </c>
      <c r="K710" s="1615">
        <v>0</v>
      </c>
      <c r="L710" s="1636">
        <v>0</v>
      </c>
      <c r="M710" s="1636"/>
      <c r="N710" s="1615"/>
      <c r="O710" s="1635"/>
      <c r="P710" s="1965" t="s">
        <v>2566</v>
      </c>
      <c r="Q710" s="1966" t="s">
        <v>2587</v>
      </c>
    </row>
    <row r="711" spans="1:17" ht="12.75" customHeight="1">
      <c r="A711" s="1962"/>
      <c r="B711" s="1840"/>
      <c r="C711" s="1850" t="s">
        <v>3340</v>
      </c>
      <c r="D711" s="1934"/>
      <c r="E711" s="1934">
        <v>4</v>
      </c>
      <c r="F711" s="1905"/>
      <c r="G711" s="1963" t="s">
        <v>2569</v>
      </c>
      <c r="H711" s="1964" t="s">
        <v>3341</v>
      </c>
      <c r="I711" s="2310"/>
      <c r="J711" s="2534">
        <v>0</v>
      </c>
      <c r="K711" s="1615">
        <v>0</v>
      </c>
      <c r="L711" s="1636">
        <v>0</v>
      </c>
      <c r="M711" s="1636"/>
      <c r="N711" s="1615"/>
      <c r="O711" s="1635"/>
      <c r="P711" s="1965" t="s">
        <v>2566</v>
      </c>
      <c r="Q711" s="1966" t="s">
        <v>2571</v>
      </c>
    </row>
    <row r="712" spans="1:17" ht="12.75" customHeight="1">
      <c r="A712" s="1962"/>
      <c r="B712" s="1840"/>
      <c r="C712" s="1850" t="s">
        <v>2596</v>
      </c>
      <c r="D712" s="1934"/>
      <c r="E712" s="1934">
        <v>4</v>
      </c>
      <c r="F712" s="1905"/>
      <c r="G712" s="1963" t="s">
        <v>3203</v>
      </c>
      <c r="H712" s="1964" t="s">
        <v>3204</v>
      </c>
      <c r="I712" s="2310"/>
      <c r="J712" s="2534">
        <v>0</v>
      </c>
      <c r="K712" s="1615">
        <v>0</v>
      </c>
      <c r="L712" s="1636">
        <v>0</v>
      </c>
      <c r="M712" s="1636">
        <v>60000</v>
      </c>
      <c r="N712" s="1615">
        <v>0</v>
      </c>
      <c r="O712" s="1635">
        <v>50000</v>
      </c>
      <c r="P712" s="1965" t="s">
        <v>2566</v>
      </c>
      <c r="Q712" s="1966" t="s">
        <v>2587</v>
      </c>
    </row>
    <row r="713" spans="1:17" ht="12.75" customHeight="1">
      <c r="A713" s="1962"/>
      <c r="B713" s="1840"/>
      <c r="C713" s="1850" t="s">
        <v>4101</v>
      </c>
      <c r="D713" s="1934"/>
      <c r="E713" s="1934">
        <v>3</v>
      </c>
      <c r="F713" s="1905"/>
      <c r="G713" s="1963" t="s">
        <v>2573</v>
      </c>
      <c r="H713" s="1964" t="s">
        <v>4102</v>
      </c>
      <c r="I713" s="2310"/>
      <c r="J713" s="2534">
        <v>0</v>
      </c>
      <c r="K713" s="1615">
        <v>0</v>
      </c>
      <c r="L713" s="1636">
        <v>0</v>
      </c>
      <c r="M713" s="1636">
        <v>0</v>
      </c>
      <c r="N713" s="1615">
        <v>200000</v>
      </c>
      <c r="O713" s="1635">
        <v>100000</v>
      </c>
      <c r="P713" s="1965" t="s">
        <v>2566</v>
      </c>
      <c r="Q713" s="1966" t="s">
        <v>2587</v>
      </c>
    </row>
    <row r="714" spans="1:17" ht="12.75" customHeight="1">
      <c r="A714" s="1962"/>
      <c r="B714" s="1840"/>
      <c r="C714" s="1850" t="s">
        <v>3349</v>
      </c>
      <c r="D714" s="1934"/>
      <c r="E714" s="1934">
        <v>3</v>
      </c>
      <c r="F714" s="1905"/>
      <c r="G714" s="1963" t="s">
        <v>2573</v>
      </c>
      <c r="H714" s="1964" t="s">
        <v>3350</v>
      </c>
      <c r="I714" s="2310"/>
      <c r="J714" s="2534">
        <v>0</v>
      </c>
      <c r="K714" s="1615">
        <v>0</v>
      </c>
      <c r="L714" s="1636">
        <v>0</v>
      </c>
      <c r="M714" s="1636">
        <v>30000</v>
      </c>
      <c r="N714" s="1615">
        <v>25000</v>
      </c>
      <c r="O714" s="1635">
        <v>0</v>
      </c>
      <c r="P714" s="1965" t="s">
        <v>2566</v>
      </c>
      <c r="Q714" s="1966" t="s">
        <v>2571</v>
      </c>
    </row>
    <row r="715" spans="1:17" ht="12.75" customHeight="1">
      <c r="A715" s="1962"/>
      <c r="B715" s="1840"/>
      <c r="C715" s="1850" t="s">
        <v>2733</v>
      </c>
      <c r="D715" s="1934"/>
      <c r="E715" s="1934">
        <v>3</v>
      </c>
      <c r="F715" s="1905"/>
      <c r="G715" s="1963" t="s">
        <v>2573</v>
      </c>
      <c r="H715" s="1964" t="s">
        <v>2733</v>
      </c>
      <c r="I715" s="2310"/>
      <c r="J715" s="2534">
        <v>0</v>
      </c>
      <c r="K715" s="1615">
        <v>0</v>
      </c>
      <c r="L715" s="1636">
        <v>0</v>
      </c>
      <c r="M715" s="1636">
        <v>0</v>
      </c>
      <c r="N715" s="1615">
        <v>5000</v>
      </c>
      <c r="O715" s="1635">
        <v>0</v>
      </c>
      <c r="P715" s="1965" t="s">
        <v>2566</v>
      </c>
      <c r="Q715" s="1966" t="s">
        <v>2571</v>
      </c>
    </row>
    <row r="716" spans="1:17" ht="12.75" customHeight="1">
      <c r="A716" s="1962"/>
      <c r="B716" s="1840"/>
      <c r="C716" s="1850" t="s">
        <v>4103</v>
      </c>
      <c r="D716" s="1934"/>
      <c r="E716" s="1934">
        <v>3</v>
      </c>
      <c r="F716" s="1905"/>
      <c r="G716" s="1963" t="s">
        <v>2573</v>
      </c>
      <c r="H716" s="1964" t="s">
        <v>3138</v>
      </c>
      <c r="I716" s="2310"/>
      <c r="J716" s="2534">
        <v>0</v>
      </c>
      <c r="K716" s="1615">
        <v>0</v>
      </c>
      <c r="L716" s="1636">
        <v>0</v>
      </c>
      <c r="M716" s="1636">
        <v>0</v>
      </c>
      <c r="N716" s="1615">
        <v>60000</v>
      </c>
      <c r="O716" s="1635">
        <v>0</v>
      </c>
      <c r="P716" s="1965" t="s">
        <v>2566</v>
      </c>
      <c r="Q716" s="1966" t="s">
        <v>2571</v>
      </c>
    </row>
    <row r="717" spans="1:17" ht="12.75" customHeight="1">
      <c r="A717" s="1962"/>
      <c r="B717" s="1840"/>
      <c r="C717" s="1850" t="s">
        <v>4104</v>
      </c>
      <c r="D717" s="1934"/>
      <c r="E717" s="1934">
        <v>3</v>
      </c>
      <c r="F717" s="1905"/>
      <c r="G717" s="1963" t="s">
        <v>2573</v>
      </c>
      <c r="H717" s="1964" t="s">
        <v>2592</v>
      </c>
      <c r="I717" s="2310"/>
      <c r="J717" s="2534">
        <v>0</v>
      </c>
      <c r="K717" s="1615">
        <v>0</v>
      </c>
      <c r="L717" s="1636">
        <v>0</v>
      </c>
      <c r="M717" s="1636">
        <v>0</v>
      </c>
      <c r="N717" s="1615">
        <v>20000</v>
      </c>
      <c r="O717" s="1635">
        <v>0</v>
      </c>
      <c r="P717" s="1965" t="s">
        <v>2566</v>
      </c>
      <c r="Q717" s="1966" t="s">
        <v>2571</v>
      </c>
    </row>
    <row r="718" spans="1:17" ht="12.75" customHeight="1">
      <c r="A718" s="1962"/>
      <c r="B718" s="1840"/>
      <c r="C718" s="1850" t="s">
        <v>4105</v>
      </c>
      <c r="D718" s="1934"/>
      <c r="E718" s="1934">
        <v>3</v>
      </c>
      <c r="F718" s="1905"/>
      <c r="G718" s="1963" t="s">
        <v>2573</v>
      </c>
      <c r="H718" s="1964" t="s">
        <v>3248</v>
      </c>
      <c r="I718" s="2310"/>
      <c r="J718" s="2534">
        <v>0</v>
      </c>
      <c r="K718" s="1615">
        <v>0</v>
      </c>
      <c r="L718" s="1636">
        <v>0</v>
      </c>
      <c r="M718" s="1636">
        <v>0</v>
      </c>
      <c r="N718" s="1615">
        <v>3000</v>
      </c>
      <c r="O718" s="1635">
        <v>0</v>
      </c>
      <c r="P718" s="1965" t="s">
        <v>2566</v>
      </c>
      <c r="Q718" s="1966" t="s">
        <v>2571</v>
      </c>
    </row>
    <row r="719" spans="1:17" ht="12.75" customHeight="1">
      <c r="A719" s="1962"/>
      <c r="B719" s="1840"/>
      <c r="C719" s="1850" t="s">
        <v>4106</v>
      </c>
      <c r="D719" s="1934"/>
      <c r="E719" s="1934">
        <v>3</v>
      </c>
      <c r="F719" s="1905"/>
      <c r="G719" s="1963" t="s">
        <v>2573</v>
      </c>
      <c r="H719" s="1964" t="s">
        <v>4100</v>
      </c>
      <c r="I719" s="2310"/>
      <c r="J719" s="2534">
        <v>0</v>
      </c>
      <c r="K719" s="1615">
        <v>0</v>
      </c>
      <c r="L719" s="1636">
        <v>0</v>
      </c>
      <c r="M719" s="1636">
        <v>0</v>
      </c>
      <c r="N719" s="1615">
        <v>20000</v>
      </c>
      <c r="O719" s="1635">
        <v>0</v>
      </c>
      <c r="P719" s="1965" t="s">
        <v>2566</v>
      </c>
      <c r="Q719" s="1966" t="s">
        <v>2571</v>
      </c>
    </row>
    <row r="720" spans="1:17" ht="12.75" customHeight="1">
      <c r="A720" s="1962"/>
      <c r="B720" s="1840"/>
      <c r="C720" s="1850" t="s">
        <v>4107</v>
      </c>
      <c r="D720" s="1934"/>
      <c r="E720" s="1934">
        <v>3</v>
      </c>
      <c r="F720" s="1905"/>
      <c r="G720" s="1963" t="s">
        <v>2564</v>
      </c>
      <c r="H720" s="1964" t="s">
        <v>3255</v>
      </c>
      <c r="I720" s="2310"/>
      <c r="J720" s="2534">
        <v>0</v>
      </c>
      <c r="K720" s="1615">
        <v>0</v>
      </c>
      <c r="L720" s="1636">
        <v>0</v>
      </c>
      <c r="M720" s="1636">
        <v>0</v>
      </c>
      <c r="N720" s="1615">
        <v>10000</v>
      </c>
      <c r="O720" s="1635">
        <v>0</v>
      </c>
      <c r="P720" s="1965" t="s">
        <v>2566</v>
      </c>
      <c r="Q720" s="1966" t="s">
        <v>2571</v>
      </c>
    </row>
    <row r="721" spans="1:17" ht="12.75" customHeight="1">
      <c r="A721" s="1962"/>
      <c r="B721" s="1840"/>
      <c r="C721" s="1850" t="s">
        <v>4108</v>
      </c>
      <c r="D721" s="1934"/>
      <c r="E721" s="1934">
        <v>3</v>
      </c>
      <c r="F721" s="1905"/>
      <c r="G721" s="1963" t="s">
        <v>2573</v>
      </c>
      <c r="H721" s="1964" t="s">
        <v>4109</v>
      </c>
      <c r="I721" s="2310"/>
      <c r="J721" s="2534">
        <v>0</v>
      </c>
      <c r="K721" s="1615">
        <v>0</v>
      </c>
      <c r="L721" s="1636">
        <v>0</v>
      </c>
      <c r="M721" s="1636">
        <v>0</v>
      </c>
      <c r="N721" s="1615">
        <v>0</v>
      </c>
      <c r="O721" s="1635">
        <v>12000</v>
      </c>
      <c r="P721" s="1965" t="s">
        <v>2566</v>
      </c>
      <c r="Q721" s="1966" t="s">
        <v>2587</v>
      </c>
    </row>
    <row r="722" spans="1:17" ht="12.75" customHeight="1">
      <c r="A722" s="1962"/>
      <c r="B722" s="1840"/>
      <c r="C722" s="1850" t="s">
        <v>4110</v>
      </c>
      <c r="D722" s="1934"/>
      <c r="E722" s="1934">
        <v>3</v>
      </c>
      <c r="F722" s="1905"/>
      <c r="G722" s="1963" t="s">
        <v>2573</v>
      </c>
      <c r="H722" s="1964" t="s">
        <v>4110</v>
      </c>
      <c r="I722" s="2310"/>
      <c r="J722" s="2534">
        <v>0</v>
      </c>
      <c r="K722" s="1615">
        <v>0</v>
      </c>
      <c r="L722" s="1636">
        <v>0</v>
      </c>
      <c r="M722" s="1636">
        <v>0</v>
      </c>
      <c r="N722" s="1615">
        <v>0</v>
      </c>
      <c r="O722" s="1635">
        <v>5000</v>
      </c>
      <c r="P722" s="1965" t="s">
        <v>2566</v>
      </c>
      <c r="Q722" s="1966" t="s">
        <v>2571</v>
      </c>
    </row>
    <row r="723" spans="1:17" ht="12.75" customHeight="1">
      <c r="A723" s="1962"/>
      <c r="B723" s="1840"/>
      <c r="C723" s="1850" t="s">
        <v>2627</v>
      </c>
      <c r="D723" s="1934"/>
      <c r="E723" s="1934">
        <v>3</v>
      </c>
      <c r="F723" s="1905"/>
      <c r="G723" s="1963" t="s">
        <v>2573</v>
      </c>
      <c r="H723" s="1964" t="s">
        <v>2627</v>
      </c>
      <c r="I723" s="2310"/>
      <c r="J723" s="2534">
        <v>0</v>
      </c>
      <c r="K723" s="1615">
        <v>0</v>
      </c>
      <c r="L723" s="1636">
        <v>0</v>
      </c>
      <c r="M723" s="1636">
        <v>2200</v>
      </c>
      <c r="N723" s="1615">
        <v>0</v>
      </c>
      <c r="O723" s="1635">
        <v>0</v>
      </c>
      <c r="P723" s="1965" t="s">
        <v>2566</v>
      </c>
      <c r="Q723" s="1966" t="s">
        <v>2571</v>
      </c>
    </row>
    <row r="724" spans="1:17" ht="12.75" customHeight="1">
      <c r="A724" s="1962"/>
      <c r="B724" s="1840"/>
      <c r="C724" s="1850" t="s">
        <v>4111</v>
      </c>
      <c r="D724" s="1934"/>
      <c r="E724" s="1934">
        <v>3</v>
      </c>
      <c r="F724" s="1905"/>
      <c r="G724" s="1963" t="s">
        <v>2573</v>
      </c>
      <c r="H724" s="1964" t="s">
        <v>2593</v>
      </c>
      <c r="I724" s="2310"/>
      <c r="J724" s="2534">
        <v>0</v>
      </c>
      <c r="K724" s="1615">
        <v>0</v>
      </c>
      <c r="L724" s="1636">
        <v>0</v>
      </c>
      <c r="M724" s="1636">
        <v>0</v>
      </c>
      <c r="N724" s="1615">
        <v>0</v>
      </c>
      <c r="O724" s="1635">
        <v>20000</v>
      </c>
      <c r="P724" s="1965" t="s">
        <v>2566</v>
      </c>
      <c r="Q724" s="1966" t="s">
        <v>2571</v>
      </c>
    </row>
    <row r="725" spans="1:17" ht="12.75" customHeight="1">
      <c r="A725" s="1962"/>
      <c r="B725" s="1840"/>
      <c r="C725" s="1850" t="s">
        <v>4112</v>
      </c>
      <c r="D725" s="1934"/>
      <c r="E725" s="1934">
        <v>3</v>
      </c>
      <c r="F725" s="1905"/>
      <c r="G725" s="1963" t="s">
        <v>2564</v>
      </c>
      <c r="H725" s="1964" t="s">
        <v>2591</v>
      </c>
      <c r="I725" s="2310"/>
      <c r="J725" s="2534">
        <v>0</v>
      </c>
      <c r="K725" s="1615">
        <v>0</v>
      </c>
      <c r="L725" s="1636">
        <v>0</v>
      </c>
      <c r="M725" s="1636">
        <v>32000</v>
      </c>
      <c r="N725" s="1615">
        <v>0</v>
      </c>
      <c r="O725" s="1635">
        <v>0</v>
      </c>
      <c r="P725" s="1965" t="s">
        <v>2566</v>
      </c>
      <c r="Q725" s="1966" t="s">
        <v>2587</v>
      </c>
    </row>
    <row r="726" spans="1:17" ht="12.75" customHeight="1">
      <c r="A726" s="1962"/>
      <c r="B726" s="1840"/>
      <c r="C726" s="1850"/>
      <c r="D726" s="1934"/>
      <c r="E726" s="1934"/>
      <c r="F726" s="1905"/>
      <c r="G726" s="1963"/>
      <c r="H726" s="1964"/>
      <c r="I726" s="2310"/>
      <c r="J726" s="2534"/>
      <c r="K726" s="1615"/>
      <c r="L726" s="1636"/>
      <c r="M726" s="1636"/>
      <c r="N726" s="1615"/>
      <c r="O726" s="1635"/>
      <c r="P726" s="1965"/>
      <c r="Q726" s="1966"/>
    </row>
    <row r="727" spans="1:17" ht="12.75" customHeight="1">
      <c r="A727" s="1962"/>
      <c r="B727" s="1840"/>
      <c r="C727" s="1850"/>
      <c r="D727" s="1934"/>
      <c r="E727" s="1934"/>
      <c r="F727" s="1905"/>
      <c r="G727" s="1963"/>
      <c r="H727" s="1964"/>
      <c r="I727" s="2310"/>
      <c r="J727" s="2534"/>
      <c r="K727" s="1615"/>
      <c r="L727" s="1636"/>
      <c r="M727" s="1636"/>
      <c r="N727" s="1615"/>
      <c r="O727" s="1635"/>
      <c r="P727" s="1965"/>
      <c r="Q727" s="1966"/>
    </row>
    <row r="728" spans="1:17" ht="12.75" customHeight="1">
      <c r="A728" s="1962"/>
      <c r="B728" s="1840"/>
      <c r="C728" s="1850"/>
      <c r="D728" s="1934"/>
      <c r="E728" s="1934"/>
      <c r="F728" s="1905"/>
      <c r="G728" s="1963"/>
      <c r="H728" s="1964"/>
      <c r="I728" s="2310"/>
      <c r="J728" s="2534"/>
      <c r="K728" s="1615"/>
      <c r="L728" s="1636"/>
      <c r="M728" s="1636"/>
      <c r="N728" s="1615"/>
      <c r="O728" s="1635"/>
      <c r="P728" s="1965"/>
      <c r="Q728" s="1966"/>
    </row>
    <row r="729" spans="1:17" ht="12.75" customHeight="1">
      <c r="A729" s="1962" t="s">
        <v>4113</v>
      </c>
      <c r="B729" s="1840"/>
      <c r="C729" s="1850" t="s">
        <v>2596</v>
      </c>
      <c r="D729" s="1934"/>
      <c r="E729" s="1934">
        <v>3</v>
      </c>
      <c r="F729" s="1905"/>
      <c r="G729" s="1963" t="s">
        <v>2564</v>
      </c>
      <c r="H729" s="1964" t="s">
        <v>3204</v>
      </c>
      <c r="I729" s="2310"/>
      <c r="J729" s="2534">
        <v>0</v>
      </c>
      <c r="K729" s="1615">
        <v>0</v>
      </c>
      <c r="L729" s="1636">
        <v>0</v>
      </c>
      <c r="M729" s="1636">
        <v>50000</v>
      </c>
      <c r="N729" s="1615">
        <v>5000</v>
      </c>
      <c r="O729" s="1635">
        <v>0</v>
      </c>
      <c r="P729" s="1965" t="s">
        <v>2566</v>
      </c>
      <c r="Q729" s="1966" t="s">
        <v>2571</v>
      </c>
    </row>
    <row r="730" spans="1:17" ht="12.75" customHeight="1">
      <c r="A730" s="1962"/>
      <c r="B730" s="1840"/>
      <c r="C730" s="1850" t="s">
        <v>3349</v>
      </c>
      <c r="D730" s="1934"/>
      <c r="E730" s="1934">
        <v>3</v>
      </c>
      <c r="F730" s="1905"/>
      <c r="G730" s="1963" t="s">
        <v>2573</v>
      </c>
      <c r="H730" s="1964" t="s">
        <v>3350</v>
      </c>
      <c r="I730" s="2310"/>
      <c r="J730" s="2534">
        <v>0</v>
      </c>
      <c r="K730" s="1615">
        <v>0</v>
      </c>
      <c r="L730" s="1636">
        <v>0</v>
      </c>
      <c r="M730" s="1636">
        <v>15000</v>
      </c>
      <c r="N730" s="1615">
        <v>0</v>
      </c>
      <c r="O730" s="1635">
        <v>0</v>
      </c>
      <c r="P730" s="1965" t="s">
        <v>2566</v>
      </c>
      <c r="Q730" s="1966" t="s">
        <v>2571</v>
      </c>
    </row>
    <row r="731" spans="1:17" ht="12.75" customHeight="1">
      <c r="A731" s="1962"/>
      <c r="B731" s="1840"/>
      <c r="C731" s="1850" t="s">
        <v>2591</v>
      </c>
      <c r="D731" s="1934"/>
      <c r="E731" s="1934">
        <v>3</v>
      </c>
      <c r="F731" s="1905"/>
      <c r="G731" s="1963" t="s">
        <v>2573</v>
      </c>
      <c r="H731" s="1964" t="s">
        <v>2591</v>
      </c>
      <c r="I731" s="2310"/>
      <c r="J731" s="2534">
        <v>0</v>
      </c>
      <c r="K731" s="1615">
        <v>0</v>
      </c>
      <c r="L731" s="1636">
        <v>0</v>
      </c>
      <c r="M731" s="1636">
        <v>30000</v>
      </c>
      <c r="N731" s="1615">
        <v>20000</v>
      </c>
      <c r="O731" s="1635">
        <v>0</v>
      </c>
      <c r="P731" s="1965" t="s">
        <v>2566</v>
      </c>
      <c r="Q731" s="1966" t="s">
        <v>2571</v>
      </c>
    </row>
    <row r="732" spans="1:17" ht="12.75" customHeight="1">
      <c r="A732" s="1962"/>
      <c r="B732" s="1840"/>
      <c r="C732" s="1850" t="s">
        <v>4114</v>
      </c>
      <c r="D732" s="1934"/>
      <c r="E732" s="1934">
        <v>3</v>
      </c>
      <c r="F732" s="1905"/>
      <c r="G732" s="1963" t="s">
        <v>2573</v>
      </c>
      <c r="H732" s="1964" t="s">
        <v>4115</v>
      </c>
      <c r="I732" s="2310"/>
      <c r="J732" s="2534">
        <v>0</v>
      </c>
      <c r="K732" s="1615">
        <v>0</v>
      </c>
      <c r="L732" s="1636">
        <v>0</v>
      </c>
      <c r="M732" s="1636">
        <v>250000</v>
      </c>
      <c r="N732" s="1615">
        <v>100000</v>
      </c>
      <c r="O732" s="1635">
        <v>0</v>
      </c>
      <c r="P732" s="1965" t="s">
        <v>2566</v>
      </c>
      <c r="Q732" s="1966" t="s">
        <v>2571</v>
      </c>
    </row>
    <row r="733" spans="1:17" ht="12.75" customHeight="1">
      <c r="A733" s="1962"/>
      <c r="B733" s="1840"/>
      <c r="C733" s="1850" t="s">
        <v>2733</v>
      </c>
      <c r="D733" s="1934"/>
      <c r="E733" s="1934">
        <v>3</v>
      </c>
      <c r="F733" s="1905"/>
      <c r="G733" s="1963" t="s">
        <v>2573</v>
      </c>
      <c r="H733" s="1964" t="s">
        <v>2733</v>
      </c>
      <c r="I733" s="2310"/>
      <c r="J733" s="2534">
        <v>0</v>
      </c>
      <c r="K733" s="1615">
        <v>0</v>
      </c>
      <c r="L733" s="1636">
        <v>0</v>
      </c>
      <c r="M733" s="1636">
        <v>1000</v>
      </c>
      <c r="N733" s="1615">
        <v>0</v>
      </c>
      <c r="O733" s="1635">
        <v>0</v>
      </c>
      <c r="P733" s="1965" t="s">
        <v>2566</v>
      </c>
      <c r="Q733" s="1966" t="s">
        <v>2571</v>
      </c>
    </row>
    <row r="734" spans="1:17" ht="12.75" customHeight="1">
      <c r="A734" s="1962"/>
      <c r="B734" s="1840"/>
      <c r="C734" s="1850" t="s">
        <v>4116</v>
      </c>
      <c r="D734" s="1934"/>
      <c r="E734" s="1934">
        <v>3</v>
      </c>
      <c r="F734" s="1905"/>
      <c r="G734" s="1963" t="s">
        <v>2573</v>
      </c>
      <c r="H734" s="1964" t="s">
        <v>4116</v>
      </c>
      <c r="I734" s="2310"/>
      <c r="J734" s="2534">
        <v>0</v>
      </c>
      <c r="K734" s="1615">
        <v>0</v>
      </c>
      <c r="L734" s="1636">
        <v>0</v>
      </c>
      <c r="M734" s="1636">
        <v>100000</v>
      </c>
      <c r="N734" s="1615">
        <v>100000</v>
      </c>
      <c r="O734" s="1635">
        <v>100000</v>
      </c>
      <c r="P734" s="1965" t="s">
        <v>2566</v>
      </c>
      <c r="Q734" s="1966" t="s">
        <v>2571</v>
      </c>
    </row>
    <row r="735" spans="1:17" ht="12.75" customHeight="1">
      <c r="A735" s="1962"/>
      <c r="B735" s="1840"/>
      <c r="C735" s="1850" t="s">
        <v>4117</v>
      </c>
      <c r="D735" s="1934"/>
      <c r="E735" s="1934">
        <v>3</v>
      </c>
      <c r="F735" s="1905"/>
      <c r="G735" s="1963" t="s">
        <v>2573</v>
      </c>
      <c r="H735" s="1964" t="s">
        <v>4118</v>
      </c>
      <c r="I735" s="2310"/>
      <c r="J735" s="2534">
        <v>0</v>
      </c>
      <c r="K735" s="1615">
        <v>0</v>
      </c>
      <c r="L735" s="1636">
        <v>0</v>
      </c>
      <c r="M735" s="1636">
        <v>0</v>
      </c>
      <c r="N735" s="1615">
        <v>10000</v>
      </c>
      <c r="O735" s="1635">
        <v>0</v>
      </c>
      <c r="P735" s="1965" t="s">
        <v>2566</v>
      </c>
      <c r="Q735" s="1966" t="s">
        <v>2571</v>
      </c>
    </row>
    <row r="736" spans="1:17" ht="12.75" customHeight="1">
      <c r="A736" s="1962"/>
      <c r="B736" s="1840"/>
      <c r="C736" s="1850" t="s">
        <v>3229</v>
      </c>
      <c r="D736" s="1934"/>
      <c r="E736" s="1934">
        <v>3</v>
      </c>
      <c r="F736" s="1905"/>
      <c r="G736" s="1963" t="s">
        <v>2573</v>
      </c>
      <c r="H736" s="1964" t="s">
        <v>3229</v>
      </c>
      <c r="I736" s="2310"/>
      <c r="J736" s="2534">
        <v>0</v>
      </c>
      <c r="K736" s="1615">
        <v>0</v>
      </c>
      <c r="L736" s="1636">
        <v>0</v>
      </c>
      <c r="M736" s="1636">
        <v>0</v>
      </c>
      <c r="N736" s="1615">
        <v>3000</v>
      </c>
      <c r="O736" s="1635">
        <v>0</v>
      </c>
      <c r="P736" s="1965" t="s">
        <v>2566</v>
      </c>
      <c r="Q736" s="1966" t="s">
        <v>2571</v>
      </c>
    </row>
    <row r="737" spans="1:17" ht="12.75" customHeight="1">
      <c r="A737" s="1962"/>
      <c r="B737" s="1840"/>
      <c r="C737" s="1850" t="s">
        <v>2627</v>
      </c>
      <c r="D737" s="1934"/>
      <c r="E737" s="1934">
        <v>3</v>
      </c>
      <c r="F737" s="1905"/>
      <c r="G737" s="1963" t="s">
        <v>2573</v>
      </c>
      <c r="H737" s="1964" t="s">
        <v>2627</v>
      </c>
      <c r="I737" s="2310"/>
      <c r="J737" s="2534">
        <v>0</v>
      </c>
      <c r="K737" s="1615">
        <v>0</v>
      </c>
      <c r="L737" s="1636">
        <v>0</v>
      </c>
      <c r="M737" s="1636">
        <v>0</v>
      </c>
      <c r="N737" s="1615">
        <v>0</v>
      </c>
      <c r="O737" s="1635">
        <v>5000</v>
      </c>
      <c r="P737" s="1965" t="s">
        <v>2566</v>
      </c>
      <c r="Q737" s="1966" t="s">
        <v>2571</v>
      </c>
    </row>
    <row r="738" spans="1:17" ht="12.75" customHeight="1">
      <c r="A738" s="1962"/>
      <c r="B738" s="1840"/>
      <c r="C738" s="1850" t="s">
        <v>3353</v>
      </c>
      <c r="D738" s="1934"/>
      <c r="E738" s="1934">
        <v>3</v>
      </c>
      <c r="F738" s="1905"/>
      <c r="G738" s="1963" t="s">
        <v>2573</v>
      </c>
      <c r="H738" s="1964" t="s">
        <v>4119</v>
      </c>
      <c r="I738" s="2310"/>
      <c r="J738" s="2534">
        <v>0</v>
      </c>
      <c r="K738" s="1615">
        <v>0</v>
      </c>
      <c r="L738" s="1636">
        <v>0</v>
      </c>
      <c r="M738" s="1636">
        <v>2500</v>
      </c>
      <c r="N738" s="1615">
        <v>0</v>
      </c>
      <c r="O738" s="1635">
        <v>0</v>
      </c>
      <c r="P738" s="1965" t="s">
        <v>2566</v>
      </c>
      <c r="Q738" s="1966" t="s">
        <v>2571</v>
      </c>
    </row>
    <row r="739" spans="1:17" ht="12.75" customHeight="1">
      <c r="A739" s="1962"/>
      <c r="B739" s="1840"/>
      <c r="C739" s="1850"/>
      <c r="D739" s="1934"/>
      <c r="E739" s="1934"/>
      <c r="F739" s="1905"/>
      <c r="G739" s="1963"/>
      <c r="H739" s="1964"/>
      <c r="I739" s="2310"/>
      <c r="J739" s="2534"/>
      <c r="K739" s="1615"/>
      <c r="L739" s="1636"/>
      <c r="M739" s="1636"/>
      <c r="N739" s="1615"/>
      <c r="O739" s="1635"/>
      <c r="P739" s="1965"/>
      <c r="Q739" s="1966"/>
    </row>
    <row r="740" spans="1:17" ht="12.75" customHeight="1">
      <c r="A740" s="1962"/>
      <c r="B740" s="1840"/>
      <c r="C740" s="1850"/>
      <c r="D740" s="1934"/>
      <c r="E740" s="1934"/>
      <c r="F740" s="1905"/>
      <c r="G740" s="1963"/>
      <c r="H740" s="1964"/>
      <c r="I740" s="2310"/>
      <c r="J740" s="2534"/>
      <c r="K740" s="1615"/>
      <c r="L740" s="1636"/>
      <c r="M740" s="1636"/>
      <c r="N740" s="1615"/>
      <c r="O740" s="1635"/>
      <c r="P740" s="1965"/>
      <c r="Q740" s="1966"/>
    </row>
    <row r="741" spans="1:17" ht="12.75" customHeight="1">
      <c r="A741" s="1962"/>
      <c r="B741" s="1840"/>
      <c r="C741" s="1850"/>
      <c r="D741" s="1934"/>
      <c r="E741" s="1934"/>
      <c r="F741" s="1905"/>
      <c r="G741" s="1963"/>
      <c r="H741" s="1964"/>
      <c r="I741" s="2310"/>
      <c r="J741" s="2534"/>
      <c r="K741" s="1615"/>
      <c r="L741" s="1636"/>
      <c r="M741" s="1636"/>
      <c r="N741" s="1615"/>
      <c r="O741" s="1635"/>
      <c r="P741" s="1965"/>
      <c r="Q741" s="1966"/>
    </row>
    <row r="742" spans="1:17" ht="12.75" customHeight="1">
      <c r="A742" s="1962" t="s">
        <v>3355</v>
      </c>
      <c r="B742" s="1840"/>
      <c r="C742" s="1850" t="s">
        <v>3356</v>
      </c>
      <c r="D742" s="1934"/>
      <c r="E742" s="1934">
        <v>4</v>
      </c>
      <c r="F742" s="1905"/>
      <c r="G742" s="1963" t="s">
        <v>2573</v>
      </c>
      <c r="H742" s="1964" t="s">
        <v>3357</v>
      </c>
      <c r="I742" s="2310"/>
      <c r="J742" s="2534">
        <v>0</v>
      </c>
      <c r="K742" s="1615">
        <v>0</v>
      </c>
      <c r="L742" s="1636">
        <v>20000</v>
      </c>
      <c r="M742" s="1636"/>
      <c r="N742" s="1615"/>
      <c r="O742" s="1635"/>
      <c r="P742" s="1965" t="s">
        <v>2566</v>
      </c>
      <c r="Q742" s="1966" t="s">
        <v>2571</v>
      </c>
    </row>
    <row r="743" spans="1:17" ht="12.75" customHeight="1">
      <c r="A743" s="1962"/>
      <c r="B743" s="1840"/>
      <c r="C743" s="1850" t="s">
        <v>3358</v>
      </c>
      <c r="D743" s="1934"/>
      <c r="E743" s="1934">
        <v>4</v>
      </c>
      <c r="F743" s="1905"/>
      <c r="G743" s="1963" t="s">
        <v>2573</v>
      </c>
      <c r="H743" s="1964" t="s">
        <v>3359</v>
      </c>
      <c r="I743" s="2310"/>
      <c r="J743" s="2534">
        <v>0</v>
      </c>
      <c r="K743" s="1615">
        <v>0</v>
      </c>
      <c r="L743" s="1636">
        <v>190000</v>
      </c>
      <c r="M743" s="1636"/>
      <c r="N743" s="1615"/>
      <c r="O743" s="1635"/>
      <c r="P743" s="1965" t="s">
        <v>2566</v>
      </c>
      <c r="Q743" s="1966" t="s">
        <v>2571</v>
      </c>
    </row>
    <row r="744" spans="1:17" ht="12.75" customHeight="1">
      <c r="A744" s="1962"/>
      <c r="B744" s="1840"/>
      <c r="C744" s="1850" t="s">
        <v>3360</v>
      </c>
      <c r="D744" s="1934"/>
      <c r="E744" s="1934">
        <v>4</v>
      </c>
      <c r="F744" s="1905"/>
      <c r="G744" s="1963" t="s">
        <v>3188</v>
      </c>
      <c r="H744" s="1964" t="s">
        <v>2586</v>
      </c>
      <c r="I744" s="2310"/>
      <c r="J744" s="2534">
        <v>0</v>
      </c>
      <c r="K744" s="1615">
        <v>0</v>
      </c>
      <c r="L744" s="1636">
        <v>250000</v>
      </c>
      <c r="M744" s="1636"/>
      <c r="N744" s="1615"/>
      <c r="O744" s="1635"/>
      <c r="P744" s="1965" t="s">
        <v>2566</v>
      </c>
      <c r="Q744" s="1966" t="s">
        <v>2587</v>
      </c>
    </row>
    <row r="745" spans="1:17" ht="12.75" customHeight="1">
      <c r="A745" s="1962"/>
      <c r="B745" s="1840"/>
      <c r="C745" s="1850" t="s">
        <v>3361</v>
      </c>
      <c r="D745" s="1934"/>
      <c r="E745" s="1934">
        <v>4</v>
      </c>
      <c r="F745" s="1905"/>
      <c r="G745" s="1963" t="s">
        <v>3188</v>
      </c>
      <c r="H745" s="1964" t="s">
        <v>2586</v>
      </c>
      <c r="I745" s="2310"/>
      <c r="J745" s="2534">
        <v>0</v>
      </c>
      <c r="K745" s="1615">
        <v>0</v>
      </c>
      <c r="L745" s="1636">
        <v>400000</v>
      </c>
      <c r="M745" s="1636"/>
      <c r="N745" s="1615"/>
      <c r="O745" s="1635"/>
      <c r="P745" s="1965" t="s">
        <v>2566</v>
      </c>
      <c r="Q745" s="1966" t="s">
        <v>2587</v>
      </c>
    </row>
    <row r="746" spans="1:17" ht="12.75" customHeight="1">
      <c r="A746" s="1962"/>
      <c r="B746" s="1840"/>
      <c r="C746" s="1850" t="s">
        <v>3362</v>
      </c>
      <c r="D746" s="1934"/>
      <c r="E746" s="1934">
        <v>4</v>
      </c>
      <c r="F746" s="1905"/>
      <c r="G746" s="1963" t="s">
        <v>2569</v>
      </c>
      <c r="H746" s="1964" t="s">
        <v>2980</v>
      </c>
      <c r="I746" s="2310"/>
      <c r="J746" s="2534">
        <v>0</v>
      </c>
      <c r="K746" s="1615">
        <v>0</v>
      </c>
      <c r="L746" s="1636">
        <v>25000</v>
      </c>
      <c r="M746" s="1636"/>
      <c r="N746" s="1615"/>
      <c r="O746" s="1635"/>
      <c r="P746" s="1965" t="s">
        <v>2566</v>
      </c>
      <c r="Q746" s="1966" t="s">
        <v>2571</v>
      </c>
    </row>
    <row r="747" spans="1:17" ht="12.75" customHeight="1">
      <c r="A747" s="1962"/>
      <c r="B747" s="1840"/>
      <c r="C747" s="1850" t="s">
        <v>3363</v>
      </c>
      <c r="D747" s="1934"/>
      <c r="E747" s="1934">
        <v>4</v>
      </c>
      <c r="F747" s="1905"/>
      <c r="G747" s="1963" t="s">
        <v>3186</v>
      </c>
      <c r="H747" s="1964" t="s">
        <v>3364</v>
      </c>
      <c r="I747" s="2310"/>
      <c r="J747" s="2534">
        <v>0</v>
      </c>
      <c r="K747" s="1615">
        <v>0</v>
      </c>
      <c r="L747" s="1636">
        <v>0</v>
      </c>
      <c r="M747" s="1636"/>
      <c r="N747" s="1615"/>
      <c r="O747" s="1635"/>
      <c r="P747" s="1965" t="s">
        <v>2566</v>
      </c>
      <c r="Q747" s="1966" t="s">
        <v>2571</v>
      </c>
    </row>
    <row r="748" spans="1:17" ht="12.75" customHeight="1">
      <c r="A748" s="1962"/>
      <c r="B748" s="1840"/>
      <c r="C748" s="1850" t="s">
        <v>3365</v>
      </c>
      <c r="D748" s="1934"/>
      <c r="E748" s="1934">
        <v>7</v>
      </c>
      <c r="F748" s="1905"/>
      <c r="G748" s="1963" t="s">
        <v>3188</v>
      </c>
      <c r="H748" s="1964" t="s">
        <v>3174</v>
      </c>
      <c r="I748" s="2310"/>
      <c r="J748" s="2534">
        <v>0</v>
      </c>
      <c r="K748" s="1615">
        <v>0</v>
      </c>
      <c r="L748" s="1636">
        <v>0</v>
      </c>
      <c r="M748" s="1636"/>
      <c r="N748" s="1615">
        <v>0</v>
      </c>
      <c r="O748" s="1635">
        <v>0</v>
      </c>
      <c r="P748" s="1965" t="s">
        <v>3382</v>
      </c>
      <c r="Q748" s="1966" t="s">
        <v>2571</v>
      </c>
    </row>
    <row r="749" spans="1:17" ht="12.75" customHeight="1">
      <c r="A749" s="1962"/>
      <c r="B749" s="1840"/>
      <c r="C749" s="1850" t="s">
        <v>3366</v>
      </c>
      <c r="D749" s="1934"/>
      <c r="E749" s="1934">
        <v>7</v>
      </c>
      <c r="F749" s="1905"/>
      <c r="G749" s="1963" t="s">
        <v>3188</v>
      </c>
      <c r="H749" s="1964" t="s">
        <v>3174</v>
      </c>
      <c r="I749" s="2310"/>
      <c r="J749" s="2534">
        <v>0</v>
      </c>
      <c r="K749" s="1615">
        <v>0</v>
      </c>
      <c r="L749" s="1636">
        <v>0</v>
      </c>
      <c r="M749" s="1636"/>
      <c r="N749" s="1615">
        <v>0</v>
      </c>
      <c r="O749" s="1635">
        <v>0</v>
      </c>
      <c r="P749" s="1965" t="s">
        <v>4120</v>
      </c>
      <c r="Q749" s="1966" t="s">
        <v>2571</v>
      </c>
    </row>
    <row r="750" spans="1:17" ht="12.75" customHeight="1">
      <c r="A750" s="1962"/>
      <c r="B750" s="1840"/>
      <c r="C750" s="1850" t="s">
        <v>3367</v>
      </c>
      <c r="D750" s="1934"/>
      <c r="E750" s="1934">
        <v>4</v>
      </c>
      <c r="F750" s="1905"/>
      <c r="G750" s="1963" t="s">
        <v>3368</v>
      </c>
      <c r="H750" s="1964" t="s">
        <v>2579</v>
      </c>
      <c r="I750" s="2310"/>
      <c r="J750" s="2534">
        <v>0</v>
      </c>
      <c r="K750" s="1615">
        <v>0</v>
      </c>
      <c r="L750" s="1636">
        <v>0</v>
      </c>
      <c r="M750" s="1636"/>
      <c r="N750" s="1615"/>
      <c r="O750" s="1635"/>
      <c r="P750" s="1965" t="s">
        <v>2566</v>
      </c>
      <c r="Q750" s="1966" t="s">
        <v>2571</v>
      </c>
    </row>
    <row r="751" spans="1:17" ht="12.75" customHeight="1">
      <c r="A751" s="1962"/>
      <c r="B751" s="1840"/>
      <c r="C751" s="1850" t="s">
        <v>3369</v>
      </c>
      <c r="D751" s="1934"/>
      <c r="E751" s="1934">
        <v>4</v>
      </c>
      <c r="F751" s="1905"/>
      <c r="G751" s="1963" t="s">
        <v>3368</v>
      </c>
      <c r="H751" s="1964" t="s">
        <v>3370</v>
      </c>
      <c r="I751" s="2310"/>
      <c r="J751" s="2534">
        <v>0</v>
      </c>
      <c r="K751" s="1615">
        <v>0</v>
      </c>
      <c r="L751" s="1636">
        <v>3500000</v>
      </c>
      <c r="M751" s="1636"/>
      <c r="N751" s="1615"/>
      <c r="O751" s="1635"/>
      <c r="P751" s="1965" t="s">
        <v>2566</v>
      </c>
      <c r="Q751" s="1966" t="s">
        <v>2571</v>
      </c>
    </row>
    <row r="752" spans="1:17" ht="12.75" customHeight="1">
      <c r="A752" s="1962"/>
      <c r="B752" s="1840"/>
      <c r="C752" s="1850" t="s">
        <v>2997</v>
      </c>
      <c r="D752" s="1934"/>
      <c r="E752" s="1934">
        <v>4</v>
      </c>
      <c r="F752" s="1905"/>
      <c r="G752" s="1963" t="s">
        <v>2573</v>
      </c>
      <c r="H752" s="1964" t="s">
        <v>2997</v>
      </c>
      <c r="I752" s="2310"/>
      <c r="J752" s="2534">
        <v>0</v>
      </c>
      <c r="K752" s="1615">
        <v>0</v>
      </c>
      <c r="L752" s="1636">
        <v>100000</v>
      </c>
      <c r="M752" s="1636">
        <v>150000</v>
      </c>
      <c r="N752" s="1615">
        <v>0</v>
      </c>
      <c r="O752" s="1635">
        <v>0</v>
      </c>
      <c r="P752" s="1965" t="s">
        <v>2566</v>
      </c>
      <c r="Q752" s="1966" t="s">
        <v>2571</v>
      </c>
    </row>
    <row r="753" spans="1:17" ht="12.75" customHeight="1">
      <c r="A753" s="1962"/>
      <c r="B753" s="1840"/>
      <c r="C753" s="1850" t="s">
        <v>3371</v>
      </c>
      <c r="D753" s="1934"/>
      <c r="E753" s="1934">
        <v>7</v>
      </c>
      <c r="F753" s="1905"/>
      <c r="G753" s="1963" t="s">
        <v>2573</v>
      </c>
      <c r="H753" s="1964" t="s">
        <v>3372</v>
      </c>
      <c r="I753" s="2310"/>
      <c r="J753" s="2534">
        <v>0</v>
      </c>
      <c r="K753" s="1615">
        <v>0</v>
      </c>
      <c r="L753" s="1636">
        <v>250000</v>
      </c>
      <c r="M753" s="1636">
        <v>400000</v>
      </c>
      <c r="N753" s="1615">
        <v>0</v>
      </c>
      <c r="O753" s="1635">
        <v>0</v>
      </c>
      <c r="P753" s="1965" t="s">
        <v>2566</v>
      </c>
      <c r="Q753" s="1966" t="s">
        <v>2571</v>
      </c>
    </row>
    <row r="754" spans="1:17" ht="12.75" customHeight="1">
      <c r="A754" s="1962"/>
      <c r="B754" s="1840"/>
      <c r="C754" s="1850" t="s">
        <v>2993</v>
      </c>
      <c r="D754" s="1934"/>
      <c r="E754" s="1934">
        <v>4</v>
      </c>
      <c r="F754" s="1905"/>
      <c r="G754" s="1963" t="s">
        <v>2573</v>
      </c>
      <c r="H754" s="1964" t="s">
        <v>3373</v>
      </c>
      <c r="I754" s="2310"/>
      <c r="J754" s="2534">
        <v>0</v>
      </c>
      <c r="K754" s="1615">
        <v>0</v>
      </c>
      <c r="L754" s="1636">
        <v>100000</v>
      </c>
      <c r="M754" s="1636"/>
      <c r="N754" s="1615"/>
      <c r="O754" s="1635"/>
      <c r="P754" s="1965" t="s">
        <v>2566</v>
      </c>
      <c r="Q754" s="1966" t="s">
        <v>2587</v>
      </c>
    </row>
    <row r="755" spans="1:17" ht="12.75" customHeight="1">
      <c r="A755" s="1962"/>
      <c r="B755" s="1840"/>
      <c r="C755" s="1850" t="s">
        <v>3374</v>
      </c>
      <c r="D755" s="1934"/>
      <c r="E755" s="1934">
        <v>4</v>
      </c>
      <c r="F755" s="1905"/>
      <c r="G755" s="1963" t="s">
        <v>3188</v>
      </c>
      <c r="H755" s="1964" t="s">
        <v>2999</v>
      </c>
      <c r="I755" s="2310"/>
      <c r="J755" s="2534">
        <v>0</v>
      </c>
      <c r="K755" s="1615">
        <v>0</v>
      </c>
      <c r="L755" s="1636">
        <v>0</v>
      </c>
      <c r="M755" s="1636"/>
      <c r="N755" s="1615"/>
      <c r="O755" s="1635"/>
      <c r="P755" s="1965" t="s">
        <v>2566</v>
      </c>
      <c r="Q755" s="1966" t="s">
        <v>2571</v>
      </c>
    </row>
    <row r="756" spans="1:17" ht="12.75" customHeight="1">
      <c r="A756" s="1962"/>
      <c r="B756" s="1840"/>
      <c r="C756" s="1850" t="s">
        <v>3375</v>
      </c>
      <c r="D756" s="1934"/>
      <c r="E756" s="1934">
        <v>4</v>
      </c>
      <c r="F756" s="1905"/>
      <c r="G756" s="1963" t="s">
        <v>2573</v>
      </c>
      <c r="H756" s="1964" t="s">
        <v>3376</v>
      </c>
      <c r="I756" s="2310"/>
      <c r="J756" s="2534">
        <v>0</v>
      </c>
      <c r="K756" s="1615">
        <v>0</v>
      </c>
      <c r="L756" s="1636">
        <v>300000</v>
      </c>
      <c r="M756" s="1636"/>
      <c r="N756" s="1615"/>
      <c r="O756" s="1635"/>
      <c r="P756" s="1965" t="s">
        <v>2566</v>
      </c>
      <c r="Q756" s="1966" t="s">
        <v>2571</v>
      </c>
    </row>
    <row r="757" spans="1:17" ht="12.75" customHeight="1">
      <c r="A757" s="1962"/>
      <c r="B757" s="1840"/>
      <c r="C757" s="1850" t="s">
        <v>3377</v>
      </c>
      <c r="D757" s="1934"/>
      <c r="E757" s="1934">
        <v>4</v>
      </c>
      <c r="F757" s="1905"/>
      <c r="G757" s="1963" t="s">
        <v>2573</v>
      </c>
      <c r="H757" s="1964" t="s">
        <v>3378</v>
      </c>
      <c r="I757" s="2310"/>
      <c r="J757" s="2534">
        <v>0</v>
      </c>
      <c r="K757" s="1615">
        <v>0</v>
      </c>
      <c r="L757" s="1636">
        <v>150000</v>
      </c>
      <c r="M757" s="1636"/>
      <c r="N757" s="1615"/>
      <c r="O757" s="1635"/>
      <c r="P757" s="1965" t="s">
        <v>2566</v>
      </c>
      <c r="Q757" s="1966" t="s">
        <v>2571</v>
      </c>
    </row>
    <row r="758" spans="1:17" ht="12.75" customHeight="1">
      <c r="A758" s="1962"/>
      <c r="B758" s="1840"/>
      <c r="C758" s="1850" t="s">
        <v>3379</v>
      </c>
      <c r="D758" s="1934"/>
      <c r="E758" s="1934">
        <v>4</v>
      </c>
      <c r="F758" s="1905"/>
      <c r="G758" s="1963" t="s">
        <v>2573</v>
      </c>
      <c r="H758" s="1964" t="s">
        <v>3380</v>
      </c>
      <c r="I758" s="2310"/>
      <c r="J758" s="2534">
        <v>0</v>
      </c>
      <c r="K758" s="1615">
        <v>0</v>
      </c>
      <c r="L758" s="1636">
        <v>0</v>
      </c>
      <c r="M758" s="1636"/>
      <c r="N758" s="1615"/>
      <c r="O758" s="1635"/>
      <c r="P758" s="1965">
        <v>1</v>
      </c>
      <c r="Q758" s="1966" t="s">
        <v>2571</v>
      </c>
    </row>
    <row r="759" spans="1:17" ht="12.75" customHeight="1">
      <c r="A759" s="1962"/>
      <c r="B759" s="1840"/>
      <c r="C759" s="1850" t="s">
        <v>3381</v>
      </c>
      <c r="D759" s="1934"/>
      <c r="E759" s="1934">
        <v>4</v>
      </c>
      <c r="F759" s="1905"/>
      <c r="G759" s="1963" t="s">
        <v>2573</v>
      </c>
      <c r="H759" s="1964" t="s">
        <v>3380</v>
      </c>
      <c r="I759" s="2310"/>
      <c r="J759" s="2534">
        <v>0</v>
      </c>
      <c r="K759" s="1615">
        <v>0</v>
      </c>
      <c r="L759" s="1636">
        <v>0</v>
      </c>
      <c r="M759" s="1636"/>
      <c r="N759" s="1615"/>
      <c r="O759" s="1635"/>
      <c r="P759" s="1965" t="s">
        <v>3382</v>
      </c>
      <c r="Q759" s="1966" t="s">
        <v>2571</v>
      </c>
    </row>
    <row r="760" spans="1:17" ht="12.75" customHeight="1">
      <c r="A760" s="1962"/>
      <c r="B760" s="1840"/>
      <c r="C760" s="1850" t="s">
        <v>3383</v>
      </c>
      <c r="D760" s="1934"/>
      <c r="E760" s="1934">
        <v>4</v>
      </c>
      <c r="F760" s="1905"/>
      <c r="G760" s="1963" t="s">
        <v>3186</v>
      </c>
      <c r="H760" s="1964" t="s">
        <v>3364</v>
      </c>
      <c r="I760" s="2310"/>
      <c r="J760" s="2534">
        <v>0</v>
      </c>
      <c r="K760" s="1615">
        <v>0</v>
      </c>
      <c r="L760" s="1636">
        <v>0</v>
      </c>
      <c r="M760" s="1636"/>
      <c r="N760" s="1615"/>
      <c r="O760" s="1635"/>
      <c r="P760" s="1965">
        <v>1</v>
      </c>
      <c r="Q760" s="1966" t="s">
        <v>2571</v>
      </c>
    </row>
    <row r="761" spans="1:17" ht="12.75" customHeight="1">
      <c r="A761" s="1962"/>
      <c r="B761" s="1840"/>
      <c r="C761" s="1850" t="s">
        <v>3384</v>
      </c>
      <c r="D761" s="1934"/>
      <c r="E761" s="1934">
        <v>4</v>
      </c>
      <c r="F761" s="1905"/>
      <c r="G761" s="1963" t="s">
        <v>2573</v>
      </c>
      <c r="H761" s="1964" t="s">
        <v>3359</v>
      </c>
      <c r="I761" s="2310"/>
      <c r="J761" s="2534">
        <v>0</v>
      </c>
      <c r="K761" s="1615">
        <v>0</v>
      </c>
      <c r="L761" s="1636">
        <v>0</v>
      </c>
      <c r="M761" s="1636"/>
      <c r="N761" s="1615"/>
      <c r="O761" s="1635"/>
      <c r="P761" s="1965" t="s">
        <v>3382</v>
      </c>
      <c r="Q761" s="1966" t="s">
        <v>2571</v>
      </c>
    </row>
    <row r="762" spans="1:17" ht="12.75" customHeight="1">
      <c r="A762" s="1962"/>
      <c r="B762" s="1840"/>
      <c r="C762" s="1850" t="s">
        <v>3385</v>
      </c>
      <c r="D762" s="1934"/>
      <c r="E762" s="1934">
        <v>4</v>
      </c>
      <c r="F762" s="1905"/>
      <c r="G762" s="1963" t="s">
        <v>3188</v>
      </c>
      <c r="H762" s="1964" t="s">
        <v>2586</v>
      </c>
      <c r="I762" s="2310"/>
      <c r="J762" s="2534">
        <v>0</v>
      </c>
      <c r="K762" s="1615">
        <v>0</v>
      </c>
      <c r="L762" s="1636">
        <v>250000</v>
      </c>
      <c r="M762" s="1636"/>
      <c r="N762" s="1615"/>
      <c r="O762" s="1635"/>
      <c r="P762" s="1965" t="s">
        <v>2566</v>
      </c>
      <c r="Q762" s="1966" t="s">
        <v>2571</v>
      </c>
    </row>
    <row r="763" spans="1:17" ht="12.75" customHeight="1">
      <c r="A763" s="1962"/>
      <c r="B763" s="1840"/>
      <c r="C763" s="1850" t="s">
        <v>3386</v>
      </c>
      <c r="D763" s="1934"/>
      <c r="E763" s="1934">
        <v>4</v>
      </c>
      <c r="F763" s="1905"/>
      <c r="G763" s="1963" t="s">
        <v>3188</v>
      </c>
      <c r="H763" s="1964" t="s">
        <v>2586</v>
      </c>
      <c r="I763" s="2310"/>
      <c r="J763" s="2534">
        <v>0</v>
      </c>
      <c r="K763" s="1615">
        <v>0</v>
      </c>
      <c r="L763" s="1636">
        <v>0</v>
      </c>
      <c r="M763" s="1636"/>
      <c r="N763" s="1615"/>
      <c r="O763" s="1635"/>
      <c r="P763" s="1965" t="s">
        <v>3382</v>
      </c>
      <c r="Q763" s="1966" t="s">
        <v>2571</v>
      </c>
    </row>
    <row r="764" spans="1:17" ht="12.75" customHeight="1">
      <c r="A764" s="1962"/>
      <c r="B764" s="1840"/>
      <c r="C764" s="1850" t="s">
        <v>3387</v>
      </c>
      <c r="D764" s="1934"/>
      <c r="E764" s="1934">
        <v>4</v>
      </c>
      <c r="F764" s="1905"/>
      <c r="G764" s="1963" t="s">
        <v>2573</v>
      </c>
      <c r="H764" s="1964" t="s">
        <v>3359</v>
      </c>
      <c r="I764" s="2310"/>
      <c r="J764" s="2534">
        <v>0</v>
      </c>
      <c r="K764" s="1615">
        <v>0</v>
      </c>
      <c r="L764" s="1636">
        <v>0</v>
      </c>
      <c r="M764" s="1636"/>
      <c r="N764" s="1615"/>
      <c r="O764" s="1635"/>
      <c r="P764" s="1965">
        <v>1</v>
      </c>
      <c r="Q764" s="1966" t="s">
        <v>2571</v>
      </c>
    </row>
    <row r="765" spans="1:17" ht="12.75" customHeight="1">
      <c r="A765" s="1962"/>
      <c r="B765" s="1840"/>
      <c r="C765" s="1850" t="s">
        <v>4121</v>
      </c>
      <c r="D765" s="1934"/>
      <c r="E765" s="1934">
        <v>7</v>
      </c>
      <c r="F765" s="1905"/>
      <c r="G765" s="1963" t="s">
        <v>2573</v>
      </c>
      <c r="H765" s="1964" t="s">
        <v>4122</v>
      </c>
      <c r="I765" s="2310"/>
      <c r="J765" s="2534">
        <v>0</v>
      </c>
      <c r="K765" s="1615">
        <v>0</v>
      </c>
      <c r="L765" s="1636">
        <v>0</v>
      </c>
      <c r="M765" s="1636">
        <v>150000</v>
      </c>
      <c r="N765" s="1615">
        <v>0</v>
      </c>
      <c r="O765" s="1635">
        <v>0</v>
      </c>
      <c r="P765" s="1965" t="s">
        <v>2566</v>
      </c>
      <c r="Q765" s="1966" t="s">
        <v>2571</v>
      </c>
    </row>
    <row r="766" spans="1:17" ht="12.75" customHeight="1">
      <c r="A766" s="1962"/>
      <c r="B766" s="1840"/>
      <c r="C766" s="1850" t="s">
        <v>4123</v>
      </c>
      <c r="D766" s="1934"/>
      <c r="E766" s="1934">
        <v>7</v>
      </c>
      <c r="F766" s="1905"/>
      <c r="G766" s="1963" t="s">
        <v>2573</v>
      </c>
      <c r="H766" s="1964" t="s">
        <v>4124</v>
      </c>
      <c r="I766" s="2310"/>
      <c r="J766" s="2534">
        <v>0</v>
      </c>
      <c r="K766" s="1615">
        <v>0</v>
      </c>
      <c r="L766" s="1636">
        <v>0</v>
      </c>
      <c r="M766" s="1636">
        <v>35000</v>
      </c>
      <c r="N766" s="1615">
        <v>0</v>
      </c>
      <c r="O766" s="1635">
        <v>0</v>
      </c>
      <c r="P766" s="1965" t="s">
        <v>2566</v>
      </c>
      <c r="Q766" s="1966" t="s">
        <v>2571</v>
      </c>
    </row>
    <row r="767" spans="1:17" ht="12.75" customHeight="1">
      <c r="A767" s="1962"/>
      <c r="B767" s="1840"/>
      <c r="C767" s="1850" t="s">
        <v>4125</v>
      </c>
      <c r="D767" s="1934"/>
      <c r="E767" s="1934">
        <v>7</v>
      </c>
      <c r="F767" s="1905"/>
      <c r="G767" s="1963" t="s">
        <v>2573</v>
      </c>
      <c r="H767" s="1964" t="s">
        <v>4126</v>
      </c>
      <c r="I767" s="2310"/>
      <c r="J767" s="2534">
        <v>0</v>
      </c>
      <c r="K767" s="1615">
        <v>0</v>
      </c>
      <c r="L767" s="1636">
        <v>0</v>
      </c>
      <c r="M767" s="1636">
        <v>250000</v>
      </c>
      <c r="N767" s="1615">
        <v>0</v>
      </c>
      <c r="O767" s="1635">
        <v>0</v>
      </c>
      <c r="P767" s="1965" t="s">
        <v>2566</v>
      </c>
      <c r="Q767" s="1966" t="s">
        <v>2571</v>
      </c>
    </row>
    <row r="768" spans="1:17" ht="12.75" customHeight="1">
      <c r="A768" s="1962"/>
      <c r="B768" s="1840"/>
      <c r="C768" s="1850" t="s">
        <v>4127</v>
      </c>
      <c r="D768" s="1934"/>
      <c r="E768" s="1934">
        <v>7</v>
      </c>
      <c r="F768" s="1905"/>
      <c r="G768" s="1963" t="s">
        <v>2573</v>
      </c>
      <c r="H768" s="1964" t="s">
        <v>4128</v>
      </c>
      <c r="I768" s="2310"/>
      <c r="J768" s="2534">
        <v>0</v>
      </c>
      <c r="K768" s="1615">
        <v>0</v>
      </c>
      <c r="L768" s="1636">
        <v>0</v>
      </c>
      <c r="M768" s="1636">
        <v>350000</v>
      </c>
      <c r="N768" s="1615">
        <v>0</v>
      </c>
      <c r="O768" s="1635">
        <v>0</v>
      </c>
      <c r="P768" s="1965" t="s">
        <v>2566</v>
      </c>
      <c r="Q768" s="1966" t="s">
        <v>2571</v>
      </c>
    </row>
    <row r="769" spans="1:17" ht="12.75" customHeight="1">
      <c r="A769" s="1962"/>
      <c r="B769" s="1840"/>
      <c r="C769" s="1850" t="s">
        <v>4129</v>
      </c>
      <c r="D769" s="1934"/>
      <c r="E769" s="1934">
        <v>7</v>
      </c>
      <c r="F769" s="1905"/>
      <c r="G769" s="1963" t="s">
        <v>2573</v>
      </c>
      <c r="H769" s="1964" t="s">
        <v>4130</v>
      </c>
      <c r="I769" s="2310"/>
      <c r="J769" s="2534">
        <v>0</v>
      </c>
      <c r="K769" s="1615">
        <v>0</v>
      </c>
      <c r="L769" s="1636">
        <v>0</v>
      </c>
      <c r="M769" s="1636">
        <v>140000</v>
      </c>
      <c r="N769" s="1615">
        <v>0</v>
      </c>
      <c r="O769" s="1635">
        <v>0</v>
      </c>
      <c r="P769" s="1965" t="s">
        <v>2566</v>
      </c>
      <c r="Q769" s="1966" t="s">
        <v>2571</v>
      </c>
    </row>
    <row r="770" spans="1:17" ht="12.75" customHeight="1">
      <c r="A770" s="1962"/>
      <c r="B770" s="1840"/>
      <c r="C770" s="1850" t="s">
        <v>4131</v>
      </c>
      <c r="D770" s="1934"/>
      <c r="E770" s="1934">
        <v>7</v>
      </c>
      <c r="F770" s="1905"/>
      <c r="G770" s="1963" t="s">
        <v>2573</v>
      </c>
      <c r="H770" s="1964" t="s">
        <v>4132</v>
      </c>
      <c r="I770" s="2310"/>
      <c r="J770" s="2534">
        <v>0</v>
      </c>
      <c r="K770" s="1615">
        <v>0</v>
      </c>
      <c r="L770" s="1636">
        <v>0</v>
      </c>
      <c r="M770" s="1636">
        <v>0</v>
      </c>
      <c r="N770" s="1615">
        <v>51200</v>
      </c>
      <c r="O770" s="1635">
        <v>0</v>
      </c>
      <c r="P770" s="1965" t="s">
        <v>2566</v>
      </c>
      <c r="Q770" s="1966" t="s">
        <v>2571</v>
      </c>
    </row>
    <row r="771" spans="1:17" ht="12.75" customHeight="1">
      <c r="A771" s="1962"/>
      <c r="B771" s="1840"/>
      <c r="C771" s="1850" t="s">
        <v>4133</v>
      </c>
      <c r="D771" s="1934"/>
      <c r="E771" s="1934">
        <v>7</v>
      </c>
      <c r="F771" s="1905"/>
      <c r="G771" s="1963" t="s">
        <v>2573</v>
      </c>
      <c r="H771" s="1964" t="s">
        <v>4134</v>
      </c>
      <c r="I771" s="2310"/>
      <c r="J771" s="2534">
        <v>0</v>
      </c>
      <c r="K771" s="1615">
        <v>0</v>
      </c>
      <c r="L771" s="1636">
        <v>0</v>
      </c>
      <c r="M771" s="1636">
        <v>0</v>
      </c>
      <c r="N771" s="1615">
        <v>63000</v>
      </c>
      <c r="O771" s="1635">
        <v>0</v>
      </c>
      <c r="P771" s="1965" t="s">
        <v>2566</v>
      </c>
      <c r="Q771" s="1966" t="s">
        <v>2571</v>
      </c>
    </row>
    <row r="772" spans="1:17" ht="12.75" customHeight="1">
      <c r="A772" s="1962"/>
      <c r="B772" s="1840"/>
      <c r="C772" s="1850" t="s">
        <v>4135</v>
      </c>
      <c r="D772" s="1934"/>
      <c r="E772" s="1934">
        <v>7</v>
      </c>
      <c r="F772" s="1905"/>
      <c r="G772" s="1963" t="s">
        <v>2564</v>
      </c>
      <c r="H772" s="1964" t="s">
        <v>3284</v>
      </c>
      <c r="I772" s="2310"/>
      <c r="J772" s="2534">
        <v>0</v>
      </c>
      <c r="K772" s="1615">
        <v>0</v>
      </c>
      <c r="L772" s="1636">
        <v>0</v>
      </c>
      <c r="M772" s="1636">
        <v>0</v>
      </c>
      <c r="N772" s="1615">
        <v>90000</v>
      </c>
      <c r="O772" s="1635">
        <v>0</v>
      </c>
      <c r="P772" s="1965" t="s">
        <v>2566</v>
      </c>
      <c r="Q772" s="1966" t="s">
        <v>2571</v>
      </c>
    </row>
    <row r="773" spans="1:17" ht="12.75" customHeight="1">
      <c r="A773" s="1962"/>
      <c r="B773" s="1840"/>
      <c r="C773" s="1850" t="s">
        <v>4136</v>
      </c>
      <c r="D773" s="1934"/>
      <c r="E773" s="1934">
        <v>7</v>
      </c>
      <c r="F773" s="1905"/>
      <c r="G773" s="1963" t="s">
        <v>2573</v>
      </c>
      <c r="H773" s="1964" t="s">
        <v>3229</v>
      </c>
      <c r="I773" s="2310"/>
      <c r="J773" s="2534">
        <v>0</v>
      </c>
      <c r="K773" s="1615">
        <v>0</v>
      </c>
      <c r="L773" s="1636">
        <v>0</v>
      </c>
      <c r="M773" s="1636">
        <v>0</v>
      </c>
      <c r="N773" s="1615">
        <v>4500</v>
      </c>
      <c r="O773" s="1635">
        <v>0</v>
      </c>
      <c r="P773" s="1965" t="s">
        <v>2566</v>
      </c>
      <c r="Q773" s="1966" t="s">
        <v>2571</v>
      </c>
    </row>
    <row r="774" spans="1:17" ht="12.75" customHeight="1">
      <c r="A774" s="1962"/>
      <c r="B774" s="1840"/>
      <c r="C774" s="1850" t="s">
        <v>4077</v>
      </c>
      <c r="D774" s="1934"/>
      <c r="E774" s="1934">
        <v>2</v>
      </c>
      <c r="F774" s="1905"/>
      <c r="G774" s="1963" t="s">
        <v>2564</v>
      </c>
      <c r="H774" s="1964" t="s">
        <v>2591</v>
      </c>
      <c r="I774" s="2310"/>
      <c r="J774" s="2534">
        <v>0</v>
      </c>
      <c r="K774" s="1615">
        <v>0</v>
      </c>
      <c r="L774" s="1636">
        <v>0</v>
      </c>
      <c r="M774" s="1636">
        <v>0</v>
      </c>
      <c r="N774" s="1615">
        <v>60600</v>
      </c>
      <c r="O774" s="1635">
        <v>0</v>
      </c>
      <c r="P774" s="1965" t="s">
        <v>2566</v>
      </c>
      <c r="Q774" s="1966" t="s">
        <v>2571</v>
      </c>
    </row>
    <row r="775" spans="1:17" ht="12.75" customHeight="1">
      <c r="A775" s="1962"/>
      <c r="B775" s="1840"/>
      <c r="C775" s="1850" t="s">
        <v>2596</v>
      </c>
      <c r="D775" s="1934"/>
      <c r="E775" s="1934">
        <v>2</v>
      </c>
      <c r="F775" s="1905"/>
      <c r="G775" s="1963" t="s">
        <v>2564</v>
      </c>
      <c r="H775" s="1964" t="s">
        <v>3204</v>
      </c>
      <c r="I775" s="2310"/>
      <c r="J775" s="2534">
        <v>0</v>
      </c>
      <c r="K775" s="1615">
        <v>0</v>
      </c>
      <c r="L775" s="1636">
        <v>0</v>
      </c>
      <c r="M775" s="1636">
        <v>100000</v>
      </c>
      <c r="N775" s="1615">
        <v>0</v>
      </c>
      <c r="O775" s="1635">
        <v>0</v>
      </c>
      <c r="P775" s="1965" t="s">
        <v>2566</v>
      </c>
      <c r="Q775" s="1966" t="s">
        <v>2571</v>
      </c>
    </row>
    <row r="776" spans="1:17" ht="12.75" customHeight="1">
      <c r="A776" s="1962"/>
      <c r="B776" s="1840"/>
      <c r="C776" s="1850" t="s">
        <v>4137</v>
      </c>
      <c r="D776" s="1934"/>
      <c r="E776" s="1934">
        <v>7</v>
      </c>
      <c r="F776" s="1905"/>
      <c r="G776" s="1963" t="s">
        <v>2573</v>
      </c>
      <c r="H776" s="1964" t="s">
        <v>4122</v>
      </c>
      <c r="I776" s="2310"/>
      <c r="J776" s="2534">
        <v>0</v>
      </c>
      <c r="K776" s="1615">
        <v>0</v>
      </c>
      <c r="L776" s="1636">
        <v>0</v>
      </c>
      <c r="M776" s="1636">
        <v>0</v>
      </c>
      <c r="N776" s="1615">
        <v>50000</v>
      </c>
      <c r="O776" s="1635">
        <v>0</v>
      </c>
      <c r="P776" s="1965" t="s">
        <v>4120</v>
      </c>
      <c r="Q776" s="1966" t="s">
        <v>2571</v>
      </c>
    </row>
    <row r="777" spans="1:17" ht="12.75" customHeight="1">
      <c r="A777" s="1962"/>
      <c r="B777" s="1840"/>
      <c r="C777" s="1850" t="s">
        <v>4138</v>
      </c>
      <c r="D777" s="1934"/>
      <c r="E777" s="1934">
        <v>7</v>
      </c>
      <c r="F777" s="1905"/>
      <c r="G777" s="1963" t="s">
        <v>2573</v>
      </c>
      <c r="H777" s="1964" t="s">
        <v>4139</v>
      </c>
      <c r="I777" s="2310"/>
      <c r="J777" s="2534">
        <v>0</v>
      </c>
      <c r="K777" s="1615">
        <v>0</v>
      </c>
      <c r="L777" s="1636">
        <v>0</v>
      </c>
      <c r="M777" s="1636">
        <v>300000</v>
      </c>
      <c r="N777" s="1615">
        <v>0</v>
      </c>
      <c r="O777" s="1635">
        <v>0</v>
      </c>
      <c r="P777" s="1965" t="s">
        <v>4120</v>
      </c>
      <c r="Q777" s="1966" t="s">
        <v>2571</v>
      </c>
    </row>
    <row r="778" spans="1:17" ht="12.75" customHeight="1">
      <c r="A778" s="1962"/>
      <c r="B778" s="1840"/>
      <c r="C778" s="1850" t="s">
        <v>4140</v>
      </c>
      <c r="D778" s="1934"/>
      <c r="E778" s="1934">
        <v>7</v>
      </c>
      <c r="F778" s="1905"/>
      <c r="G778" s="1963" t="s">
        <v>2573</v>
      </c>
      <c r="H778" s="1964" t="s">
        <v>4139</v>
      </c>
      <c r="I778" s="2310"/>
      <c r="J778" s="2534">
        <v>0</v>
      </c>
      <c r="K778" s="1615">
        <v>0</v>
      </c>
      <c r="L778" s="1636">
        <v>0</v>
      </c>
      <c r="M778" s="1636">
        <v>300000</v>
      </c>
      <c r="N778" s="1615">
        <v>0</v>
      </c>
      <c r="O778" s="1635">
        <v>0</v>
      </c>
      <c r="P778" s="1965" t="s">
        <v>4141</v>
      </c>
      <c r="Q778" s="1966" t="s">
        <v>2571</v>
      </c>
    </row>
    <row r="779" spans="1:17" ht="12.75" customHeight="1">
      <c r="A779" s="1962"/>
      <c r="B779" s="1840"/>
      <c r="C779" s="1850" t="s">
        <v>4142</v>
      </c>
      <c r="D779" s="1934"/>
      <c r="E779" s="1934">
        <v>7</v>
      </c>
      <c r="F779" s="1905"/>
      <c r="G779" s="1963" t="s">
        <v>3186</v>
      </c>
      <c r="H779" s="1964" t="s">
        <v>2860</v>
      </c>
      <c r="I779" s="2310"/>
      <c r="J779" s="2534">
        <v>0</v>
      </c>
      <c r="K779" s="1615">
        <v>0</v>
      </c>
      <c r="L779" s="1636">
        <v>0</v>
      </c>
      <c r="M779" s="1636">
        <v>300000</v>
      </c>
      <c r="N779" s="1615">
        <v>0</v>
      </c>
      <c r="O779" s="1635">
        <v>0</v>
      </c>
      <c r="P779" s="1965" t="s">
        <v>4120</v>
      </c>
      <c r="Q779" s="1966" t="s">
        <v>2571</v>
      </c>
    </row>
    <row r="780" spans="1:17" ht="12.75" customHeight="1">
      <c r="A780" s="1962"/>
      <c r="B780" s="1840"/>
      <c r="C780" s="1850" t="s">
        <v>4143</v>
      </c>
      <c r="D780" s="1934"/>
      <c r="E780" s="1934">
        <v>7</v>
      </c>
      <c r="F780" s="1905"/>
      <c r="G780" s="1963" t="s">
        <v>3186</v>
      </c>
      <c r="H780" s="1964" t="s">
        <v>2860</v>
      </c>
      <c r="I780" s="2310"/>
      <c r="J780" s="2534">
        <v>0</v>
      </c>
      <c r="K780" s="1615">
        <v>0</v>
      </c>
      <c r="L780" s="1636">
        <v>0</v>
      </c>
      <c r="M780" s="1636">
        <v>300000</v>
      </c>
      <c r="N780" s="1615">
        <v>0</v>
      </c>
      <c r="O780" s="1635">
        <v>0</v>
      </c>
      <c r="P780" s="1965" t="s">
        <v>4141</v>
      </c>
      <c r="Q780" s="1966" t="s">
        <v>2571</v>
      </c>
    </row>
    <row r="781" spans="1:17" ht="12.75" customHeight="1">
      <c r="A781" s="1962"/>
      <c r="B781" s="1840"/>
      <c r="C781" s="1850" t="s">
        <v>4144</v>
      </c>
      <c r="D781" s="1934"/>
      <c r="E781" s="1934">
        <v>7</v>
      </c>
      <c r="F781" s="1905"/>
      <c r="G781" s="1963" t="s">
        <v>2573</v>
      </c>
      <c r="H781" s="1964" t="s">
        <v>3229</v>
      </c>
      <c r="I781" s="2310"/>
      <c r="J781" s="2534">
        <v>0</v>
      </c>
      <c r="K781" s="1615">
        <v>0</v>
      </c>
      <c r="L781" s="1636">
        <v>0</v>
      </c>
      <c r="M781" s="1636">
        <v>800</v>
      </c>
      <c r="N781" s="1615">
        <v>0</v>
      </c>
      <c r="O781" s="1635">
        <v>0</v>
      </c>
      <c r="P781" s="1965" t="s">
        <v>4120</v>
      </c>
      <c r="Q781" s="1966" t="s">
        <v>2571</v>
      </c>
    </row>
    <row r="782" spans="1:17" ht="12.75" customHeight="1">
      <c r="A782" s="1962"/>
      <c r="B782" s="1840"/>
      <c r="C782" s="1850" t="s">
        <v>4145</v>
      </c>
      <c r="D782" s="1934"/>
      <c r="E782" s="1934">
        <v>7</v>
      </c>
      <c r="F782" s="1905"/>
      <c r="G782" s="1963" t="s">
        <v>2573</v>
      </c>
      <c r="H782" s="1964" t="s">
        <v>2733</v>
      </c>
      <c r="I782" s="2310"/>
      <c r="J782" s="2534">
        <v>0</v>
      </c>
      <c r="K782" s="1615">
        <v>0</v>
      </c>
      <c r="L782" s="1636">
        <v>0</v>
      </c>
      <c r="M782" s="1636">
        <v>1000</v>
      </c>
      <c r="N782" s="1615">
        <v>0</v>
      </c>
      <c r="O782" s="1635">
        <v>0</v>
      </c>
      <c r="P782" s="1965" t="s">
        <v>4120</v>
      </c>
      <c r="Q782" s="1966" t="s">
        <v>2571</v>
      </c>
    </row>
    <row r="783" spans="1:17" ht="12.75" customHeight="1">
      <c r="A783" s="1962"/>
      <c r="B783" s="1840"/>
      <c r="C783" s="1850" t="s">
        <v>4146</v>
      </c>
      <c r="D783" s="1934"/>
      <c r="E783" s="1934">
        <v>7</v>
      </c>
      <c r="F783" s="1905"/>
      <c r="G783" s="1963" t="s">
        <v>2573</v>
      </c>
      <c r="H783" s="1964" t="s">
        <v>4147</v>
      </c>
      <c r="I783" s="2310"/>
      <c r="J783" s="2534">
        <v>0</v>
      </c>
      <c r="K783" s="1615">
        <v>0</v>
      </c>
      <c r="L783" s="1636">
        <v>0</v>
      </c>
      <c r="M783" s="1636">
        <v>0</v>
      </c>
      <c r="N783" s="1615">
        <v>350000</v>
      </c>
      <c r="O783" s="1635">
        <v>0</v>
      </c>
      <c r="P783" s="1965" t="s">
        <v>4120</v>
      </c>
      <c r="Q783" s="1966" t="s">
        <v>2571</v>
      </c>
    </row>
    <row r="784" spans="1:17" ht="12.75" customHeight="1">
      <c r="A784" s="1962"/>
      <c r="B784" s="1840"/>
      <c r="C784" s="1850" t="s">
        <v>4148</v>
      </c>
      <c r="D784" s="1934"/>
      <c r="E784" s="1934">
        <v>7</v>
      </c>
      <c r="F784" s="1905"/>
      <c r="G784" s="1963" t="s">
        <v>2573</v>
      </c>
      <c r="H784" s="1964" t="s">
        <v>4147</v>
      </c>
      <c r="I784" s="2310"/>
      <c r="J784" s="2534">
        <v>0</v>
      </c>
      <c r="K784" s="1615">
        <v>0</v>
      </c>
      <c r="L784" s="1636">
        <v>0</v>
      </c>
      <c r="M784" s="1636">
        <v>0</v>
      </c>
      <c r="N784" s="1615">
        <v>350000</v>
      </c>
      <c r="O784" s="1635">
        <v>0</v>
      </c>
      <c r="P784" s="1965" t="s">
        <v>4141</v>
      </c>
      <c r="Q784" s="1966" t="s">
        <v>2571</v>
      </c>
    </row>
    <row r="785" spans="1:17" ht="12.75" customHeight="1">
      <c r="A785" s="1962"/>
      <c r="B785" s="1840"/>
      <c r="C785" s="1850" t="s">
        <v>4149</v>
      </c>
      <c r="D785" s="1934"/>
      <c r="E785" s="1934">
        <v>7</v>
      </c>
      <c r="F785" s="1905"/>
      <c r="G785" s="1963" t="s">
        <v>2573</v>
      </c>
      <c r="H785" s="1964" t="s">
        <v>4150</v>
      </c>
      <c r="I785" s="2310"/>
      <c r="J785" s="2534">
        <v>0</v>
      </c>
      <c r="K785" s="1615">
        <v>0</v>
      </c>
      <c r="L785" s="1636">
        <v>0</v>
      </c>
      <c r="M785" s="1636">
        <v>300000</v>
      </c>
      <c r="N785" s="1615">
        <v>0</v>
      </c>
      <c r="O785" s="1635">
        <v>0</v>
      </c>
      <c r="P785" s="1965" t="s">
        <v>4120</v>
      </c>
      <c r="Q785" s="1966" t="s">
        <v>2571</v>
      </c>
    </row>
    <row r="786" spans="1:17" ht="12.75" customHeight="1">
      <c r="A786" s="1962"/>
      <c r="B786" s="1840"/>
      <c r="C786" s="1850" t="s">
        <v>4151</v>
      </c>
      <c r="D786" s="1934"/>
      <c r="E786" s="1934">
        <v>7</v>
      </c>
      <c r="F786" s="1905"/>
      <c r="G786" s="1963" t="s">
        <v>2573</v>
      </c>
      <c r="H786" s="1964" t="s">
        <v>4150</v>
      </c>
      <c r="I786" s="2310"/>
      <c r="J786" s="2534">
        <v>0</v>
      </c>
      <c r="K786" s="1615">
        <v>0</v>
      </c>
      <c r="L786" s="1636">
        <v>0</v>
      </c>
      <c r="M786" s="1636">
        <v>350000</v>
      </c>
      <c r="N786" s="1615">
        <v>0</v>
      </c>
      <c r="O786" s="1635">
        <v>0</v>
      </c>
      <c r="P786" s="1965" t="s">
        <v>4141</v>
      </c>
      <c r="Q786" s="1966" t="s">
        <v>2571</v>
      </c>
    </row>
    <row r="787" spans="1:17" ht="12.75" customHeight="1">
      <c r="A787" s="1962"/>
      <c r="B787" s="1840"/>
      <c r="C787" s="1850" t="s">
        <v>4152</v>
      </c>
      <c r="D787" s="1934"/>
      <c r="E787" s="1934">
        <v>1</v>
      </c>
      <c r="F787" s="1905"/>
      <c r="G787" s="1963" t="s">
        <v>2569</v>
      </c>
      <c r="H787" s="1964" t="s">
        <v>3341</v>
      </c>
      <c r="I787" s="2310"/>
      <c r="J787" s="2534">
        <v>0</v>
      </c>
      <c r="K787" s="1615">
        <v>0</v>
      </c>
      <c r="L787" s="1636">
        <v>0</v>
      </c>
      <c r="M787" s="1636">
        <v>0</v>
      </c>
      <c r="N787" s="1615">
        <v>140000</v>
      </c>
      <c r="O787" s="1635">
        <v>0</v>
      </c>
      <c r="P787" s="1965" t="s">
        <v>4120</v>
      </c>
      <c r="Q787" s="1966" t="s">
        <v>2571</v>
      </c>
    </row>
    <row r="788" spans="1:17" ht="12.75" customHeight="1">
      <c r="A788" s="1962"/>
      <c r="B788" s="1840"/>
      <c r="C788" s="1850" t="s">
        <v>4153</v>
      </c>
      <c r="D788" s="1934"/>
      <c r="E788" s="1934">
        <v>1</v>
      </c>
      <c r="F788" s="1905"/>
      <c r="G788" s="1963" t="s">
        <v>2569</v>
      </c>
      <c r="H788" s="1964" t="s">
        <v>3341</v>
      </c>
      <c r="I788" s="2310"/>
      <c r="J788" s="2534">
        <v>0</v>
      </c>
      <c r="K788" s="1615">
        <v>0</v>
      </c>
      <c r="L788" s="1636">
        <v>0</v>
      </c>
      <c r="M788" s="1636">
        <v>0</v>
      </c>
      <c r="N788" s="1615">
        <v>160000</v>
      </c>
      <c r="O788" s="1635">
        <v>0</v>
      </c>
      <c r="P788" s="1965" t="s">
        <v>4141</v>
      </c>
      <c r="Q788" s="1966" t="s">
        <v>2571</v>
      </c>
    </row>
    <row r="789" spans="1:17" ht="12.75" customHeight="1">
      <c r="A789" s="1962"/>
      <c r="B789" s="1840"/>
      <c r="C789" s="1850" t="s">
        <v>4154</v>
      </c>
      <c r="D789" s="1934"/>
      <c r="E789" s="1934">
        <v>7</v>
      </c>
      <c r="F789" s="1905"/>
      <c r="G789" s="1963" t="s">
        <v>2564</v>
      </c>
      <c r="H789" s="1964" t="s">
        <v>2591</v>
      </c>
      <c r="I789" s="2310"/>
      <c r="J789" s="2534">
        <v>0</v>
      </c>
      <c r="K789" s="1615">
        <v>0</v>
      </c>
      <c r="L789" s="1636">
        <v>0</v>
      </c>
      <c r="M789" s="1636">
        <v>35000</v>
      </c>
      <c r="N789" s="1615">
        <v>0</v>
      </c>
      <c r="O789" s="1635">
        <v>0</v>
      </c>
      <c r="P789" s="1965" t="s">
        <v>4120</v>
      </c>
      <c r="Q789" s="1966" t="s">
        <v>2571</v>
      </c>
    </row>
    <row r="790" spans="1:17" ht="12.75" customHeight="1">
      <c r="A790" s="1962"/>
      <c r="B790" s="1840"/>
      <c r="C790" s="1850" t="s">
        <v>4155</v>
      </c>
      <c r="D790" s="1934"/>
      <c r="E790" s="1934">
        <v>7</v>
      </c>
      <c r="F790" s="1905"/>
      <c r="G790" s="1963" t="s">
        <v>2564</v>
      </c>
      <c r="H790" s="1964" t="s">
        <v>2591</v>
      </c>
      <c r="I790" s="2310"/>
      <c r="J790" s="2534">
        <v>0</v>
      </c>
      <c r="K790" s="1615">
        <v>0</v>
      </c>
      <c r="L790" s="1636">
        <v>0</v>
      </c>
      <c r="M790" s="1636">
        <v>35000</v>
      </c>
      <c r="N790" s="1615">
        <v>0</v>
      </c>
      <c r="O790" s="1635">
        <v>0</v>
      </c>
      <c r="P790" s="1965" t="s">
        <v>4141</v>
      </c>
      <c r="Q790" s="1966" t="s">
        <v>2571</v>
      </c>
    </row>
    <row r="791" spans="1:17" ht="12.75" customHeight="1">
      <c r="A791" s="1962"/>
      <c r="B791" s="1840"/>
      <c r="C791" s="1850" t="s">
        <v>4156</v>
      </c>
      <c r="D791" s="1934"/>
      <c r="E791" s="1934">
        <v>7</v>
      </c>
      <c r="F791" s="1905"/>
      <c r="G791" s="1963" t="s">
        <v>2573</v>
      </c>
      <c r="H791" s="1964" t="s">
        <v>4157</v>
      </c>
      <c r="I791" s="2310"/>
      <c r="J791" s="2534">
        <v>0</v>
      </c>
      <c r="K791" s="1615">
        <v>0</v>
      </c>
      <c r="L791" s="1636">
        <v>0</v>
      </c>
      <c r="M791" s="1636">
        <v>0</v>
      </c>
      <c r="N791" s="1615">
        <v>25000</v>
      </c>
      <c r="O791" s="1635">
        <v>0</v>
      </c>
      <c r="P791" s="1965" t="s">
        <v>4120</v>
      </c>
      <c r="Q791" s="1966" t="s">
        <v>2571</v>
      </c>
    </row>
    <row r="792" spans="1:17" ht="12.75" customHeight="1">
      <c r="A792" s="1962"/>
      <c r="B792" s="1840"/>
      <c r="C792" s="1850" t="s">
        <v>4158</v>
      </c>
      <c r="D792" s="1934"/>
      <c r="E792" s="1934">
        <v>7</v>
      </c>
      <c r="F792" s="1905"/>
      <c r="G792" s="1963" t="s">
        <v>2573</v>
      </c>
      <c r="H792" s="1964" t="s">
        <v>4157</v>
      </c>
      <c r="I792" s="2310"/>
      <c r="J792" s="2534">
        <v>0</v>
      </c>
      <c r="K792" s="1615">
        <v>0</v>
      </c>
      <c r="L792" s="1636">
        <v>0</v>
      </c>
      <c r="M792" s="1636">
        <v>25000</v>
      </c>
      <c r="N792" s="1615">
        <v>0</v>
      </c>
      <c r="O792" s="1635">
        <v>0</v>
      </c>
      <c r="P792" s="1965" t="s">
        <v>4141</v>
      </c>
      <c r="Q792" s="1966" t="s">
        <v>2571</v>
      </c>
    </row>
    <row r="793" spans="1:17" ht="12.75" customHeight="1">
      <c r="A793" s="1962"/>
      <c r="B793" s="1840"/>
      <c r="C793" s="1850" t="s">
        <v>4159</v>
      </c>
      <c r="D793" s="1934"/>
      <c r="E793" s="1934">
        <v>7</v>
      </c>
      <c r="F793" s="1905"/>
      <c r="G793" s="1963" t="s">
        <v>2569</v>
      </c>
      <c r="H793" s="1964" t="s">
        <v>4160</v>
      </c>
      <c r="I793" s="2310"/>
      <c r="J793" s="2534">
        <v>0</v>
      </c>
      <c r="K793" s="1615">
        <v>0</v>
      </c>
      <c r="L793" s="1636">
        <v>0</v>
      </c>
      <c r="M793" s="1636">
        <v>0</v>
      </c>
      <c r="N793" s="1615">
        <v>350000</v>
      </c>
      <c r="O793" s="1635">
        <v>0</v>
      </c>
      <c r="P793" s="1965" t="s">
        <v>4141</v>
      </c>
      <c r="Q793" s="1966" t="s">
        <v>2571</v>
      </c>
    </row>
    <row r="794" spans="1:17" ht="12.75" customHeight="1">
      <c r="A794" s="1962"/>
      <c r="B794" s="1840"/>
      <c r="C794" s="1850" t="s">
        <v>4161</v>
      </c>
      <c r="D794" s="1934"/>
      <c r="E794" s="1934">
        <v>7</v>
      </c>
      <c r="F794" s="1905"/>
      <c r="G794" s="1963" t="s">
        <v>2564</v>
      </c>
      <c r="H794" s="1964" t="s">
        <v>3204</v>
      </c>
      <c r="I794" s="2310"/>
      <c r="J794" s="2534">
        <v>0</v>
      </c>
      <c r="K794" s="1615">
        <v>0</v>
      </c>
      <c r="L794" s="1636">
        <v>0</v>
      </c>
      <c r="M794" s="1636">
        <v>83000</v>
      </c>
      <c r="N794" s="1615">
        <v>0</v>
      </c>
      <c r="O794" s="1635">
        <v>0</v>
      </c>
      <c r="P794" s="1965" t="s">
        <v>4120</v>
      </c>
      <c r="Q794" s="1966" t="s">
        <v>2571</v>
      </c>
    </row>
    <row r="795" spans="1:17" ht="12.75" customHeight="1">
      <c r="A795" s="1962"/>
      <c r="B795" s="1840"/>
      <c r="C795" s="1850" t="s">
        <v>4162</v>
      </c>
      <c r="D795" s="1934"/>
      <c r="E795" s="1934">
        <v>7</v>
      </c>
      <c r="F795" s="1905"/>
      <c r="G795" s="1963" t="s">
        <v>2564</v>
      </c>
      <c r="H795" s="1964" t="s">
        <v>3204</v>
      </c>
      <c r="I795" s="2310"/>
      <c r="J795" s="2534">
        <v>0</v>
      </c>
      <c r="K795" s="1615">
        <v>0</v>
      </c>
      <c r="L795" s="1636">
        <v>0</v>
      </c>
      <c r="M795" s="1636">
        <v>83000</v>
      </c>
      <c r="N795" s="1615">
        <v>0</v>
      </c>
      <c r="O795" s="1635">
        <v>0</v>
      </c>
      <c r="P795" s="1965" t="s">
        <v>4141</v>
      </c>
      <c r="Q795" s="1966" t="s">
        <v>2571</v>
      </c>
    </row>
    <row r="796" spans="1:17" ht="12.75" customHeight="1">
      <c r="A796" s="1962"/>
      <c r="B796" s="1840"/>
      <c r="C796" s="1850" t="s">
        <v>4163</v>
      </c>
      <c r="D796" s="1934"/>
      <c r="E796" s="1934">
        <v>7</v>
      </c>
      <c r="F796" s="1905"/>
      <c r="G796" s="1963" t="s">
        <v>2573</v>
      </c>
      <c r="H796" s="1964" t="s">
        <v>4164</v>
      </c>
      <c r="I796" s="2310"/>
      <c r="J796" s="2534">
        <v>0</v>
      </c>
      <c r="K796" s="1615">
        <v>0</v>
      </c>
      <c r="L796" s="1636">
        <v>0</v>
      </c>
      <c r="M796" s="1636">
        <v>0</v>
      </c>
      <c r="N796" s="1615">
        <v>500000</v>
      </c>
      <c r="O796" s="1635">
        <v>0</v>
      </c>
      <c r="P796" s="1965" t="s">
        <v>4120</v>
      </c>
      <c r="Q796" s="1966" t="s">
        <v>2571</v>
      </c>
    </row>
    <row r="797" spans="1:17" ht="12.75" customHeight="1">
      <c r="A797" s="1962"/>
      <c r="B797" s="1840"/>
      <c r="C797" s="1850" t="s">
        <v>4165</v>
      </c>
      <c r="D797" s="1934"/>
      <c r="E797" s="1934">
        <v>7</v>
      </c>
      <c r="F797" s="1905"/>
      <c r="G797" s="1963" t="s">
        <v>2573</v>
      </c>
      <c r="H797" s="1964" t="s">
        <v>4164</v>
      </c>
      <c r="I797" s="2310"/>
      <c r="J797" s="2534">
        <v>0</v>
      </c>
      <c r="K797" s="1615">
        <v>0</v>
      </c>
      <c r="L797" s="1636">
        <v>0</v>
      </c>
      <c r="M797" s="1636">
        <v>0</v>
      </c>
      <c r="N797" s="1615">
        <v>500000</v>
      </c>
      <c r="O797" s="1635"/>
      <c r="P797" s="1965" t="s">
        <v>4141</v>
      </c>
      <c r="Q797" s="1966" t="s">
        <v>2571</v>
      </c>
    </row>
    <row r="798" spans="1:17" ht="12.75" customHeight="1">
      <c r="A798" s="1962"/>
      <c r="B798" s="1840"/>
      <c r="C798" s="1850" t="s">
        <v>4166</v>
      </c>
      <c r="D798" s="1934"/>
      <c r="E798" s="1934">
        <v>7</v>
      </c>
      <c r="F798" s="1905"/>
      <c r="G798" s="1963" t="s">
        <v>2573</v>
      </c>
      <c r="H798" s="1964" t="s">
        <v>2733</v>
      </c>
      <c r="I798" s="2310"/>
      <c r="J798" s="2534">
        <v>0</v>
      </c>
      <c r="K798" s="1615">
        <v>0</v>
      </c>
      <c r="L798" s="1636">
        <v>0</v>
      </c>
      <c r="M798" s="1636">
        <v>1000</v>
      </c>
      <c r="N798" s="1615">
        <v>0</v>
      </c>
      <c r="O798" s="1635">
        <v>0</v>
      </c>
      <c r="P798" s="1965" t="s">
        <v>4141</v>
      </c>
      <c r="Q798" s="1966" t="s">
        <v>2571</v>
      </c>
    </row>
    <row r="799" spans="1:17" ht="12.75" customHeight="1">
      <c r="A799" s="1962"/>
      <c r="B799" s="1840"/>
      <c r="C799" s="1850" t="s">
        <v>4167</v>
      </c>
      <c r="D799" s="1934"/>
      <c r="E799" s="1934">
        <v>7</v>
      </c>
      <c r="F799" s="1905"/>
      <c r="G799" s="1963" t="s">
        <v>2573</v>
      </c>
      <c r="H799" s="1964" t="s">
        <v>4168</v>
      </c>
      <c r="I799" s="2310"/>
      <c r="J799" s="2534">
        <v>0</v>
      </c>
      <c r="K799" s="1615">
        <v>0</v>
      </c>
      <c r="L799" s="1636">
        <v>0</v>
      </c>
      <c r="M799" s="1636">
        <v>300000</v>
      </c>
      <c r="N799" s="1615">
        <v>0</v>
      </c>
      <c r="O799" s="1635">
        <v>0</v>
      </c>
      <c r="P799" s="1965" t="s">
        <v>2566</v>
      </c>
      <c r="Q799" s="1966" t="s">
        <v>2571</v>
      </c>
    </row>
    <row r="800" spans="1:17" ht="12.75" customHeight="1">
      <c r="A800" s="1962"/>
      <c r="B800" s="1840"/>
      <c r="C800" s="1850" t="s">
        <v>4169</v>
      </c>
      <c r="D800" s="1934"/>
      <c r="E800" s="1934">
        <v>7</v>
      </c>
      <c r="F800" s="1905"/>
      <c r="G800" s="1963" t="s">
        <v>2573</v>
      </c>
      <c r="H800" s="1964" t="s">
        <v>4168</v>
      </c>
      <c r="I800" s="2310"/>
      <c r="J800" s="2534">
        <v>0</v>
      </c>
      <c r="K800" s="1615">
        <v>0</v>
      </c>
      <c r="L800" s="1636">
        <v>0</v>
      </c>
      <c r="M800" s="1636">
        <v>300000</v>
      </c>
      <c r="N800" s="1615">
        <v>0</v>
      </c>
      <c r="O800" s="1635">
        <v>0</v>
      </c>
      <c r="P800" s="1965" t="s">
        <v>4141</v>
      </c>
      <c r="Q800" s="1966" t="s">
        <v>2571</v>
      </c>
    </row>
    <row r="801" spans="1:17" ht="12.75" customHeight="1">
      <c r="A801" s="1962"/>
      <c r="B801" s="1840"/>
      <c r="C801" s="1850" t="s">
        <v>4170</v>
      </c>
      <c r="D801" s="1934"/>
      <c r="E801" s="1934">
        <v>7</v>
      </c>
      <c r="F801" s="1905"/>
      <c r="G801" s="1963" t="s">
        <v>2573</v>
      </c>
      <c r="H801" s="1964" t="s">
        <v>2860</v>
      </c>
      <c r="I801" s="2310"/>
      <c r="J801" s="2534">
        <v>0</v>
      </c>
      <c r="K801" s="1615">
        <v>0</v>
      </c>
      <c r="L801" s="1636">
        <v>0</v>
      </c>
      <c r="M801" s="1636">
        <v>25000</v>
      </c>
      <c r="N801" s="1615">
        <v>0</v>
      </c>
      <c r="O801" s="1635">
        <v>0</v>
      </c>
      <c r="P801" s="1965" t="s">
        <v>4120</v>
      </c>
      <c r="Q801" s="1966" t="s">
        <v>2571</v>
      </c>
    </row>
    <row r="802" spans="1:17" ht="12.75" customHeight="1">
      <c r="A802" s="1962"/>
      <c r="B802" s="1840"/>
      <c r="C802" s="1850" t="s">
        <v>4171</v>
      </c>
      <c r="D802" s="1934"/>
      <c r="E802" s="1934">
        <v>7</v>
      </c>
      <c r="F802" s="1905"/>
      <c r="G802" s="1963" t="s">
        <v>3188</v>
      </c>
      <c r="H802" s="1964" t="s">
        <v>3174</v>
      </c>
      <c r="I802" s="2310"/>
      <c r="J802" s="2534">
        <v>0</v>
      </c>
      <c r="K802" s="1615">
        <v>0</v>
      </c>
      <c r="L802" s="1636">
        <v>0</v>
      </c>
      <c r="M802" s="1636">
        <v>650000</v>
      </c>
      <c r="N802" s="1615">
        <v>0</v>
      </c>
      <c r="O802" s="1635">
        <v>0</v>
      </c>
      <c r="P802" s="1965" t="s">
        <v>4120</v>
      </c>
      <c r="Q802" s="1966" t="s">
        <v>2571</v>
      </c>
    </row>
    <row r="803" spans="1:17" ht="12.75" customHeight="1">
      <c r="A803" s="1962"/>
      <c r="B803" s="1840"/>
      <c r="C803" s="1850" t="s">
        <v>4172</v>
      </c>
      <c r="D803" s="1934"/>
      <c r="E803" s="1934">
        <v>7</v>
      </c>
      <c r="F803" s="1905"/>
      <c r="G803" s="1963" t="s">
        <v>3188</v>
      </c>
      <c r="H803" s="1964" t="s">
        <v>3174</v>
      </c>
      <c r="I803" s="2310"/>
      <c r="J803" s="2534">
        <v>0</v>
      </c>
      <c r="K803" s="1615">
        <v>0</v>
      </c>
      <c r="L803" s="1636">
        <v>0</v>
      </c>
      <c r="M803" s="1636">
        <v>650000</v>
      </c>
      <c r="N803" s="1615">
        <v>0</v>
      </c>
      <c r="O803" s="1635">
        <v>0</v>
      </c>
      <c r="P803" s="1965" t="s">
        <v>4141</v>
      </c>
      <c r="Q803" s="1966" t="s">
        <v>2571</v>
      </c>
    </row>
    <row r="804" spans="1:17" ht="12.75" customHeight="1">
      <c r="A804" s="1962"/>
      <c r="B804" s="1840"/>
      <c r="C804" s="1850" t="s">
        <v>4173</v>
      </c>
      <c r="D804" s="1934"/>
      <c r="E804" s="1934">
        <v>7</v>
      </c>
      <c r="F804" s="1905"/>
      <c r="G804" s="1963" t="s">
        <v>2573</v>
      </c>
      <c r="H804" s="1964" t="s">
        <v>2860</v>
      </c>
      <c r="I804" s="2310"/>
      <c r="J804" s="2534">
        <v>0</v>
      </c>
      <c r="K804" s="1615">
        <v>0</v>
      </c>
      <c r="L804" s="1636">
        <v>0</v>
      </c>
      <c r="M804" s="1636">
        <v>25000</v>
      </c>
      <c r="N804" s="1615">
        <v>0</v>
      </c>
      <c r="O804" s="1635">
        <v>0</v>
      </c>
      <c r="P804" s="1965" t="s">
        <v>4141</v>
      </c>
      <c r="Q804" s="1966" t="s">
        <v>2571</v>
      </c>
    </row>
    <row r="805" spans="1:17" ht="12.75" customHeight="1">
      <c r="A805" s="1962"/>
      <c r="B805" s="1840"/>
      <c r="C805" s="1850" t="s">
        <v>4174</v>
      </c>
      <c r="D805" s="1934"/>
      <c r="E805" s="1934">
        <v>7</v>
      </c>
      <c r="F805" s="1905"/>
      <c r="G805" s="1963" t="s">
        <v>2573</v>
      </c>
      <c r="H805" s="1964" t="s">
        <v>4175</v>
      </c>
      <c r="I805" s="2310"/>
      <c r="J805" s="2534">
        <v>0</v>
      </c>
      <c r="K805" s="1615">
        <v>0</v>
      </c>
      <c r="L805" s="1636">
        <v>0</v>
      </c>
      <c r="M805" s="1636">
        <v>0</v>
      </c>
      <c r="N805" s="1615">
        <v>50000</v>
      </c>
      <c r="O805" s="1635">
        <v>0</v>
      </c>
      <c r="P805" s="1965" t="s">
        <v>4141</v>
      </c>
      <c r="Q805" s="1966" t="s">
        <v>2571</v>
      </c>
    </row>
    <row r="806" spans="1:17" ht="12.75" customHeight="1">
      <c r="A806" s="1962"/>
      <c r="B806" s="1840"/>
      <c r="C806" s="1850" t="s">
        <v>4176</v>
      </c>
      <c r="D806" s="1934"/>
      <c r="E806" s="1934">
        <v>7</v>
      </c>
      <c r="F806" s="1905"/>
      <c r="G806" s="1963" t="s">
        <v>2573</v>
      </c>
      <c r="H806" s="1964" t="s">
        <v>4177</v>
      </c>
      <c r="I806" s="2310"/>
      <c r="J806" s="2534">
        <v>0</v>
      </c>
      <c r="K806" s="1615">
        <v>0</v>
      </c>
      <c r="L806" s="1636">
        <v>0</v>
      </c>
      <c r="M806" s="1636"/>
      <c r="N806" s="1615">
        <v>200000</v>
      </c>
      <c r="O806" s="1635">
        <v>0</v>
      </c>
      <c r="P806" s="1965" t="s">
        <v>4120</v>
      </c>
      <c r="Q806" s="1966" t="s">
        <v>2571</v>
      </c>
    </row>
    <row r="807" spans="1:17" ht="12.75" customHeight="1">
      <c r="A807" s="1962"/>
      <c r="B807" s="1840"/>
      <c r="C807" s="1850" t="s">
        <v>4178</v>
      </c>
      <c r="D807" s="1934"/>
      <c r="E807" s="1934">
        <v>7</v>
      </c>
      <c r="F807" s="1905"/>
      <c r="G807" s="1963" t="s">
        <v>2573</v>
      </c>
      <c r="H807" s="1964" t="s">
        <v>4177</v>
      </c>
      <c r="I807" s="2310"/>
      <c r="J807" s="2534">
        <v>0</v>
      </c>
      <c r="K807" s="1615">
        <v>0</v>
      </c>
      <c r="L807" s="1636">
        <v>0</v>
      </c>
      <c r="M807" s="1636"/>
      <c r="N807" s="1615">
        <v>200000</v>
      </c>
      <c r="O807" s="1635">
        <v>0</v>
      </c>
      <c r="P807" s="1965" t="s">
        <v>2566</v>
      </c>
      <c r="Q807" s="1966" t="s">
        <v>2571</v>
      </c>
    </row>
    <row r="808" spans="1:17" ht="12.75" customHeight="1">
      <c r="A808" s="1962"/>
      <c r="B808" s="1840"/>
      <c r="C808" s="1850" t="s">
        <v>4179</v>
      </c>
      <c r="D808" s="1934"/>
      <c r="E808" s="1934">
        <v>7</v>
      </c>
      <c r="F808" s="1905"/>
      <c r="G808" s="1963" t="s">
        <v>2573</v>
      </c>
      <c r="H808" s="1964" t="s">
        <v>4180</v>
      </c>
      <c r="I808" s="2310"/>
      <c r="J808" s="2534">
        <v>0</v>
      </c>
      <c r="K808" s="1615">
        <v>0</v>
      </c>
      <c r="L808" s="1636">
        <v>0</v>
      </c>
      <c r="M808" s="1636">
        <v>180000</v>
      </c>
      <c r="N808" s="1615"/>
      <c r="O808" s="1635"/>
      <c r="P808" s="1965" t="s">
        <v>1955</v>
      </c>
      <c r="Q808" s="1966" t="s">
        <v>2571</v>
      </c>
    </row>
    <row r="809" spans="1:17" ht="12.75" customHeight="1">
      <c r="A809" s="1962"/>
      <c r="B809" s="1840"/>
      <c r="C809" s="1850" t="s">
        <v>4181</v>
      </c>
      <c r="D809" s="1934"/>
      <c r="E809" s="1934">
        <v>7</v>
      </c>
      <c r="F809" s="1905"/>
      <c r="G809" s="1963" t="s">
        <v>2573</v>
      </c>
      <c r="H809" s="1964" t="s">
        <v>4182</v>
      </c>
      <c r="I809" s="2310"/>
      <c r="J809" s="2534">
        <v>0</v>
      </c>
      <c r="K809" s="1615">
        <v>0</v>
      </c>
      <c r="L809" s="1636">
        <v>0</v>
      </c>
      <c r="M809" s="1636">
        <v>180000</v>
      </c>
      <c r="N809" s="1615">
        <v>0</v>
      </c>
      <c r="O809" s="1635">
        <v>0</v>
      </c>
      <c r="P809" s="1965" t="s">
        <v>3382</v>
      </c>
      <c r="Q809" s="1966" t="s">
        <v>2571</v>
      </c>
    </row>
    <row r="810" spans="1:17" ht="12.75" customHeight="1">
      <c r="A810" s="1962"/>
      <c r="B810" s="1840"/>
      <c r="C810" s="1850" t="s">
        <v>4183</v>
      </c>
      <c r="D810" s="1934"/>
      <c r="E810" s="1934">
        <v>7</v>
      </c>
      <c r="F810" s="1905"/>
      <c r="G810" s="1963" t="s">
        <v>2573</v>
      </c>
      <c r="H810" s="1964" t="s">
        <v>4184</v>
      </c>
      <c r="I810" s="2310"/>
      <c r="J810" s="2534">
        <v>0</v>
      </c>
      <c r="K810" s="1615">
        <v>0</v>
      </c>
      <c r="L810" s="1636">
        <v>0</v>
      </c>
      <c r="M810" s="1636">
        <v>0</v>
      </c>
      <c r="N810" s="1615">
        <v>1500000</v>
      </c>
      <c r="O810" s="1635">
        <v>0</v>
      </c>
      <c r="P810" s="1965">
        <v>1</v>
      </c>
      <c r="Q810" s="1966" t="s">
        <v>2571</v>
      </c>
    </row>
    <row r="811" spans="1:17" ht="12.75" customHeight="1">
      <c r="A811" s="1962"/>
      <c r="B811" s="1840"/>
      <c r="C811" s="1850" t="s">
        <v>4185</v>
      </c>
      <c r="D811" s="1934"/>
      <c r="E811" s="1934">
        <v>7</v>
      </c>
      <c r="F811" s="1905"/>
      <c r="G811" s="1963" t="s">
        <v>2573</v>
      </c>
      <c r="H811" s="1964" t="s">
        <v>4184</v>
      </c>
      <c r="I811" s="2310"/>
      <c r="J811" s="2534">
        <v>0</v>
      </c>
      <c r="K811" s="1615">
        <v>0</v>
      </c>
      <c r="L811" s="1636">
        <v>0</v>
      </c>
      <c r="M811" s="1636">
        <v>1500000</v>
      </c>
      <c r="N811" s="1615">
        <v>0</v>
      </c>
      <c r="O811" s="1635">
        <v>0</v>
      </c>
      <c r="P811" s="1965" t="s">
        <v>3382</v>
      </c>
      <c r="Q811" s="1966" t="s">
        <v>2571</v>
      </c>
    </row>
    <row r="812" spans="1:17" ht="12.75" customHeight="1">
      <c r="A812" s="1962"/>
      <c r="B812" s="1840"/>
      <c r="C812" s="1850" t="s">
        <v>4186</v>
      </c>
      <c r="D812" s="1934"/>
      <c r="E812" s="1934">
        <v>7</v>
      </c>
      <c r="F812" s="1905"/>
      <c r="G812" s="1963" t="s">
        <v>2569</v>
      </c>
      <c r="H812" s="1964" t="s">
        <v>4187</v>
      </c>
      <c r="I812" s="2310"/>
      <c r="J812" s="2534">
        <v>0</v>
      </c>
      <c r="K812" s="1615">
        <v>0</v>
      </c>
      <c r="L812" s="1636">
        <v>0</v>
      </c>
      <c r="M812" s="1636">
        <v>75000</v>
      </c>
      <c r="N812" s="1615">
        <v>0</v>
      </c>
      <c r="O812" s="1635">
        <v>0</v>
      </c>
      <c r="P812" s="1965" t="s">
        <v>2566</v>
      </c>
      <c r="Q812" s="1966" t="s">
        <v>2571</v>
      </c>
    </row>
    <row r="813" spans="1:17" ht="12.75" customHeight="1">
      <c r="A813" s="1962"/>
      <c r="B813" s="1840"/>
      <c r="C813" s="1850" t="s">
        <v>4188</v>
      </c>
      <c r="D813" s="1934"/>
      <c r="E813" s="1934">
        <v>7</v>
      </c>
      <c r="F813" s="1905"/>
      <c r="G813" s="1963" t="s">
        <v>2573</v>
      </c>
      <c r="H813" s="1964" t="s">
        <v>2997</v>
      </c>
      <c r="I813" s="2310"/>
      <c r="J813" s="2534">
        <v>0</v>
      </c>
      <c r="K813" s="1615">
        <v>0</v>
      </c>
      <c r="L813" s="1636">
        <v>0</v>
      </c>
      <c r="M813" s="1636">
        <v>240000</v>
      </c>
      <c r="N813" s="1615">
        <v>0</v>
      </c>
      <c r="O813" s="1635">
        <v>0</v>
      </c>
      <c r="P813" s="1965" t="s">
        <v>3382</v>
      </c>
      <c r="Q813" s="1966" t="s">
        <v>2571</v>
      </c>
    </row>
    <row r="814" spans="1:17" ht="12.75" customHeight="1">
      <c r="A814" s="1962"/>
      <c r="B814" s="1840"/>
      <c r="C814" s="1850" t="s">
        <v>4189</v>
      </c>
      <c r="D814" s="1934"/>
      <c r="E814" s="1934">
        <v>7</v>
      </c>
      <c r="F814" s="1905"/>
      <c r="G814" s="1963" t="s">
        <v>2573</v>
      </c>
      <c r="H814" s="1964" t="s">
        <v>2997</v>
      </c>
      <c r="I814" s="2310"/>
      <c r="J814" s="2534">
        <v>0</v>
      </c>
      <c r="K814" s="1615">
        <v>0</v>
      </c>
      <c r="L814" s="1636">
        <v>0</v>
      </c>
      <c r="M814" s="1636">
        <v>200000</v>
      </c>
      <c r="N814" s="1615">
        <v>0</v>
      </c>
      <c r="O814" s="1635">
        <v>0</v>
      </c>
      <c r="P814" s="1965">
        <v>1</v>
      </c>
      <c r="Q814" s="1966" t="s">
        <v>2571</v>
      </c>
    </row>
    <row r="815" spans="1:17" ht="12.75" customHeight="1">
      <c r="A815" s="1962"/>
      <c r="B815" s="1840"/>
      <c r="C815" s="1850" t="s">
        <v>4190</v>
      </c>
      <c r="D815" s="1934"/>
      <c r="E815" s="1934">
        <v>7</v>
      </c>
      <c r="F815" s="1905"/>
      <c r="G815" s="1963" t="s">
        <v>2573</v>
      </c>
      <c r="H815" s="1964" t="s">
        <v>4191</v>
      </c>
      <c r="I815" s="2310"/>
      <c r="J815" s="2534">
        <v>0</v>
      </c>
      <c r="K815" s="1615">
        <v>0</v>
      </c>
      <c r="L815" s="1636">
        <v>0</v>
      </c>
      <c r="M815" s="1636">
        <v>75000</v>
      </c>
      <c r="N815" s="1615"/>
      <c r="O815" s="1635"/>
      <c r="P815" s="1965" t="s">
        <v>2566</v>
      </c>
      <c r="Q815" s="1966" t="s">
        <v>2571</v>
      </c>
    </row>
    <row r="816" spans="1:17" ht="12.75" customHeight="1">
      <c r="A816" s="1962"/>
      <c r="B816" s="1840"/>
      <c r="C816" s="1850" t="s">
        <v>4192</v>
      </c>
      <c r="D816" s="1934"/>
      <c r="E816" s="1934">
        <v>7</v>
      </c>
      <c r="F816" s="1905"/>
      <c r="G816" s="1963" t="s">
        <v>2569</v>
      </c>
      <c r="H816" s="1964" t="s">
        <v>4193</v>
      </c>
      <c r="I816" s="2310"/>
      <c r="J816" s="2534">
        <v>0</v>
      </c>
      <c r="K816" s="1615">
        <v>0</v>
      </c>
      <c r="L816" s="1636">
        <v>0</v>
      </c>
      <c r="M816" s="1636">
        <v>60000</v>
      </c>
      <c r="N816" s="1615"/>
      <c r="O816" s="1635"/>
      <c r="P816" s="1965" t="s">
        <v>2566</v>
      </c>
      <c r="Q816" s="1966" t="s">
        <v>2571</v>
      </c>
    </row>
    <row r="817" spans="1:17" ht="12.75" customHeight="1">
      <c r="A817" s="1962"/>
      <c r="B817" s="1840"/>
      <c r="C817" s="1850"/>
      <c r="D817" s="1934"/>
      <c r="E817" s="1934"/>
      <c r="F817" s="1905"/>
      <c r="G817" s="1963"/>
      <c r="H817" s="1964"/>
      <c r="I817" s="2310"/>
      <c r="J817" s="2534"/>
      <c r="K817" s="1615"/>
      <c r="L817" s="1636"/>
      <c r="M817" s="1636"/>
      <c r="N817" s="1615"/>
      <c r="O817" s="1635"/>
      <c r="P817" s="1965"/>
      <c r="Q817" s="1966"/>
    </row>
    <row r="818" spans="1:17" ht="12.75" customHeight="1">
      <c r="A818" s="1962"/>
      <c r="B818" s="1840"/>
      <c r="C818" s="1850"/>
      <c r="D818" s="1934"/>
      <c r="E818" s="1934"/>
      <c r="F818" s="1905"/>
      <c r="G818" s="1963"/>
      <c r="H818" s="1964"/>
      <c r="I818" s="2310"/>
      <c r="J818" s="2534"/>
      <c r="K818" s="1615"/>
      <c r="L818" s="1636"/>
      <c r="M818" s="1636"/>
      <c r="N818" s="1615"/>
      <c r="O818" s="1635"/>
      <c r="P818" s="1965"/>
      <c r="Q818" s="1966"/>
    </row>
    <row r="819" spans="1:17" ht="12.75" customHeight="1">
      <c r="A819" s="1962"/>
      <c r="B819" s="1840"/>
      <c r="C819" s="1850"/>
      <c r="D819" s="1934"/>
      <c r="E819" s="1934"/>
      <c r="F819" s="1905"/>
      <c r="G819" s="1963"/>
      <c r="H819" s="1964"/>
      <c r="I819" s="2310"/>
      <c r="J819" s="2534"/>
      <c r="K819" s="1615"/>
      <c r="L819" s="1636"/>
      <c r="M819" s="1636"/>
      <c r="N819" s="1615"/>
      <c r="O819" s="1635"/>
      <c r="P819" s="1965"/>
      <c r="Q819" s="1966"/>
    </row>
    <row r="820" spans="1:17" ht="12.75" customHeight="1">
      <c r="A820" s="1962"/>
      <c r="B820" s="1840"/>
      <c r="C820" s="1850"/>
      <c r="D820" s="1934"/>
      <c r="E820" s="1934"/>
      <c r="F820" s="1905"/>
      <c r="G820" s="1963"/>
      <c r="H820" s="1964"/>
      <c r="I820" s="2310"/>
      <c r="J820" s="2534"/>
      <c r="K820" s="1615"/>
      <c r="L820" s="1636"/>
      <c r="M820" s="1636"/>
      <c r="N820" s="1615"/>
      <c r="O820" s="1635"/>
      <c r="P820" s="1965"/>
      <c r="Q820" s="1966"/>
    </row>
    <row r="821" spans="1:17" ht="12.75" customHeight="1">
      <c r="A821" s="1962"/>
      <c r="B821" s="1840"/>
      <c r="C821" s="1850"/>
      <c r="D821" s="1934"/>
      <c r="E821" s="1934"/>
      <c r="F821" s="1905"/>
      <c r="G821" s="1963"/>
      <c r="H821" s="1964"/>
      <c r="I821" s="2310"/>
      <c r="J821" s="2534"/>
      <c r="K821" s="1615"/>
      <c r="L821" s="1636"/>
      <c r="M821" s="1636"/>
      <c r="N821" s="1615"/>
      <c r="O821" s="1635"/>
      <c r="P821" s="1965"/>
      <c r="Q821" s="1966"/>
    </row>
    <row r="822" spans="1:17" ht="12.75" customHeight="1">
      <c r="A822" s="1962" t="s">
        <v>3388</v>
      </c>
      <c r="B822" s="1840"/>
      <c r="C822" s="1850" t="s">
        <v>3389</v>
      </c>
      <c r="D822" s="1934"/>
      <c r="E822" s="1934">
        <v>2</v>
      </c>
      <c r="F822" s="1905"/>
      <c r="G822" s="1963" t="s">
        <v>2564</v>
      </c>
      <c r="H822" s="1964" t="s">
        <v>2592</v>
      </c>
      <c r="I822" s="2310"/>
      <c r="J822" s="2534">
        <v>0</v>
      </c>
      <c r="K822" s="1615">
        <v>0</v>
      </c>
      <c r="L822" s="1636">
        <v>0</v>
      </c>
      <c r="M822" s="1636"/>
      <c r="N822" s="1615"/>
      <c r="O822" s="1635"/>
      <c r="P822" s="1965" t="s">
        <v>2566</v>
      </c>
      <c r="Q822" s="1966" t="s">
        <v>2571</v>
      </c>
    </row>
    <row r="823" spans="1:17" ht="12.75" customHeight="1">
      <c r="A823" s="1962"/>
      <c r="B823" s="1840"/>
      <c r="C823" s="1850" t="s">
        <v>3390</v>
      </c>
      <c r="D823" s="1934"/>
      <c r="E823" s="1934">
        <v>2</v>
      </c>
      <c r="F823" s="1905"/>
      <c r="G823" s="1963" t="s">
        <v>3203</v>
      </c>
      <c r="H823" s="1964" t="s">
        <v>3391</v>
      </c>
      <c r="I823" s="2310"/>
      <c r="J823" s="2534">
        <v>0</v>
      </c>
      <c r="K823" s="1615">
        <v>0</v>
      </c>
      <c r="L823" s="1636">
        <v>0</v>
      </c>
      <c r="M823" s="1636">
        <v>15000</v>
      </c>
      <c r="N823" s="1615">
        <v>0</v>
      </c>
      <c r="O823" s="1635">
        <v>0</v>
      </c>
      <c r="P823" s="1965" t="s">
        <v>2566</v>
      </c>
      <c r="Q823" s="1966" t="s">
        <v>2571</v>
      </c>
    </row>
    <row r="824" spans="1:17" ht="12.75" customHeight="1">
      <c r="A824" s="1962"/>
      <c r="B824" s="1840"/>
      <c r="C824" s="1850" t="s">
        <v>3392</v>
      </c>
      <c r="D824" s="1934"/>
      <c r="E824" s="1934">
        <v>2</v>
      </c>
      <c r="F824" s="1905"/>
      <c r="G824" s="1963" t="s">
        <v>2564</v>
      </c>
      <c r="H824" s="1964" t="s">
        <v>3255</v>
      </c>
      <c r="I824" s="2310"/>
      <c r="J824" s="2534">
        <v>0</v>
      </c>
      <c r="K824" s="1615">
        <v>0</v>
      </c>
      <c r="L824" s="1636">
        <v>10000</v>
      </c>
      <c r="M824" s="1636"/>
      <c r="N824" s="1615"/>
      <c r="O824" s="1635"/>
      <c r="P824" s="1965" t="s">
        <v>2566</v>
      </c>
      <c r="Q824" s="1966" t="s">
        <v>2571</v>
      </c>
    </row>
    <row r="825" spans="1:17" ht="12.75" customHeight="1">
      <c r="A825" s="1962"/>
      <c r="B825" s="1840"/>
      <c r="C825" s="1850" t="s">
        <v>4194</v>
      </c>
      <c r="D825" s="1934"/>
      <c r="E825" s="1934">
        <v>2</v>
      </c>
      <c r="F825" s="1905"/>
      <c r="G825" s="1963" t="s">
        <v>2564</v>
      </c>
      <c r="H825" s="1964" t="s">
        <v>2593</v>
      </c>
      <c r="I825" s="2310"/>
      <c r="J825" s="2534">
        <v>0</v>
      </c>
      <c r="K825" s="1615">
        <v>0</v>
      </c>
      <c r="L825" s="1636">
        <v>0</v>
      </c>
      <c r="M825" s="1636">
        <v>8000</v>
      </c>
      <c r="N825" s="1615">
        <v>0</v>
      </c>
      <c r="O825" s="1635">
        <v>0</v>
      </c>
      <c r="P825" s="1965" t="s">
        <v>2566</v>
      </c>
      <c r="Q825" s="1966" t="s">
        <v>2571</v>
      </c>
    </row>
    <row r="826" spans="1:17" ht="12.75" customHeight="1">
      <c r="A826" s="1962"/>
      <c r="B826" s="1840"/>
      <c r="C826" s="1850" t="s">
        <v>3393</v>
      </c>
      <c r="D826" s="1934"/>
      <c r="E826" s="1934">
        <v>2</v>
      </c>
      <c r="F826" s="1905"/>
      <c r="G826" s="1963" t="s">
        <v>3203</v>
      </c>
      <c r="H826" s="1964" t="s">
        <v>3293</v>
      </c>
      <c r="I826" s="2310"/>
      <c r="J826" s="2534">
        <v>0</v>
      </c>
      <c r="K826" s="1615">
        <v>0</v>
      </c>
      <c r="L826" s="1636">
        <v>0</v>
      </c>
      <c r="M826" s="1636"/>
      <c r="N826" s="1615"/>
      <c r="O826" s="1635"/>
      <c r="P826" s="1965" t="s">
        <v>2566</v>
      </c>
      <c r="Q826" s="1966" t="s">
        <v>2571</v>
      </c>
    </row>
    <row r="827" spans="1:17" ht="12.75" customHeight="1">
      <c r="A827" s="1962"/>
      <c r="B827" s="1840"/>
      <c r="C827" s="1850" t="s">
        <v>3394</v>
      </c>
      <c r="D827" s="1934"/>
      <c r="E827" s="1934">
        <v>2</v>
      </c>
      <c r="F827" s="1905"/>
      <c r="G827" s="1963" t="s">
        <v>3203</v>
      </c>
      <c r="H827" s="1964" t="s">
        <v>3391</v>
      </c>
      <c r="I827" s="2310"/>
      <c r="J827" s="2534">
        <v>0</v>
      </c>
      <c r="K827" s="1615">
        <v>0</v>
      </c>
      <c r="L827" s="1636">
        <v>0</v>
      </c>
      <c r="M827" s="1636"/>
      <c r="N827" s="1615"/>
      <c r="O827" s="1635"/>
      <c r="P827" s="1965" t="s">
        <v>2566</v>
      </c>
      <c r="Q827" s="1966" t="s">
        <v>2571</v>
      </c>
    </row>
    <row r="828" spans="1:17" ht="12.75" customHeight="1">
      <c r="A828" s="1962"/>
      <c r="B828" s="1840"/>
      <c r="C828" s="1850" t="s">
        <v>3395</v>
      </c>
      <c r="D828" s="1934"/>
      <c r="E828" s="1934">
        <v>2</v>
      </c>
      <c r="F828" s="1905"/>
      <c r="G828" s="1963" t="s">
        <v>2569</v>
      </c>
      <c r="H828" s="1964" t="s">
        <v>3396</v>
      </c>
      <c r="I828" s="2310"/>
      <c r="J828" s="2534">
        <v>0</v>
      </c>
      <c r="K828" s="1615">
        <v>0</v>
      </c>
      <c r="L828" s="1636">
        <v>0</v>
      </c>
      <c r="M828" s="1636">
        <v>5000</v>
      </c>
      <c r="N828" s="1615">
        <v>0</v>
      </c>
      <c r="O828" s="1635">
        <v>0</v>
      </c>
      <c r="P828" s="1965" t="s">
        <v>2566</v>
      </c>
      <c r="Q828" s="1966" t="s">
        <v>2571</v>
      </c>
    </row>
    <row r="829" spans="1:17" ht="12.75" customHeight="1">
      <c r="A829" s="1962"/>
      <c r="B829" s="1840"/>
      <c r="C829" s="1850" t="s">
        <v>3397</v>
      </c>
      <c r="D829" s="1934"/>
      <c r="E829" s="1934">
        <v>2</v>
      </c>
      <c r="F829" s="1905"/>
      <c r="G829" s="1963" t="s">
        <v>3203</v>
      </c>
      <c r="H829" s="1964" t="s">
        <v>3293</v>
      </c>
      <c r="I829" s="2310"/>
      <c r="J829" s="2534">
        <v>0</v>
      </c>
      <c r="K829" s="1615">
        <v>0</v>
      </c>
      <c r="L829" s="1636">
        <v>0</v>
      </c>
      <c r="M829" s="1636"/>
      <c r="N829" s="1615"/>
      <c r="O829" s="1635"/>
      <c r="P829" s="1965" t="s">
        <v>2566</v>
      </c>
      <c r="Q829" s="1966" t="s">
        <v>2571</v>
      </c>
    </row>
    <row r="830" spans="1:17" ht="12.75" customHeight="1">
      <c r="A830" s="1962"/>
      <c r="B830" s="1840"/>
      <c r="C830" s="1850" t="s">
        <v>3398</v>
      </c>
      <c r="D830" s="1934"/>
      <c r="E830" s="1934">
        <v>2</v>
      </c>
      <c r="F830" s="1905"/>
      <c r="G830" s="1963" t="s">
        <v>3203</v>
      </c>
      <c r="H830" s="1964" t="s">
        <v>2623</v>
      </c>
      <c r="I830" s="2310"/>
      <c r="J830" s="2534">
        <v>0</v>
      </c>
      <c r="K830" s="1615">
        <v>0</v>
      </c>
      <c r="L830" s="1636">
        <v>0</v>
      </c>
      <c r="M830" s="1636"/>
      <c r="N830" s="1615"/>
      <c r="O830" s="1635"/>
      <c r="P830" s="1965" t="s">
        <v>2566</v>
      </c>
      <c r="Q830" s="1966" t="s">
        <v>2571</v>
      </c>
    </row>
    <row r="831" spans="1:17" ht="12.75" customHeight="1">
      <c r="A831" s="1962"/>
      <c r="B831" s="1840"/>
      <c r="C831" s="1850" t="s">
        <v>3399</v>
      </c>
      <c r="D831" s="1934"/>
      <c r="E831" s="1934">
        <v>2</v>
      </c>
      <c r="F831" s="1905"/>
      <c r="G831" s="1963" t="s">
        <v>3203</v>
      </c>
      <c r="H831" s="1964" t="s">
        <v>2623</v>
      </c>
      <c r="I831" s="2310"/>
      <c r="J831" s="2534">
        <v>0</v>
      </c>
      <c r="K831" s="1615">
        <v>0</v>
      </c>
      <c r="L831" s="1636">
        <v>0</v>
      </c>
      <c r="M831" s="1636"/>
      <c r="N831" s="1615"/>
      <c r="O831" s="1635"/>
      <c r="P831" s="1965" t="s">
        <v>2566</v>
      </c>
      <c r="Q831" s="1966" t="s">
        <v>2571</v>
      </c>
    </row>
    <row r="832" spans="1:17" ht="12.75" customHeight="1">
      <c r="A832" s="1962"/>
      <c r="B832" s="1840"/>
      <c r="C832" s="1850" t="s">
        <v>2591</v>
      </c>
      <c r="D832" s="1934"/>
      <c r="E832" s="1934">
        <v>2</v>
      </c>
      <c r="F832" s="1905"/>
      <c r="G832" s="1963" t="s">
        <v>2564</v>
      </c>
      <c r="H832" s="1964" t="s">
        <v>2591</v>
      </c>
      <c r="I832" s="2310"/>
      <c r="J832" s="2534">
        <v>0</v>
      </c>
      <c r="K832" s="1615">
        <v>0</v>
      </c>
      <c r="L832" s="1636">
        <v>0</v>
      </c>
      <c r="M832" s="1636">
        <v>30000</v>
      </c>
      <c r="N832" s="1615"/>
      <c r="O832" s="1635"/>
      <c r="P832" s="1965" t="s">
        <v>2566</v>
      </c>
      <c r="Q832" s="1966" t="s">
        <v>2587</v>
      </c>
    </row>
    <row r="833" spans="1:17" ht="12.75" customHeight="1">
      <c r="A833" s="1962"/>
      <c r="B833" s="1840"/>
      <c r="C833" s="1850" t="s">
        <v>3400</v>
      </c>
      <c r="D833" s="1934"/>
      <c r="E833" s="1934">
        <v>2</v>
      </c>
      <c r="F833" s="1905"/>
      <c r="G833" s="1963" t="s">
        <v>2573</v>
      </c>
      <c r="H833" s="1964" t="s">
        <v>2627</v>
      </c>
      <c r="I833" s="2310"/>
      <c r="J833" s="2534">
        <v>0</v>
      </c>
      <c r="K833" s="1615">
        <v>0</v>
      </c>
      <c r="L833" s="1636">
        <v>8000</v>
      </c>
      <c r="M833" s="1636">
        <v>3000</v>
      </c>
      <c r="N833" s="1615">
        <v>0</v>
      </c>
      <c r="O833" s="1635">
        <v>0</v>
      </c>
      <c r="P833" s="1965" t="s">
        <v>2566</v>
      </c>
      <c r="Q833" s="1966" t="s">
        <v>2571</v>
      </c>
    </row>
    <row r="834" spans="1:17" ht="12.75" customHeight="1">
      <c r="A834" s="1962"/>
      <c r="B834" s="1840"/>
      <c r="C834" s="1850" t="s">
        <v>3401</v>
      </c>
      <c r="D834" s="1934"/>
      <c r="E834" s="1934">
        <v>2</v>
      </c>
      <c r="F834" s="1905"/>
      <c r="G834" s="1963" t="s">
        <v>2573</v>
      </c>
      <c r="H834" s="1964" t="s">
        <v>2600</v>
      </c>
      <c r="I834" s="2310"/>
      <c r="J834" s="2534">
        <v>0</v>
      </c>
      <c r="K834" s="1615">
        <v>0</v>
      </c>
      <c r="L834" s="1636">
        <v>1800</v>
      </c>
      <c r="M834" s="1636"/>
      <c r="N834" s="1615"/>
      <c r="O834" s="1635"/>
      <c r="P834" s="1965" t="s">
        <v>2566</v>
      </c>
      <c r="Q834" s="1966" t="s">
        <v>2571</v>
      </c>
    </row>
    <row r="835" spans="1:17" ht="12.75" customHeight="1">
      <c r="A835" s="1962"/>
      <c r="B835" s="1840"/>
      <c r="C835" s="1850" t="s">
        <v>3402</v>
      </c>
      <c r="D835" s="1934"/>
      <c r="E835" s="1934">
        <v>2</v>
      </c>
      <c r="F835" s="1905"/>
      <c r="G835" s="1963" t="s">
        <v>2573</v>
      </c>
      <c r="H835" s="1964" t="s">
        <v>3403</v>
      </c>
      <c r="I835" s="2310"/>
      <c r="J835" s="2534">
        <v>0</v>
      </c>
      <c r="K835" s="1615">
        <v>0</v>
      </c>
      <c r="L835" s="1636">
        <v>0</v>
      </c>
      <c r="M835" s="1636"/>
      <c r="N835" s="1615"/>
      <c r="O835" s="1635"/>
      <c r="P835" s="1965" t="s">
        <v>2566</v>
      </c>
      <c r="Q835" s="1966" t="s">
        <v>2571</v>
      </c>
    </row>
    <row r="836" spans="1:17" ht="12.75" customHeight="1">
      <c r="A836" s="1962"/>
      <c r="B836" s="1840"/>
      <c r="C836" s="1850" t="s">
        <v>3404</v>
      </c>
      <c r="D836" s="1934"/>
      <c r="E836" s="1934">
        <v>2</v>
      </c>
      <c r="F836" s="1905"/>
      <c r="G836" s="1963" t="s">
        <v>2573</v>
      </c>
      <c r="H836" s="1964" t="s">
        <v>3405</v>
      </c>
      <c r="I836" s="2310"/>
      <c r="J836" s="2534">
        <v>0</v>
      </c>
      <c r="K836" s="1615">
        <v>0</v>
      </c>
      <c r="L836" s="1636">
        <v>0</v>
      </c>
      <c r="M836" s="1636"/>
      <c r="N836" s="1615"/>
      <c r="O836" s="1635"/>
      <c r="P836" s="1965" t="s">
        <v>2566</v>
      </c>
      <c r="Q836" s="1966" t="s">
        <v>2571</v>
      </c>
    </row>
    <row r="837" spans="1:17" ht="12.75" customHeight="1">
      <c r="A837" s="1962"/>
      <c r="B837" s="1840"/>
      <c r="C837" s="1850" t="s">
        <v>3406</v>
      </c>
      <c r="D837" s="1934"/>
      <c r="E837" s="1934">
        <v>2</v>
      </c>
      <c r="F837" s="1905"/>
      <c r="G837" s="1963" t="s">
        <v>2569</v>
      </c>
      <c r="H837" s="1964" t="s">
        <v>3407</v>
      </c>
      <c r="I837" s="2310"/>
      <c r="J837" s="2534">
        <v>0</v>
      </c>
      <c r="K837" s="1615">
        <v>0</v>
      </c>
      <c r="L837" s="1636">
        <v>15000</v>
      </c>
      <c r="M837" s="1636"/>
      <c r="N837" s="1615"/>
      <c r="O837" s="1635"/>
      <c r="P837" s="1965" t="s">
        <v>2566</v>
      </c>
      <c r="Q837" s="1966" t="s">
        <v>2571</v>
      </c>
    </row>
    <row r="838" spans="1:17" ht="12.75" customHeight="1">
      <c r="A838" s="1962"/>
      <c r="B838" s="1840"/>
      <c r="C838" s="1850" t="s">
        <v>3408</v>
      </c>
      <c r="D838" s="1934"/>
      <c r="E838" s="1934">
        <v>2</v>
      </c>
      <c r="F838" s="1905"/>
      <c r="G838" s="1963" t="s">
        <v>2569</v>
      </c>
      <c r="H838" s="1964" t="s">
        <v>2772</v>
      </c>
      <c r="I838" s="2310"/>
      <c r="J838" s="2534">
        <v>0</v>
      </c>
      <c r="K838" s="1615">
        <v>0</v>
      </c>
      <c r="L838" s="1636">
        <v>12000</v>
      </c>
      <c r="M838" s="1636"/>
      <c r="N838" s="1615"/>
      <c r="O838" s="1635"/>
      <c r="P838" s="1965" t="s">
        <v>2566</v>
      </c>
      <c r="Q838" s="1966" t="s">
        <v>2571</v>
      </c>
    </row>
    <row r="839" spans="1:17" ht="12.75" customHeight="1">
      <c r="A839" s="1962"/>
      <c r="B839" s="1840"/>
      <c r="C839" s="1850" t="s">
        <v>3409</v>
      </c>
      <c r="D839" s="1934"/>
      <c r="E839" s="1934">
        <v>2</v>
      </c>
      <c r="F839" s="1905"/>
      <c r="G839" s="1963" t="s">
        <v>3203</v>
      </c>
      <c r="H839" s="1964" t="s">
        <v>3293</v>
      </c>
      <c r="I839" s="2310"/>
      <c r="J839" s="2534">
        <v>0</v>
      </c>
      <c r="K839" s="1615">
        <v>0</v>
      </c>
      <c r="L839" s="1636">
        <v>0</v>
      </c>
      <c r="M839" s="1636"/>
      <c r="N839" s="1615"/>
      <c r="O839" s="1635"/>
      <c r="P839" s="1965" t="s">
        <v>2566</v>
      </c>
      <c r="Q839" s="1966" t="s">
        <v>2571</v>
      </c>
    </row>
    <row r="840" spans="1:17" ht="12.75" customHeight="1">
      <c r="A840" s="1962"/>
      <c r="B840" s="1840"/>
      <c r="C840" s="1850" t="s">
        <v>4195</v>
      </c>
      <c r="D840" s="1934"/>
      <c r="E840" s="1934">
        <v>2</v>
      </c>
      <c r="F840" s="1905"/>
      <c r="G840" s="1963" t="s">
        <v>2569</v>
      </c>
      <c r="H840" s="1964" t="s">
        <v>4196</v>
      </c>
      <c r="I840" s="2310"/>
      <c r="J840" s="2534">
        <v>0</v>
      </c>
      <c r="K840" s="1615">
        <v>0</v>
      </c>
      <c r="L840" s="1636">
        <v>0</v>
      </c>
      <c r="M840" s="1636">
        <v>2000000</v>
      </c>
      <c r="N840" s="1615">
        <v>0</v>
      </c>
      <c r="O840" s="1635">
        <v>0</v>
      </c>
      <c r="P840" s="1965" t="s">
        <v>2566</v>
      </c>
      <c r="Q840" s="1966" t="s">
        <v>2571</v>
      </c>
    </row>
    <row r="841" spans="1:17" ht="12.75" customHeight="1">
      <c r="A841" s="1962"/>
      <c r="B841" s="1840"/>
      <c r="C841" s="1850" t="s">
        <v>3410</v>
      </c>
      <c r="D841" s="1934"/>
      <c r="E841" s="1934">
        <v>2</v>
      </c>
      <c r="F841" s="1905"/>
      <c r="G841" s="1963" t="s">
        <v>3203</v>
      </c>
      <c r="H841" s="1964" t="s">
        <v>3291</v>
      </c>
      <c r="I841" s="2310"/>
      <c r="J841" s="2534">
        <v>0</v>
      </c>
      <c r="K841" s="1615">
        <v>0</v>
      </c>
      <c r="L841" s="1636">
        <v>0</v>
      </c>
      <c r="M841" s="1636"/>
      <c r="N841" s="1615"/>
      <c r="O841" s="1635"/>
      <c r="P841" s="1965" t="s">
        <v>2566</v>
      </c>
      <c r="Q841" s="1966" t="s">
        <v>2571</v>
      </c>
    </row>
    <row r="842" spans="1:17" ht="12.75" customHeight="1">
      <c r="A842" s="1962"/>
      <c r="B842" s="1840"/>
      <c r="C842" s="1850" t="s">
        <v>4197</v>
      </c>
      <c r="D842" s="1934"/>
      <c r="E842" s="1934">
        <v>2</v>
      </c>
      <c r="F842" s="1905"/>
      <c r="G842" s="1963" t="s">
        <v>2564</v>
      </c>
      <c r="H842" s="1964" t="s">
        <v>2592</v>
      </c>
      <c r="I842" s="2310"/>
      <c r="J842" s="2534">
        <v>0</v>
      </c>
      <c r="K842" s="1615">
        <v>0</v>
      </c>
      <c r="L842" s="1636">
        <v>0</v>
      </c>
      <c r="M842" s="1636">
        <v>60000</v>
      </c>
      <c r="N842" s="1615">
        <v>0</v>
      </c>
      <c r="O842" s="1635">
        <v>0</v>
      </c>
      <c r="P842" s="1965" t="s">
        <v>2566</v>
      </c>
      <c r="Q842" s="1966" t="s">
        <v>2571</v>
      </c>
    </row>
    <row r="843" spans="1:17" ht="12.75" customHeight="1">
      <c r="A843" s="1962"/>
      <c r="B843" s="1840"/>
      <c r="C843" s="1850" t="s">
        <v>3411</v>
      </c>
      <c r="D843" s="1934"/>
      <c r="E843" s="1934">
        <v>2</v>
      </c>
      <c r="F843" s="1905"/>
      <c r="G843" s="1963" t="s">
        <v>3318</v>
      </c>
      <c r="H843" s="1964" t="s">
        <v>3412</v>
      </c>
      <c r="I843" s="2310"/>
      <c r="J843" s="2534">
        <v>0</v>
      </c>
      <c r="K843" s="1615">
        <v>0</v>
      </c>
      <c r="L843" s="1636">
        <v>0</v>
      </c>
      <c r="M843" s="1636"/>
      <c r="N843" s="1615"/>
      <c r="O843" s="1635"/>
      <c r="P843" s="1965" t="s">
        <v>2566</v>
      </c>
      <c r="Q843" s="1966" t="s">
        <v>2571</v>
      </c>
    </row>
    <row r="844" spans="1:17" ht="12.75" customHeight="1">
      <c r="A844" s="1962"/>
      <c r="B844" s="1840"/>
      <c r="C844" s="1850" t="s">
        <v>3413</v>
      </c>
      <c r="D844" s="1934"/>
      <c r="E844" s="1934">
        <v>2</v>
      </c>
      <c r="F844" s="1905"/>
      <c r="G844" s="1963" t="s">
        <v>2573</v>
      </c>
      <c r="H844" s="1964" t="s">
        <v>3405</v>
      </c>
      <c r="I844" s="2310"/>
      <c r="J844" s="2534">
        <v>0</v>
      </c>
      <c r="K844" s="1615">
        <v>0</v>
      </c>
      <c r="L844" s="1636">
        <v>6000000</v>
      </c>
      <c r="M844" s="1636"/>
      <c r="N844" s="1615"/>
      <c r="O844" s="1635"/>
      <c r="P844" s="1965" t="s">
        <v>2566</v>
      </c>
      <c r="Q844" s="1966" t="s">
        <v>2571</v>
      </c>
    </row>
    <row r="845" spans="1:17" ht="12.75" customHeight="1">
      <c r="A845" s="1962"/>
      <c r="B845" s="1840"/>
      <c r="C845" s="1850" t="s">
        <v>3414</v>
      </c>
      <c r="D845" s="1934"/>
      <c r="E845" s="1934">
        <v>2</v>
      </c>
      <c r="F845" s="1905"/>
      <c r="G845" s="1963" t="s">
        <v>2573</v>
      </c>
      <c r="H845" s="1964" t="s">
        <v>2687</v>
      </c>
      <c r="I845" s="2310"/>
      <c r="J845" s="2534">
        <v>0</v>
      </c>
      <c r="K845" s="1615">
        <v>0</v>
      </c>
      <c r="L845" s="1636">
        <v>5000000</v>
      </c>
      <c r="M845" s="1636"/>
      <c r="N845" s="1615"/>
      <c r="O845" s="1635"/>
      <c r="P845" s="1965" t="s">
        <v>2566</v>
      </c>
      <c r="Q845" s="1966" t="s">
        <v>2571</v>
      </c>
    </row>
    <row r="846" spans="1:17" ht="12.75" customHeight="1">
      <c r="A846" s="1962"/>
      <c r="B846" s="1840"/>
      <c r="C846" s="1850" t="s">
        <v>3415</v>
      </c>
      <c r="D846" s="1934"/>
      <c r="E846" s="1934">
        <v>2</v>
      </c>
      <c r="F846" s="1905"/>
      <c r="G846" s="1963" t="s">
        <v>2569</v>
      </c>
      <c r="H846" s="1964" t="s">
        <v>3416</v>
      </c>
      <c r="I846" s="2310"/>
      <c r="J846" s="2534">
        <v>0</v>
      </c>
      <c r="K846" s="1615">
        <v>0</v>
      </c>
      <c r="L846" s="1636">
        <v>85000</v>
      </c>
      <c r="M846" s="1636"/>
      <c r="N846" s="1615"/>
      <c r="O846" s="1635"/>
      <c r="P846" s="1965" t="s">
        <v>2566</v>
      </c>
      <c r="Q846" s="1966" t="s">
        <v>2571</v>
      </c>
    </row>
    <row r="847" spans="1:17" ht="12.75" customHeight="1">
      <c r="A847" s="1962"/>
      <c r="B847" s="1840"/>
      <c r="C847" s="1850" t="s">
        <v>4198</v>
      </c>
      <c r="D847" s="1934"/>
      <c r="E847" s="1934">
        <v>2</v>
      </c>
      <c r="F847" s="1905"/>
      <c r="G847" s="1963" t="s">
        <v>2569</v>
      </c>
      <c r="H847" s="1964" t="s">
        <v>4199</v>
      </c>
      <c r="I847" s="2310"/>
      <c r="J847" s="2534">
        <v>0</v>
      </c>
      <c r="K847" s="1615">
        <v>0</v>
      </c>
      <c r="L847" s="1636">
        <v>0</v>
      </c>
      <c r="M847" s="1636">
        <v>1000000</v>
      </c>
      <c r="N847" s="1615">
        <v>1000000</v>
      </c>
      <c r="O847" s="1635">
        <v>1500000</v>
      </c>
      <c r="P847" s="1965" t="s">
        <v>2566</v>
      </c>
      <c r="Q847" s="1966" t="s">
        <v>2571</v>
      </c>
    </row>
    <row r="848" spans="1:17" ht="12.75" customHeight="1">
      <c r="A848" s="1962"/>
      <c r="B848" s="1840"/>
      <c r="C848" s="1850" t="s">
        <v>4044</v>
      </c>
      <c r="D848" s="1934"/>
      <c r="E848" s="1934">
        <v>2</v>
      </c>
      <c r="F848" s="1905"/>
      <c r="G848" s="1963" t="s">
        <v>3203</v>
      </c>
      <c r="H848" s="1964" t="s">
        <v>3204</v>
      </c>
      <c r="I848" s="2310"/>
      <c r="J848" s="2534">
        <v>0</v>
      </c>
      <c r="K848" s="1615">
        <v>0</v>
      </c>
      <c r="L848" s="1636">
        <v>0</v>
      </c>
      <c r="M848" s="1636">
        <v>43000</v>
      </c>
      <c r="N848" s="1615">
        <v>80000</v>
      </c>
      <c r="O848" s="1635">
        <v>15000</v>
      </c>
      <c r="P848" s="1965" t="s">
        <v>2566</v>
      </c>
      <c r="Q848" s="1966" t="s">
        <v>4027</v>
      </c>
    </row>
    <row r="849" spans="1:17" ht="12.75" customHeight="1">
      <c r="A849" s="1962"/>
      <c r="B849" s="1840"/>
      <c r="C849" s="1850" t="s">
        <v>4200</v>
      </c>
      <c r="D849" s="1934"/>
      <c r="E849" s="1934">
        <v>2</v>
      </c>
      <c r="F849" s="1905"/>
      <c r="G849" s="1963" t="s">
        <v>2569</v>
      </c>
      <c r="H849" s="1964" t="s">
        <v>4201</v>
      </c>
      <c r="I849" s="2310"/>
      <c r="J849" s="2534">
        <v>0</v>
      </c>
      <c r="K849" s="1615">
        <v>0</v>
      </c>
      <c r="L849" s="1636">
        <v>0</v>
      </c>
      <c r="M849" s="1636">
        <v>0</v>
      </c>
      <c r="N849" s="1615">
        <v>1500000</v>
      </c>
      <c r="O849" s="1635">
        <v>1500000</v>
      </c>
      <c r="P849" s="1965" t="s">
        <v>2566</v>
      </c>
      <c r="Q849" s="1966" t="s">
        <v>2571</v>
      </c>
    </row>
    <row r="850" spans="1:17" ht="12.75" customHeight="1">
      <c r="A850" s="1962"/>
      <c r="B850" s="1840"/>
      <c r="C850" s="1850" t="s">
        <v>4202</v>
      </c>
      <c r="D850" s="1934"/>
      <c r="E850" s="1934">
        <v>2</v>
      </c>
      <c r="F850" s="1905"/>
      <c r="G850" s="1963" t="s">
        <v>2569</v>
      </c>
      <c r="H850" s="1964" t="s">
        <v>4203</v>
      </c>
      <c r="I850" s="2310"/>
      <c r="J850" s="2534">
        <v>0</v>
      </c>
      <c r="K850" s="1615">
        <v>0</v>
      </c>
      <c r="L850" s="1636">
        <v>0</v>
      </c>
      <c r="M850" s="1636">
        <v>2000000</v>
      </c>
      <c r="N850" s="1615">
        <v>1500000</v>
      </c>
      <c r="O850" s="1635">
        <v>1500000</v>
      </c>
      <c r="P850" s="1965" t="s">
        <v>2566</v>
      </c>
      <c r="Q850" s="1966" t="s">
        <v>2587</v>
      </c>
    </row>
    <row r="851" spans="1:17" ht="12.75" customHeight="1">
      <c r="A851" s="1962"/>
      <c r="B851" s="1840"/>
      <c r="C851" s="1850"/>
      <c r="D851" s="1934"/>
      <c r="E851" s="1934"/>
      <c r="F851" s="1905"/>
      <c r="G851" s="1963"/>
      <c r="H851" s="1964"/>
      <c r="I851" s="2310"/>
      <c r="J851" s="2534"/>
      <c r="K851" s="1615"/>
      <c r="L851" s="1636"/>
      <c r="M851" s="1636"/>
      <c r="N851" s="1615"/>
      <c r="O851" s="1635"/>
      <c r="P851" s="1965"/>
      <c r="Q851" s="1966"/>
    </row>
    <row r="852" spans="1:17" ht="12.75" customHeight="1">
      <c r="A852" s="1962"/>
      <c r="B852" s="1840"/>
      <c r="C852" s="1850"/>
      <c r="D852" s="1934"/>
      <c r="E852" s="1934"/>
      <c r="F852" s="1905"/>
      <c r="G852" s="1963"/>
      <c r="H852" s="1964"/>
      <c r="I852" s="2310"/>
      <c r="J852" s="2534"/>
      <c r="K852" s="1615"/>
      <c r="L852" s="1636"/>
      <c r="M852" s="1636"/>
      <c r="N852" s="1615"/>
      <c r="O852" s="1635"/>
      <c r="P852" s="1965"/>
      <c r="Q852" s="1966"/>
    </row>
    <row r="853" spans="1:17" ht="12.75" customHeight="1">
      <c r="A853" s="1962"/>
      <c r="B853" s="1840"/>
      <c r="C853" s="1850"/>
      <c r="D853" s="1934"/>
      <c r="E853" s="1934"/>
      <c r="F853" s="1905"/>
      <c r="G853" s="1963"/>
      <c r="H853" s="1964"/>
      <c r="I853" s="2310"/>
      <c r="J853" s="2534"/>
      <c r="K853" s="1615"/>
      <c r="L853" s="1636"/>
      <c r="M853" s="1636"/>
      <c r="N853" s="1615"/>
      <c r="O853" s="1635"/>
      <c r="P853" s="1965"/>
      <c r="Q853" s="1966"/>
    </row>
    <row r="854" spans="1:17" ht="12.75" customHeight="1">
      <c r="A854" s="1962" t="s">
        <v>3417</v>
      </c>
      <c r="B854" s="1840"/>
      <c r="C854" s="1850" t="s">
        <v>3418</v>
      </c>
      <c r="D854" s="1934"/>
      <c r="E854" s="1934">
        <v>1</v>
      </c>
      <c r="F854" s="1905"/>
      <c r="G854" s="1963" t="s">
        <v>3188</v>
      </c>
      <c r="H854" s="1964" t="s">
        <v>3174</v>
      </c>
      <c r="I854" s="2310"/>
      <c r="J854" s="2534">
        <v>0</v>
      </c>
      <c r="K854" s="1615">
        <v>0</v>
      </c>
      <c r="L854" s="1636">
        <v>500000</v>
      </c>
      <c r="M854" s="1636"/>
      <c r="N854" s="1615"/>
      <c r="O854" s="1635"/>
      <c r="P854" s="1965" t="s">
        <v>2566</v>
      </c>
      <c r="Q854" s="1966" t="s">
        <v>2571</v>
      </c>
    </row>
    <row r="855" spans="1:17" ht="12.75" customHeight="1">
      <c r="A855" s="1962"/>
      <c r="B855" s="1840"/>
      <c r="C855" s="1850" t="s">
        <v>4204</v>
      </c>
      <c r="D855" s="1934"/>
      <c r="E855" s="1934">
        <v>3</v>
      </c>
      <c r="F855" s="1905"/>
      <c r="G855" s="1963" t="s">
        <v>3203</v>
      </c>
      <c r="H855" s="1964" t="s">
        <v>3255</v>
      </c>
      <c r="I855" s="2310"/>
      <c r="J855" s="2534">
        <v>0</v>
      </c>
      <c r="K855" s="1615">
        <v>0</v>
      </c>
      <c r="L855" s="1636">
        <v>0</v>
      </c>
      <c r="M855" s="1636">
        <v>10000</v>
      </c>
      <c r="N855" s="1615">
        <v>0</v>
      </c>
      <c r="O855" s="1635">
        <v>0</v>
      </c>
      <c r="P855" s="1965" t="s">
        <v>2566</v>
      </c>
      <c r="Q855" s="1966" t="s">
        <v>2571</v>
      </c>
    </row>
    <row r="856" spans="1:17" ht="12.75" customHeight="1">
      <c r="A856" s="1962"/>
      <c r="B856" s="1840"/>
      <c r="C856" s="1850" t="s">
        <v>3579</v>
      </c>
      <c r="D856" s="1934"/>
      <c r="E856" s="1934">
        <v>3</v>
      </c>
      <c r="F856" s="1905"/>
      <c r="G856" s="1963" t="s">
        <v>2573</v>
      </c>
      <c r="H856" s="1964" t="s">
        <v>3579</v>
      </c>
      <c r="I856" s="2310"/>
      <c r="J856" s="2534">
        <v>0</v>
      </c>
      <c r="K856" s="1615">
        <v>0</v>
      </c>
      <c r="L856" s="1636">
        <v>0</v>
      </c>
      <c r="M856" s="1636">
        <v>3000</v>
      </c>
      <c r="N856" s="1615">
        <v>0</v>
      </c>
      <c r="O856" s="1635">
        <v>0</v>
      </c>
      <c r="P856" s="1965" t="s">
        <v>2566</v>
      </c>
      <c r="Q856" s="1966" t="s">
        <v>2571</v>
      </c>
    </row>
    <row r="857" spans="1:17" ht="12.75" customHeight="1">
      <c r="A857" s="1962"/>
      <c r="B857" s="1840"/>
      <c r="C857" s="1850" t="s">
        <v>2596</v>
      </c>
      <c r="D857" s="1934"/>
      <c r="E857" s="1934">
        <v>3</v>
      </c>
      <c r="F857" s="1905"/>
      <c r="G857" s="1963" t="s">
        <v>3203</v>
      </c>
      <c r="H857" s="1964" t="s">
        <v>3204</v>
      </c>
      <c r="I857" s="2310"/>
      <c r="J857" s="2534">
        <v>0</v>
      </c>
      <c r="K857" s="1615">
        <v>0</v>
      </c>
      <c r="L857" s="1636">
        <v>0</v>
      </c>
      <c r="M857" s="1636">
        <v>10000</v>
      </c>
      <c r="N857" s="1615">
        <v>0</v>
      </c>
      <c r="O857" s="1635">
        <v>0</v>
      </c>
      <c r="P857" s="1965" t="s">
        <v>2566</v>
      </c>
      <c r="Q857" s="1966" t="s">
        <v>2587</v>
      </c>
    </row>
    <row r="858" spans="1:17" ht="12.75" customHeight="1">
      <c r="A858" s="1962"/>
      <c r="B858" s="1840"/>
      <c r="C858" s="1850"/>
      <c r="D858" s="1934"/>
      <c r="E858" s="1934"/>
      <c r="F858" s="1905"/>
      <c r="G858" s="1963"/>
      <c r="H858" s="1964"/>
      <c r="I858" s="2310"/>
      <c r="J858" s="2534"/>
      <c r="K858" s="1615"/>
      <c r="L858" s="1636"/>
      <c r="M858" s="1636"/>
      <c r="N858" s="1615"/>
      <c r="O858" s="1635"/>
      <c r="P858" s="1965"/>
      <c r="Q858" s="1966"/>
    </row>
    <row r="859" spans="1:17" ht="12.75" customHeight="1">
      <c r="A859" s="1962"/>
      <c r="B859" s="1840"/>
      <c r="C859" s="1850"/>
      <c r="D859" s="1934"/>
      <c r="E859" s="1934"/>
      <c r="F859" s="1905"/>
      <c r="G859" s="1963"/>
      <c r="H859" s="1964"/>
      <c r="I859" s="2310"/>
      <c r="J859" s="2534"/>
      <c r="K859" s="1615"/>
      <c r="L859" s="1636"/>
      <c r="M859" s="1636"/>
      <c r="N859" s="1615"/>
      <c r="O859" s="1635"/>
      <c r="P859" s="1965"/>
      <c r="Q859" s="1966"/>
    </row>
    <row r="860" spans="1:17" ht="12.75" customHeight="1">
      <c r="A860" s="1962" t="s">
        <v>3419</v>
      </c>
      <c r="B860" s="1840"/>
      <c r="C860" s="1850" t="s">
        <v>3420</v>
      </c>
      <c r="D860" s="1934"/>
      <c r="E860" s="1934">
        <v>3</v>
      </c>
      <c r="F860" s="1905"/>
      <c r="G860" s="1963" t="s">
        <v>3232</v>
      </c>
      <c r="H860" s="1964" t="s">
        <v>2697</v>
      </c>
      <c r="I860" s="2310"/>
      <c r="J860" s="2534">
        <v>0</v>
      </c>
      <c r="K860" s="1615">
        <v>0</v>
      </c>
      <c r="L860" s="1636">
        <v>0</v>
      </c>
      <c r="M860" s="1636">
        <v>0</v>
      </c>
      <c r="N860" s="1615">
        <v>350000</v>
      </c>
      <c r="O860" s="1635">
        <v>0</v>
      </c>
      <c r="P860" s="1965" t="s">
        <v>2566</v>
      </c>
      <c r="Q860" s="1966" t="s">
        <v>2587</v>
      </c>
    </row>
    <row r="861" spans="1:17" ht="12.75" customHeight="1">
      <c r="A861" s="1962"/>
      <c r="B861" s="1840"/>
      <c r="C861" s="1850" t="s">
        <v>3421</v>
      </c>
      <c r="D861" s="1934"/>
      <c r="E861" s="1934">
        <v>3</v>
      </c>
      <c r="F861" s="1905"/>
      <c r="G861" s="1963" t="s">
        <v>3232</v>
      </c>
      <c r="H861" s="1964" t="s">
        <v>3422</v>
      </c>
      <c r="I861" s="2310"/>
      <c r="J861" s="2534">
        <v>0</v>
      </c>
      <c r="K861" s="1615">
        <v>0</v>
      </c>
      <c r="L861" s="1636">
        <v>0</v>
      </c>
      <c r="M861" s="1636">
        <v>0</v>
      </c>
      <c r="N861" s="1615">
        <v>350000</v>
      </c>
      <c r="O861" s="1635">
        <v>0</v>
      </c>
      <c r="P861" s="1965" t="s">
        <v>2566</v>
      </c>
      <c r="Q861" s="1966" t="s">
        <v>2571</v>
      </c>
    </row>
    <row r="862" spans="1:17" ht="12.75" customHeight="1">
      <c r="A862" s="1962"/>
      <c r="B862" s="1840"/>
      <c r="C862" s="1850" t="s">
        <v>3204</v>
      </c>
      <c r="D862" s="1934"/>
      <c r="E862" s="1934">
        <v>3</v>
      </c>
      <c r="F862" s="1905"/>
      <c r="G862" s="1963" t="s">
        <v>3203</v>
      </c>
      <c r="H862" s="1964" t="s">
        <v>3204</v>
      </c>
      <c r="I862" s="2310"/>
      <c r="J862" s="2534">
        <v>0</v>
      </c>
      <c r="K862" s="1615">
        <v>0</v>
      </c>
      <c r="L862" s="1636">
        <v>0</v>
      </c>
      <c r="M862" s="1636">
        <v>40000</v>
      </c>
      <c r="N862" s="1615">
        <v>0</v>
      </c>
      <c r="O862" s="1635">
        <v>0</v>
      </c>
      <c r="P862" s="1965" t="s">
        <v>2566</v>
      </c>
      <c r="Q862" s="1966" t="s">
        <v>2571</v>
      </c>
    </row>
    <row r="863" spans="1:17" ht="12.75" customHeight="1">
      <c r="A863" s="1962"/>
      <c r="B863" s="1840"/>
      <c r="C863" s="1850" t="s">
        <v>3423</v>
      </c>
      <c r="D863" s="1934"/>
      <c r="E863" s="1934">
        <v>2</v>
      </c>
      <c r="F863" s="1905"/>
      <c r="G863" s="1963" t="s">
        <v>2581</v>
      </c>
      <c r="H863" s="1964" t="s">
        <v>3424</v>
      </c>
      <c r="I863" s="2310"/>
      <c r="J863" s="2534">
        <v>0</v>
      </c>
      <c r="K863" s="1615">
        <v>0</v>
      </c>
      <c r="L863" s="1636">
        <v>0</v>
      </c>
      <c r="M863" s="1636"/>
      <c r="N863" s="1615"/>
      <c r="O863" s="1635"/>
      <c r="P863" s="1965">
        <v>10</v>
      </c>
      <c r="Q863" s="1966" t="s">
        <v>2571</v>
      </c>
    </row>
    <row r="864" spans="1:17" ht="12.75" customHeight="1">
      <c r="A864" s="1962"/>
      <c r="B864" s="1840"/>
      <c r="C864" s="1850" t="s">
        <v>3425</v>
      </c>
      <c r="D864" s="1934"/>
      <c r="E864" s="1934">
        <v>2</v>
      </c>
      <c r="F864" s="1905"/>
      <c r="G864" s="1963" t="s">
        <v>2573</v>
      </c>
      <c r="H864" s="1964" t="s">
        <v>3426</v>
      </c>
      <c r="I864" s="2310"/>
      <c r="J864" s="2534">
        <v>0</v>
      </c>
      <c r="K864" s="1615">
        <v>0</v>
      </c>
      <c r="L864" s="1636">
        <v>0</v>
      </c>
      <c r="M864" s="1636"/>
      <c r="N864" s="1615"/>
      <c r="O864" s="1635"/>
      <c r="P864" s="1965" t="s">
        <v>2566</v>
      </c>
      <c r="Q864" s="1966" t="s">
        <v>2571</v>
      </c>
    </row>
    <row r="865" spans="1:17" ht="12.75" customHeight="1">
      <c r="A865" s="1962"/>
      <c r="B865" s="1840"/>
      <c r="C865" s="1850" t="s">
        <v>3427</v>
      </c>
      <c r="D865" s="1934"/>
      <c r="E865" s="1934">
        <v>2</v>
      </c>
      <c r="F865" s="1905"/>
      <c r="G865" s="1963" t="s">
        <v>2581</v>
      </c>
      <c r="H865" s="1964" t="s">
        <v>3428</v>
      </c>
      <c r="I865" s="2310"/>
      <c r="J865" s="2534">
        <v>0</v>
      </c>
      <c r="K865" s="1615">
        <v>0</v>
      </c>
      <c r="L865" s="1636">
        <v>0</v>
      </c>
      <c r="M865" s="1636"/>
      <c r="N865" s="1615"/>
      <c r="O865" s="1635"/>
      <c r="P865" s="1965">
        <v>14</v>
      </c>
      <c r="Q865" s="1966" t="s">
        <v>2571</v>
      </c>
    </row>
    <row r="866" spans="1:17" ht="12.75" customHeight="1">
      <c r="A866" s="1962"/>
      <c r="B866" s="1840"/>
      <c r="C866" s="1850" t="s">
        <v>3429</v>
      </c>
      <c r="D866" s="1934"/>
      <c r="E866" s="1934">
        <v>1</v>
      </c>
      <c r="F866" s="1905"/>
      <c r="G866" s="1963" t="s">
        <v>2581</v>
      </c>
      <c r="H866" s="1964" t="s">
        <v>3428</v>
      </c>
      <c r="I866" s="2310"/>
      <c r="J866" s="2534">
        <v>0</v>
      </c>
      <c r="K866" s="1615">
        <v>0</v>
      </c>
      <c r="L866" s="1636">
        <v>300000</v>
      </c>
      <c r="M866" s="1636"/>
      <c r="N866" s="1615"/>
      <c r="O866" s="1635"/>
      <c r="P866" s="1965">
        <v>8</v>
      </c>
      <c r="Q866" s="1966" t="s">
        <v>2587</v>
      </c>
    </row>
    <row r="867" spans="1:17" ht="12.75" customHeight="1">
      <c r="A867" s="1962"/>
      <c r="B867" s="1840"/>
      <c r="C867" s="1850" t="s">
        <v>3430</v>
      </c>
      <c r="D867" s="1934"/>
      <c r="E867" s="1934">
        <v>2</v>
      </c>
      <c r="F867" s="1905"/>
      <c r="G867" s="1963" t="s">
        <v>2581</v>
      </c>
      <c r="H867" s="1964" t="s">
        <v>3431</v>
      </c>
      <c r="I867" s="2310"/>
      <c r="J867" s="2534">
        <v>0</v>
      </c>
      <c r="K867" s="1615">
        <v>0</v>
      </c>
      <c r="L867" s="1636">
        <v>350000</v>
      </c>
      <c r="M867" s="1636"/>
      <c r="N867" s="1615"/>
      <c r="O867" s="1635"/>
      <c r="P867" s="1965">
        <v>10</v>
      </c>
      <c r="Q867" s="1966" t="s">
        <v>2571</v>
      </c>
    </row>
    <row r="868" spans="1:17" ht="12.75" customHeight="1">
      <c r="A868" s="1962"/>
      <c r="B868" s="1840"/>
      <c r="C868" s="1850" t="s">
        <v>3432</v>
      </c>
      <c r="D868" s="1934"/>
      <c r="E868" s="1934">
        <v>2</v>
      </c>
      <c r="F868" s="1905"/>
      <c r="G868" s="1963" t="s">
        <v>2581</v>
      </c>
      <c r="H868" s="1964" t="s">
        <v>3431</v>
      </c>
      <c r="I868" s="2310"/>
      <c r="J868" s="2534">
        <v>0</v>
      </c>
      <c r="K868" s="1615">
        <v>0</v>
      </c>
      <c r="L868" s="1636">
        <v>350000</v>
      </c>
      <c r="M868" s="1636"/>
      <c r="N868" s="1615"/>
      <c r="O868" s="1635"/>
      <c r="P868" s="1965">
        <v>18</v>
      </c>
      <c r="Q868" s="1966" t="s">
        <v>2571</v>
      </c>
    </row>
    <row r="869" spans="1:17" ht="12.75" customHeight="1">
      <c r="A869" s="1962"/>
      <c r="B869" s="1840"/>
      <c r="C869" s="1850" t="s">
        <v>4205</v>
      </c>
      <c r="D869" s="1934"/>
      <c r="E869" s="1934">
        <v>3</v>
      </c>
      <c r="F869" s="1905"/>
      <c r="G869" s="1963" t="s">
        <v>3232</v>
      </c>
      <c r="H869" s="1964" t="s">
        <v>2697</v>
      </c>
      <c r="I869" s="2310"/>
      <c r="J869" s="2534">
        <v>0</v>
      </c>
      <c r="K869" s="1615">
        <v>0</v>
      </c>
      <c r="L869" s="1636">
        <v>0</v>
      </c>
      <c r="M869" s="1636">
        <v>350000</v>
      </c>
      <c r="N869" s="1615">
        <v>0</v>
      </c>
      <c r="O869" s="1635">
        <v>0</v>
      </c>
      <c r="P869" s="1965">
        <v>10</v>
      </c>
      <c r="Q869" s="1966" t="s">
        <v>2571</v>
      </c>
    </row>
    <row r="870" spans="1:17" ht="12.75" customHeight="1">
      <c r="A870" s="1962"/>
      <c r="B870" s="1840"/>
      <c r="C870" s="1850" t="s">
        <v>4206</v>
      </c>
      <c r="D870" s="1934"/>
      <c r="E870" s="1934">
        <v>3</v>
      </c>
      <c r="F870" s="1905"/>
      <c r="G870" s="1963" t="s">
        <v>2573</v>
      </c>
      <c r="H870" s="1964" t="s">
        <v>3898</v>
      </c>
      <c r="I870" s="2310"/>
      <c r="J870" s="2534">
        <v>0</v>
      </c>
      <c r="K870" s="1615">
        <v>0</v>
      </c>
      <c r="L870" s="1636">
        <v>0</v>
      </c>
      <c r="M870" s="1636">
        <v>0</v>
      </c>
      <c r="N870" s="1615">
        <v>40000</v>
      </c>
      <c r="O870" s="1635">
        <v>0</v>
      </c>
      <c r="P870" s="1965" t="s">
        <v>2566</v>
      </c>
      <c r="Q870" s="1966" t="s">
        <v>2571</v>
      </c>
    </row>
    <row r="871" spans="1:17" ht="12.75" customHeight="1">
      <c r="A871" s="1962"/>
      <c r="B871" s="1840"/>
      <c r="C871" s="1850" t="s">
        <v>4207</v>
      </c>
      <c r="D871" s="1934"/>
      <c r="E871" s="1934">
        <v>3</v>
      </c>
      <c r="F871" s="1905"/>
      <c r="G871" s="1963" t="s">
        <v>3203</v>
      </c>
      <c r="H871" s="1964" t="s">
        <v>4041</v>
      </c>
      <c r="I871" s="2310"/>
      <c r="J871" s="2534">
        <v>0</v>
      </c>
      <c r="K871" s="1615">
        <v>0</v>
      </c>
      <c r="L871" s="1636">
        <v>0</v>
      </c>
      <c r="M871" s="1636">
        <v>0</v>
      </c>
      <c r="N871" s="1615">
        <v>20000</v>
      </c>
      <c r="O871" s="1635">
        <v>0</v>
      </c>
      <c r="P871" s="1965" t="s">
        <v>2566</v>
      </c>
      <c r="Q871" s="1966" t="s">
        <v>2571</v>
      </c>
    </row>
    <row r="872" spans="1:17" ht="12.75" customHeight="1">
      <c r="A872" s="1962"/>
      <c r="B872" s="1840"/>
      <c r="C872" s="1850" t="s">
        <v>4208</v>
      </c>
      <c r="D872" s="1934"/>
      <c r="E872" s="1934">
        <v>3</v>
      </c>
      <c r="F872" s="1905"/>
      <c r="G872" s="1963" t="s">
        <v>3232</v>
      </c>
      <c r="H872" s="1964" t="s">
        <v>3428</v>
      </c>
      <c r="I872" s="2310"/>
      <c r="J872" s="2534">
        <v>0</v>
      </c>
      <c r="K872" s="1615">
        <v>0</v>
      </c>
      <c r="L872" s="1636">
        <v>0</v>
      </c>
      <c r="M872" s="1636">
        <v>0</v>
      </c>
      <c r="N872" s="1615">
        <v>0</v>
      </c>
      <c r="O872" s="1635">
        <v>1670000</v>
      </c>
      <c r="P872" s="1965">
        <v>7</v>
      </c>
      <c r="Q872" s="1966" t="s">
        <v>2571</v>
      </c>
    </row>
    <row r="873" spans="1:17" ht="12.75" customHeight="1">
      <c r="A873" s="1962"/>
      <c r="B873" s="1840"/>
      <c r="C873" s="1850"/>
      <c r="D873" s="1934"/>
      <c r="E873" s="1934"/>
      <c r="F873" s="1905"/>
      <c r="G873" s="1963"/>
      <c r="H873" s="1964"/>
      <c r="I873" s="2310"/>
      <c r="J873" s="2534"/>
      <c r="K873" s="1615"/>
      <c r="L873" s="1636"/>
      <c r="M873" s="1636"/>
      <c r="N873" s="1615"/>
      <c r="O873" s="1635"/>
      <c r="P873" s="1965"/>
      <c r="Q873" s="1966"/>
    </row>
    <row r="874" spans="1:17" ht="12.75" customHeight="1">
      <c r="A874" s="1962"/>
      <c r="B874" s="1840"/>
      <c r="C874" s="1850"/>
      <c r="D874" s="1934"/>
      <c r="E874" s="1934"/>
      <c r="F874" s="1905"/>
      <c r="G874" s="1963"/>
      <c r="H874" s="1964"/>
      <c r="I874" s="2310"/>
      <c r="J874" s="2534"/>
      <c r="K874" s="1615"/>
      <c r="L874" s="1636"/>
      <c r="M874" s="1636"/>
      <c r="N874" s="1615"/>
      <c r="O874" s="1635"/>
      <c r="P874" s="1965"/>
      <c r="Q874" s="1966"/>
    </row>
    <row r="875" spans="1:17" ht="12.75" customHeight="1">
      <c r="A875" s="1962"/>
      <c r="B875" s="1840"/>
      <c r="C875" s="1850"/>
      <c r="D875" s="1934"/>
      <c r="E875" s="1934"/>
      <c r="F875" s="1905"/>
      <c r="G875" s="1963"/>
      <c r="H875" s="1964"/>
      <c r="I875" s="2310"/>
      <c r="J875" s="2534"/>
      <c r="K875" s="1615"/>
      <c r="L875" s="1636"/>
      <c r="M875" s="1636"/>
      <c r="N875" s="1615"/>
      <c r="O875" s="1635"/>
      <c r="P875" s="1965"/>
      <c r="Q875" s="1966"/>
    </row>
    <row r="876" spans="1:17" ht="12.75" customHeight="1">
      <c r="A876" s="1962"/>
      <c r="B876" s="1840"/>
      <c r="C876" s="1850"/>
      <c r="D876" s="1934"/>
      <c r="E876" s="1934"/>
      <c r="F876" s="1905"/>
      <c r="G876" s="1963"/>
      <c r="H876" s="1964"/>
      <c r="I876" s="2310"/>
      <c r="J876" s="2534"/>
      <c r="K876" s="1615"/>
      <c r="L876" s="1636"/>
      <c r="M876" s="1636"/>
      <c r="N876" s="1615"/>
      <c r="O876" s="1635"/>
      <c r="P876" s="1965"/>
      <c r="Q876" s="1966"/>
    </row>
    <row r="877" spans="1:17" ht="12.75" customHeight="1">
      <c r="A877" s="1962" t="s">
        <v>3433</v>
      </c>
      <c r="B877" s="1840"/>
      <c r="C877" s="1850" t="s">
        <v>3434</v>
      </c>
      <c r="D877" s="1934"/>
      <c r="E877" s="1934">
        <v>1</v>
      </c>
      <c r="F877" s="1905"/>
      <c r="G877" s="1963" t="s">
        <v>2581</v>
      </c>
      <c r="H877" s="1964" t="s">
        <v>3435</v>
      </c>
      <c r="I877" s="2310"/>
      <c r="J877" s="2534">
        <v>0</v>
      </c>
      <c r="K877" s="1615">
        <v>0</v>
      </c>
      <c r="L877" s="1636">
        <v>0</v>
      </c>
      <c r="M877" s="1636"/>
      <c r="N877" s="1615"/>
      <c r="O877" s="1635"/>
      <c r="P877" s="1965" t="s">
        <v>2566</v>
      </c>
      <c r="Q877" s="1966" t="s">
        <v>2587</v>
      </c>
    </row>
    <row r="878" spans="1:17" ht="12.75" customHeight="1">
      <c r="A878" s="1962"/>
      <c r="B878" s="1840"/>
      <c r="C878" s="1850" t="s">
        <v>3436</v>
      </c>
      <c r="D878" s="1934"/>
      <c r="E878" s="1934">
        <v>3</v>
      </c>
      <c r="F878" s="1905"/>
      <c r="G878" s="1963" t="s">
        <v>2581</v>
      </c>
      <c r="H878" s="1964" t="s">
        <v>2697</v>
      </c>
      <c r="I878" s="2310"/>
      <c r="J878" s="2534">
        <v>0</v>
      </c>
      <c r="K878" s="1615">
        <v>0</v>
      </c>
      <c r="L878" s="1636">
        <v>0</v>
      </c>
      <c r="M878" s="1636">
        <v>0</v>
      </c>
      <c r="N878" s="1615">
        <v>250000</v>
      </c>
      <c r="O878" s="1635">
        <v>0</v>
      </c>
      <c r="P878" s="1965">
        <v>29</v>
      </c>
      <c r="Q878" s="1966" t="s">
        <v>2587</v>
      </c>
    </row>
    <row r="879" spans="1:17" ht="12.75" customHeight="1">
      <c r="A879" s="1962"/>
      <c r="B879" s="1840"/>
      <c r="C879" s="1850" t="s">
        <v>3437</v>
      </c>
      <c r="D879" s="1934"/>
      <c r="E879" s="1934">
        <v>1</v>
      </c>
      <c r="F879" s="1905"/>
      <c r="G879" s="1963" t="s">
        <v>2581</v>
      </c>
      <c r="H879" s="1964" t="s">
        <v>3174</v>
      </c>
      <c r="I879" s="2310"/>
      <c r="J879" s="2534">
        <v>0</v>
      </c>
      <c r="K879" s="1615">
        <v>0</v>
      </c>
      <c r="L879" s="1636">
        <v>0</v>
      </c>
      <c r="M879" s="1636"/>
      <c r="N879" s="1615"/>
      <c r="O879" s="1635"/>
      <c r="P879" s="1965" t="s">
        <v>2566</v>
      </c>
      <c r="Q879" s="1966" t="s">
        <v>2571</v>
      </c>
    </row>
    <row r="880" spans="1:17" ht="12.75" customHeight="1">
      <c r="A880" s="1962"/>
      <c r="B880" s="1840"/>
      <c r="C880" s="1850" t="s">
        <v>3438</v>
      </c>
      <c r="D880" s="1934"/>
      <c r="E880" s="1934">
        <v>3</v>
      </c>
      <c r="F880" s="1905"/>
      <c r="G880" s="1963" t="s">
        <v>2581</v>
      </c>
      <c r="H880" s="1964" t="s">
        <v>3439</v>
      </c>
      <c r="I880" s="2310"/>
      <c r="J880" s="2534">
        <v>0</v>
      </c>
      <c r="K880" s="1615">
        <v>0</v>
      </c>
      <c r="L880" s="1636">
        <v>0</v>
      </c>
      <c r="M880" s="1636">
        <v>0</v>
      </c>
      <c r="N880" s="1615">
        <v>30000</v>
      </c>
      <c r="O880" s="1635">
        <v>0</v>
      </c>
      <c r="P880" s="1965" t="s">
        <v>2566</v>
      </c>
      <c r="Q880" s="1966" t="s">
        <v>2571</v>
      </c>
    </row>
    <row r="881" spans="1:17" ht="12.75" customHeight="1">
      <c r="A881" s="1962"/>
      <c r="B881" s="1840"/>
      <c r="C881" s="1850" t="s">
        <v>3440</v>
      </c>
      <c r="D881" s="1934"/>
      <c r="E881" s="1934">
        <v>3</v>
      </c>
      <c r="F881" s="1905"/>
      <c r="G881" s="1963" t="s">
        <v>2581</v>
      </c>
      <c r="H881" s="1964" t="s">
        <v>2697</v>
      </c>
      <c r="I881" s="2310"/>
      <c r="J881" s="2534">
        <v>0</v>
      </c>
      <c r="K881" s="1615">
        <v>0</v>
      </c>
      <c r="L881" s="1636">
        <v>0</v>
      </c>
      <c r="M881" s="1636">
        <v>350000</v>
      </c>
      <c r="N881" s="1615">
        <v>0</v>
      </c>
      <c r="O881" s="1635">
        <v>0</v>
      </c>
      <c r="P881" s="1965">
        <v>13</v>
      </c>
      <c r="Q881" s="1966" t="s">
        <v>2571</v>
      </c>
    </row>
    <row r="882" spans="1:17" ht="12.75" customHeight="1">
      <c r="A882" s="1962"/>
      <c r="B882" s="1840"/>
      <c r="C882" s="1850" t="s">
        <v>3441</v>
      </c>
      <c r="D882" s="1934"/>
      <c r="E882" s="1934">
        <v>3</v>
      </c>
      <c r="F882" s="1905"/>
      <c r="G882" s="1963" t="s">
        <v>2581</v>
      </c>
      <c r="H882" s="1964" t="s">
        <v>3442</v>
      </c>
      <c r="I882" s="2310"/>
      <c r="J882" s="2534">
        <v>0</v>
      </c>
      <c r="K882" s="1615">
        <v>0</v>
      </c>
      <c r="L882" s="1636">
        <v>0</v>
      </c>
      <c r="M882" s="1636">
        <v>80000</v>
      </c>
      <c r="N882" s="1615">
        <v>100000</v>
      </c>
      <c r="O882" s="1635">
        <v>200000</v>
      </c>
      <c r="P882" s="1965" t="s">
        <v>2566</v>
      </c>
      <c r="Q882" s="1966" t="s">
        <v>4027</v>
      </c>
    </row>
    <row r="883" spans="1:17" ht="12.75" customHeight="1">
      <c r="A883" s="1962"/>
      <c r="B883" s="1840"/>
      <c r="C883" s="1850" t="s">
        <v>3443</v>
      </c>
      <c r="D883" s="1934"/>
      <c r="E883" s="1934">
        <v>1</v>
      </c>
      <c r="F883" s="1905"/>
      <c r="G883" s="1963" t="s">
        <v>2581</v>
      </c>
      <c r="H883" s="1964" t="s">
        <v>3444</v>
      </c>
      <c r="I883" s="2310"/>
      <c r="J883" s="2534">
        <v>0</v>
      </c>
      <c r="K883" s="1615">
        <v>0</v>
      </c>
      <c r="L883" s="1636">
        <v>0</v>
      </c>
      <c r="M883" s="1636"/>
      <c r="N883" s="1615"/>
      <c r="O883" s="1635"/>
      <c r="P883" s="1965">
        <v>28</v>
      </c>
      <c r="Q883" s="1966" t="s">
        <v>2587</v>
      </c>
    </row>
    <row r="884" spans="1:17" ht="12.75" customHeight="1">
      <c r="A884" s="1962"/>
      <c r="B884" s="1840"/>
      <c r="C884" s="1850" t="s">
        <v>3445</v>
      </c>
      <c r="D884" s="1934"/>
      <c r="E884" s="1934">
        <v>1</v>
      </c>
      <c r="F884" s="1905"/>
      <c r="G884" s="1963" t="s">
        <v>2581</v>
      </c>
      <c r="H884" s="1964" t="s">
        <v>2706</v>
      </c>
      <c r="I884" s="2310"/>
      <c r="J884" s="2534">
        <v>0</v>
      </c>
      <c r="K884" s="1615">
        <v>0</v>
      </c>
      <c r="L884" s="1636">
        <v>0</v>
      </c>
      <c r="M884" s="1636"/>
      <c r="N884" s="1615"/>
      <c r="O884" s="1635"/>
      <c r="P884" s="1965">
        <v>28</v>
      </c>
      <c r="Q884" s="1966" t="s">
        <v>2571</v>
      </c>
    </row>
    <row r="885" spans="1:17" ht="12.75" customHeight="1">
      <c r="A885" s="1962"/>
      <c r="B885" s="1840"/>
      <c r="C885" s="1850" t="s">
        <v>3446</v>
      </c>
      <c r="D885" s="1934"/>
      <c r="E885" s="1934">
        <v>1</v>
      </c>
      <c r="F885" s="1905"/>
      <c r="G885" s="1963" t="s">
        <v>2581</v>
      </c>
      <c r="H885" s="1964" t="s">
        <v>2706</v>
      </c>
      <c r="I885" s="2310"/>
      <c r="J885" s="2534">
        <v>0</v>
      </c>
      <c r="K885" s="1615">
        <v>0</v>
      </c>
      <c r="L885" s="1636">
        <v>0</v>
      </c>
      <c r="M885" s="1636"/>
      <c r="N885" s="1615"/>
      <c r="O885" s="1635"/>
      <c r="P885" s="1965">
        <v>18</v>
      </c>
      <c r="Q885" s="1966" t="s">
        <v>2571</v>
      </c>
    </row>
    <row r="886" spans="1:17" ht="12.75" customHeight="1">
      <c r="A886" s="1962"/>
      <c r="B886" s="1840"/>
      <c r="C886" s="1850" t="s">
        <v>2684</v>
      </c>
      <c r="D886" s="1934"/>
      <c r="E886" s="1934">
        <v>1</v>
      </c>
      <c r="F886" s="1905"/>
      <c r="G886" s="1963" t="s">
        <v>2573</v>
      </c>
      <c r="H886" s="1964" t="s">
        <v>2688</v>
      </c>
      <c r="I886" s="2310"/>
      <c r="J886" s="2534">
        <v>0</v>
      </c>
      <c r="K886" s="1615">
        <v>0</v>
      </c>
      <c r="L886" s="1636">
        <v>3000</v>
      </c>
      <c r="M886" s="1636"/>
      <c r="N886" s="1615"/>
      <c r="O886" s="1635"/>
      <c r="P886" s="1965" t="s">
        <v>2566</v>
      </c>
      <c r="Q886" s="1966" t="s">
        <v>2571</v>
      </c>
    </row>
    <row r="887" spans="1:17" ht="12.75" customHeight="1">
      <c r="A887" s="1962"/>
      <c r="B887" s="1840"/>
      <c r="C887" s="1850" t="s">
        <v>3447</v>
      </c>
      <c r="D887" s="1934"/>
      <c r="E887" s="1934">
        <v>1</v>
      </c>
      <c r="F887" s="1905"/>
      <c r="G887" s="1963" t="s">
        <v>2564</v>
      </c>
      <c r="H887" s="1964" t="s">
        <v>3448</v>
      </c>
      <c r="I887" s="2310"/>
      <c r="J887" s="2534">
        <v>0</v>
      </c>
      <c r="K887" s="1615">
        <v>0</v>
      </c>
      <c r="L887" s="1636">
        <v>27000</v>
      </c>
      <c r="M887" s="1636">
        <v>0</v>
      </c>
      <c r="N887" s="1615">
        <v>0</v>
      </c>
      <c r="O887" s="1635">
        <v>80000</v>
      </c>
      <c r="P887" s="1965" t="s">
        <v>2566</v>
      </c>
      <c r="Q887" s="1966" t="s">
        <v>2571</v>
      </c>
    </row>
    <row r="888" spans="1:17" ht="12.75" customHeight="1">
      <c r="A888" s="1962"/>
      <c r="B888" s="1840"/>
      <c r="C888" s="1850" t="s">
        <v>3449</v>
      </c>
      <c r="D888" s="1934"/>
      <c r="E888" s="1934">
        <v>1</v>
      </c>
      <c r="F888" s="1905"/>
      <c r="G888" s="1963" t="s">
        <v>2581</v>
      </c>
      <c r="H888" s="1964" t="s">
        <v>2706</v>
      </c>
      <c r="I888" s="2310"/>
      <c r="J888" s="2534">
        <v>0</v>
      </c>
      <c r="K888" s="1615">
        <v>0</v>
      </c>
      <c r="L888" s="1636">
        <v>0</v>
      </c>
      <c r="M888" s="1636"/>
      <c r="N888" s="1615"/>
      <c r="O888" s="1635"/>
      <c r="P888" s="1965" t="s">
        <v>2566</v>
      </c>
      <c r="Q888" s="1966" t="s">
        <v>2587</v>
      </c>
    </row>
    <row r="889" spans="1:17" ht="12.75" customHeight="1">
      <c r="A889" s="1962"/>
      <c r="B889" s="1840"/>
      <c r="C889" s="1850" t="s">
        <v>3450</v>
      </c>
      <c r="D889" s="1934"/>
      <c r="E889" s="1934">
        <v>1</v>
      </c>
      <c r="F889" s="1905"/>
      <c r="G889" s="1963" t="s">
        <v>2581</v>
      </c>
      <c r="H889" s="1964" t="s">
        <v>2697</v>
      </c>
      <c r="I889" s="2310"/>
      <c r="J889" s="2534">
        <v>0</v>
      </c>
      <c r="K889" s="1615">
        <v>0</v>
      </c>
      <c r="L889" s="1636">
        <v>1340000</v>
      </c>
      <c r="M889" s="1636"/>
      <c r="N889" s="1615"/>
      <c r="O889" s="1635"/>
      <c r="P889" s="1965" t="s">
        <v>2566</v>
      </c>
      <c r="Q889" s="1966" t="s">
        <v>2571</v>
      </c>
    </row>
    <row r="890" spans="1:17" ht="12.75" customHeight="1">
      <c r="A890" s="1962"/>
      <c r="B890" s="1840"/>
      <c r="C890" s="1850" t="s">
        <v>3451</v>
      </c>
      <c r="D890" s="1934"/>
      <c r="E890" s="1934">
        <v>1</v>
      </c>
      <c r="F890" s="1905"/>
      <c r="G890" s="1963" t="s">
        <v>3203</v>
      </c>
      <c r="H890" s="1964" t="s">
        <v>3204</v>
      </c>
      <c r="I890" s="2310"/>
      <c r="J890" s="2534">
        <v>0</v>
      </c>
      <c r="K890" s="1615">
        <v>0</v>
      </c>
      <c r="L890" s="1636">
        <v>70000</v>
      </c>
      <c r="M890" s="1636"/>
      <c r="N890" s="1615"/>
      <c r="O890" s="1635"/>
      <c r="P890" s="1965" t="s">
        <v>2566</v>
      </c>
      <c r="Q890" s="1966" t="s">
        <v>2571</v>
      </c>
    </row>
    <row r="891" spans="1:17" ht="12.75" customHeight="1">
      <c r="A891" s="1962"/>
      <c r="B891" s="1840"/>
      <c r="C891" s="1850" t="s">
        <v>3452</v>
      </c>
      <c r="D891" s="1934"/>
      <c r="E891" s="1934">
        <v>1</v>
      </c>
      <c r="F891" s="1905"/>
      <c r="G891" s="1963" t="s">
        <v>2569</v>
      </c>
      <c r="H891" s="1964" t="s">
        <v>3272</v>
      </c>
      <c r="I891" s="2310"/>
      <c r="J891" s="2534">
        <v>0</v>
      </c>
      <c r="K891" s="1615">
        <v>0</v>
      </c>
      <c r="L891" s="1636">
        <v>0</v>
      </c>
      <c r="M891" s="1636"/>
      <c r="N891" s="1615">
        <v>100000</v>
      </c>
      <c r="O891" s="1635"/>
      <c r="P891" s="1965" t="s">
        <v>2566</v>
      </c>
      <c r="Q891" s="1966" t="s">
        <v>2571</v>
      </c>
    </row>
    <row r="892" spans="1:17" ht="12.75" customHeight="1">
      <c r="A892" s="1962"/>
      <c r="B892" s="1840"/>
      <c r="C892" s="1850" t="s">
        <v>3453</v>
      </c>
      <c r="D892" s="1934"/>
      <c r="E892" s="1934">
        <v>4</v>
      </c>
      <c r="F892" s="1905"/>
      <c r="G892" s="1963" t="s">
        <v>3188</v>
      </c>
      <c r="H892" s="1964" t="s">
        <v>3174</v>
      </c>
      <c r="I892" s="2310"/>
      <c r="J892" s="2534">
        <v>0</v>
      </c>
      <c r="K892" s="1615">
        <v>0</v>
      </c>
      <c r="L892" s="1636">
        <v>250000</v>
      </c>
      <c r="M892" s="1636"/>
      <c r="N892" s="1615"/>
      <c r="O892" s="1635"/>
      <c r="P892" s="1965" t="s">
        <v>2566</v>
      </c>
      <c r="Q892" s="1966" t="s">
        <v>2571</v>
      </c>
    </row>
    <row r="893" spans="1:17" ht="12.75" customHeight="1">
      <c r="A893" s="1962"/>
      <c r="B893" s="1840"/>
      <c r="C893" s="1850" t="s">
        <v>3454</v>
      </c>
      <c r="D893" s="1934"/>
      <c r="E893" s="1934">
        <v>3</v>
      </c>
      <c r="F893" s="1905"/>
      <c r="G893" s="1963" t="s">
        <v>2581</v>
      </c>
      <c r="H893" s="1964" t="s">
        <v>3455</v>
      </c>
      <c r="I893" s="2310"/>
      <c r="J893" s="2534">
        <v>0</v>
      </c>
      <c r="K893" s="1615">
        <v>0</v>
      </c>
      <c r="L893" s="1636">
        <v>0</v>
      </c>
      <c r="M893" s="1636"/>
      <c r="N893" s="1615"/>
      <c r="O893" s="1635"/>
      <c r="P893" s="1965">
        <v>8</v>
      </c>
      <c r="Q893" s="1966" t="s">
        <v>2571</v>
      </c>
    </row>
    <row r="894" spans="1:17" ht="12.75" customHeight="1">
      <c r="A894" s="1962"/>
      <c r="B894" s="1840"/>
      <c r="C894" s="1850" t="s">
        <v>4206</v>
      </c>
      <c r="D894" s="1934"/>
      <c r="E894" s="1934">
        <v>3</v>
      </c>
      <c r="F894" s="1905"/>
      <c r="G894" s="1963" t="s">
        <v>2573</v>
      </c>
      <c r="H894" s="1964" t="s">
        <v>3898</v>
      </c>
      <c r="I894" s="2310"/>
      <c r="J894" s="2534">
        <v>0</v>
      </c>
      <c r="K894" s="1615">
        <v>0</v>
      </c>
      <c r="L894" s="1636">
        <v>0</v>
      </c>
      <c r="M894" s="1636">
        <v>30000</v>
      </c>
      <c r="N894" s="1615">
        <v>0</v>
      </c>
      <c r="O894" s="1635">
        <v>0</v>
      </c>
      <c r="P894" s="1965">
        <v>14</v>
      </c>
      <c r="Q894" s="1966" t="s">
        <v>2571</v>
      </c>
    </row>
    <row r="895" spans="1:17" ht="12.75" customHeight="1">
      <c r="A895" s="1962"/>
      <c r="B895" s="1840"/>
      <c r="C895" s="1850" t="s">
        <v>2596</v>
      </c>
      <c r="D895" s="1934"/>
      <c r="E895" s="1934">
        <v>3</v>
      </c>
      <c r="F895" s="1905"/>
      <c r="G895" s="1963" t="s">
        <v>3203</v>
      </c>
      <c r="H895" s="1964" t="s">
        <v>3204</v>
      </c>
      <c r="I895" s="2310"/>
      <c r="J895" s="2534">
        <v>0</v>
      </c>
      <c r="K895" s="1615">
        <v>0</v>
      </c>
      <c r="L895" s="1636">
        <v>0</v>
      </c>
      <c r="M895" s="1636">
        <v>30000</v>
      </c>
      <c r="N895" s="1615">
        <v>100000</v>
      </c>
      <c r="O895" s="1635">
        <v>200000</v>
      </c>
      <c r="P895" s="1965" t="s">
        <v>2566</v>
      </c>
      <c r="Q895" s="1966" t="s">
        <v>2571</v>
      </c>
    </row>
    <row r="896" spans="1:17" ht="12.75" customHeight="1">
      <c r="A896" s="1962"/>
      <c r="B896" s="1840"/>
      <c r="C896" s="1850" t="s">
        <v>2934</v>
      </c>
      <c r="D896" s="1934"/>
      <c r="E896" s="1934">
        <v>3</v>
      </c>
      <c r="F896" s="1905"/>
      <c r="G896" s="1963" t="s">
        <v>2581</v>
      </c>
      <c r="H896" s="1964" t="s">
        <v>2706</v>
      </c>
      <c r="I896" s="2310"/>
      <c r="J896" s="2534">
        <v>0</v>
      </c>
      <c r="K896" s="1615">
        <v>0</v>
      </c>
      <c r="L896" s="1636">
        <v>0</v>
      </c>
      <c r="M896" s="1636">
        <v>2000000</v>
      </c>
      <c r="N896" s="1615">
        <v>0</v>
      </c>
      <c r="O896" s="1635">
        <v>0</v>
      </c>
      <c r="P896" s="1965"/>
      <c r="Q896" s="1966" t="s">
        <v>2587</v>
      </c>
    </row>
    <row r="897" spans="1:17" ht="12.75" customHeight="1">
      <c r="A897" s="1962"/>
      <c r="B897" s="1840"/>
      <c r="C897" s="1850"/>
      <c r="D897" s="1934"/>
      <c r="E897" s="1934"/>
      <c r="F897" s="1905"/>
      <c r="G897" s="1963"/>
      <c r="H897" s="1964"/>
      <c r="I897" s="2310"/>
      <c r="J897" s="2534"/>
      <c r="K897" s="1615"/>
      <c r="L897" s="1636"/>
      <c r="M897" s="1636"/>
      <c r="N897" s="1615"/>
      <c r="O897" s="1635"/>
      <c r="P897" s="1965"/>
      <c r="Q897" s="1966"/>
    </row>
    <row r="898" spans="1:17" ht="12.75" customHeight="1">
      <c r="A898" s="1962"/>
      <c r="B898" s="1840"/>
      <c r="C898" s="1850"/>
      <c r="D898" s="1934"/>
      <c r="E898" s="1934"/>
      <c r="F898" s="1905"/>
      <c r="G898" s="1963"/>
      <c r="H898" s="1964"/>
      <c r="I898" s="2310"/>
      <c r="J898" s="2534"/>
      <c r="K898" s="1615"/>
      <c r="L898" s="1636"/>
      <c r="M898" s="1636"/>
      <c r="N898" s="1615"/>
      <c r="O898" s="1635"/>
      <c r="P898" s="1965"/>
      <c r="Q898" s="1966"/>
    </row>
    <row r="899" spans="1:17" ht="12.75" customHeight="1">
      <c r="A899" s="1962"/>
      <c r="B899" s="1840"/>
      <c r="C899" s="1850"/>
      <c r="D899" s="1934"/>
      <c r="E899" s="1934"/>
      <c r="F899" s="1905"/>
      <c r="G899" s="1963"/>
      <c r="H899" s="1964"/>
      <c r="I899" s="2310"/>
      <c r="J899" s="2534"/>
      <c r="K899" s="1615"/>
      <c r="L899" s="1636"/>
      <c r="M899" s="1636"/>
      <c r="N899" s="1615"/>
      <c r="O899" s="1635"/>
      <c r="P899" s="1965"/>
      <c r="Q899" s="1966"/>
    </row>
    <row r="900" spans="1:17" ht="12.75" customHeight="1">
      <c r="A900" s="1962" t="s">
        <v>3456</v>
      </c>
      <c r="B900" s="1840"/>
      <c r="C900" s="1850" t="s">
        <v>3457</v>
      </c>
      <c r="D900" s="1934"/>
      <c r="E900" s="1934">
        <v>2</v>
      </c>
      <c r="F900" s="1905"/>
      <c r="G900" s="1963" t="s">
        <v>2581</v>
      </c>
      <c r="H900" s="1964" t="s">
        <v>3458</v>
      </c>
      <c r="I900" s="2310"/>
      <c r="J900" s="2534">
        <v>0</v>
      </c>
      <c r="K900" s="1615">
        <v>0</v>
      </c>
      <c r="L900" s="1636">
        <v>0</v>
      </c>
      <c r="M900" s="1636"/>
      <c r="N900" s="1615"/>
      <c r="O900" s="1635"/>
      <c r="P900" s="1965">
        <v>16</v>
      </c>
      <c r="Q900" s="1966" t="s">
        <v>2587</v>
      </c>
    </row>
    <row r="901" spans="1:17" ht="12.75" customHeight="1">
      <c r="A901" s="1962"/>
      <c r="B901" s="1840"/>
      <c r="C901" s="1850" t="s">
        <v>3459</v>
      </c>
      <c r="D901" s="1934"/>
      <c r="E901" s="1934">
        <v>1</v>
      </c>
      <c r="F901" s="1905"/>
      <c r="G901" s="1963" t="s">
        <v>2573</v>
      </c>
      <c r="H901" s="1964" t="s">
        <v>2718</v>
      </c>
      <c r="I901" s="2310"/>
      <c r="J901" s="2534">
        <v>0</v>
      </c>
      <c r="K901" s="1615">
        <v>0</v>
      </c>
      <c r="L901" s="1636">
        <v>0</v>
      </c>
      <c r="M901" s="1636">
        <v>128000</v>
      </c>
      <c r="N901" s="1615">
        <v>0</v>
      </c>
      <c r="O901" s="1635">
        <v>0</v>
      </c>
      <c r="P901" s="1965" t="s">
        <v>2566</v>
      </c>
      <c r="Q901" s="1966" t="s">
        <v>2587</v>
      </c>
    </row>
    <row r="902" spans="1:17" ht="12.75" customHeight="1">
      <c r="A902" s="1962"/>
      <c r="B902" s="1840"/>
      <c r="C902" s="1850" t="s">
        <v>3447</v>
      </c>
      <c r="D902" s="1934"/>
      <c r="E902" s="1934">
        <v>3</v>
      </c>
      <c r="F902" s="1905"/>
      <c r="G902" s="1963" t="s">
        <v>3203</v>
      </c>
      <c r="H902" s="1964" t="s">
        <v>2591</v>
      </c>
      <c r="I902" s="2310"/>
      <c r="J902" s="2534">
        <v>0</v>
      </c>
      <c r="K902" s="1615">
        <v>0</v>
      </c>
      <c r="L902" s="1636">
        <v>0</v>
      </c>
      <c r="M902" s="1636"/>
      <c r="N902" s="1615"/>
      <c r="O902" s="1635"/>
      <c r="P902" s="1965">
        <v>16</v>
      </c>
      <c r="Q902" s="1966" t="s">
        <v>2571</v>
      </c>
    </row>
    <row r="903" spans="1:17" ht="12.75" customHeight="1">
      <c r="A903" s="1962"/>
      <c r="B903" s="1840"/>
      <c r="C903" s="1850" t="s">
        <v>3460</v>
      </c>
      <c r="D903" s="1934"/>
      <c r="E903" s="1934">
        <v>3</v>
      </c>
      <c r="F903" s="1905"/>
      <c r="G903" s="1963" t="s">
        <v>2581</v>
      </c>
      <c r="H903" s="1964" t="s">
        <v>3424</v>
      </c>
      <c r="I903" s="2310"/>
      <c r="J903" s="2534">
        <v>0</v>
      </c>
      <c r="K903" s="1615">
        <v>0</v>
      </c>
      <c r="L903" s="1636">
        <v>0</v>
      </c>
      <c r="M903" s="1636"/>
      <c r="N903" s="1615"/>
      <c r="O903" s="1635"/>
      <c r="P903" s="1965">
        <v>25</v>
      </c>
      <c r="Q903" s="1966" t="s">
        <v>2571</v>
      </c>
    </row>
    <row r="904" spans="1:17" ht="12.75" customHeight="1">
      <c r="A904" s="1962"/>
      <c r="B904" s="1840"/>
      <c r="C904" s="1850" t="s">
        <v>3461</v>
      </c>
      <c r="D904" s="1934"/>
      <c r="E904" s="1934">
        <v>1</v>
      </c>
      <c r="F904" s="1905"/>
      <c r="G904" s="1963" t="s">
        <v>2573</v>
      </c>
      <c r="H904" s="1964" t="s">
        <v>3462</v>
      </c>
      <c r="I904" s="2310"/>
      <c r="J904" s="2534">
        <v>0</v>
      </c>
      <c r="K904" s="1615">
        <v>0</v>
      </c>
      <c r="L904" s="1636">
        <v>0</v>
      </c>
      <c r="M904" s="1636">
        <v>0</v>
      </c>
      <c r="N904" s="1615">
        <v>10000</v>
      </c>
      <c r="O904" s="1635">
        <v>0</v>
      </c>
      <c r="P904" s="1965" t="s">
        <v>2566</v>
      </c>
      <c r="Q904" s="1966" t="s">
        <v>2571</v>
      </c>
    </row>
    <row r="905" spans="1:17" ht="12.75" customHeight="1">
      <c r="A905" s="1962"/>
      <c r="B905" s="1840"/>
      <c r="C905" s="1850" t="s">
        <v>3463</v>
      </c>
      <c r="D905" s="1934"/>
      <c r="E905" s="1934">
        <v>1</v>
      </c>
      <c r="F905" s="1905"/>
      <c r="G905" s="1963" t="s">
        <v>2573</v>
      </c>
      <c r="H905" s="1964" t="s">
        <v>3464</v>
      </c>
      <c r="I905" s="2310"/>
      <c r="J905" s="2534">
        <v>0</v>
      </c>
      <c r="K905" s="1615">
        <v>0</v>
      </c>
      <c r="L905" s="1636">
        <v>0</v>
      </c>
      <c r="M905" s="1636">
        <v>20000</v>
      </c>
      <c r="N905" s="1615">
        <v>0</v>
      </c>
      <c r="O905" s="1635">
        <v>0</v>
      </c>
      <c r="P905" s="1965" t="s">
        <v>2566</v>
      </c>
      <c r="Q905" s="1966" t="s">
        <v>2587</v>
      </c>
    </row>
    <row r="906" spans="1:17" ht="12.75" customHeight="1">
      <c r="A906" s="1962"/>
      <c r="B906" s="1840"/>
      <c r="C906" s="1850" t="s">
        <v>3465</v>
      </c>
      <c r="D906" s="1934"/>
      <c r="E906" s="1934">
        <v>2</v>
      </c>
      <c r="F906" s="1905"/>
      <c r="G906" s="1963" t="s">
        <v>2581</v>
      </c>
      <c r="H906" s="1964" t="s">
        <v>3466</v>
      </c>
      <c r="I906" s="2310"/>
      <c r="J906" s="2534">
        <v>0</v>
      </c>
      <c r="K906" s="1615">
        <v>0</v>
      </c>
      <c r="L906" s="1636">
        <v>250000</v>
      </c>
      <c r="M906" s="1636"/>
      <c r="N906" s="1615"/>
      <c r="O906" s="1635"/>
      <c r="P906" s="1965">
        <v>13</v>
      </c>
      <c r="Q906" s="1966" t="s">
        <v>2571</v>
      </c>
    </row>
    <row r="907" spans="1:17" ht="12.75" customHeight="1">
      <c r="A907" s="1962"/>
      <c r="B907" s="1840"/>
      <c r="C907" s="1850" t="s">
        <v>3467</v>
      </c>
      <c r="D907" s="1934"/>
      <c r="E907" s="1934">
        <v>3</v>
      </c>
      <c r="F907" s="1905"/>
      <c r="G907" s="1963" t="s">
        <v>2573</v>
      </c>
      <c r="H907" s="1964" t="s">
        <v>3468</v>
      </c>
      <c r="I907" s="2310"/>
      <c r="J907" s="2534">
        <v>0</v>
      </c>
      <c r="K907" s="1615">
        <v>0</v>
      </c>
      <c r="L907" s="1636">
        <v>0</v>
      </c>
      <c r="M907" s="1636">
        <v>40000</v>
      </c>
      <c r="N907" s="1615">
        <v>0</v>
      </c>
      <c r="O907" s="1635">
        <v>0</v>
      </c>
      <c r="P907" s="1965" t="s">
        <v>2566</v>
      </c>
      <c r="Q907" s="1966" t="s">
        <v>2571</v>
      </c>
    </row>
    <row r="908" spans="1:17" ht="12.75" customHeight="1">
      <c r="A908" s="1962"/>
      <c r="B908" s="1840"/>
      <c r="C908" s="1850" t="s">
        <v>4209</v>
      </c>
      <c r="D908" s="1934"/>
      <c r="E908" s="1934">
        <v>1</v>
      </c>
      <c r="F908" s="1905"/>
      <c r="G908" s="1963" t="s">
        <v>3203</v>
      </c>
      <c r="H908" s="1964" t="s">
        <v>2591</v>
      </c>
      <c r="I908" s="2310"/>
      <c r="J908" s="2534">
        <v>0</v>
      </c>
      <c r="K908" s="1615">
        <v>0</v>
      </c>
      <c r="L908" s="1636">
        <v>0</v>
      </c>
      <c r="M908" s="1636">
        <v>0</v>
      </c>
      <c r="N908" s="1615">
        <v>12000</v>
      </c>
      <c r="O908" s="1635">
        <v>0</v>
      </c>
      <c r="P908" s="1965" t="s">
        <v>2566</v>
      </c>
      <c r="Q908" s="1966" t="s">
        <v>2571</v>
      </c>
    </row>
    <row r="909" spans="1:17" ht="12.75" customHeight="1">
      <c r="A909" s="1962"/>
      <c r="B909" s="1840"/>
      <c r="C909" s="1850"/>
      <c r="D909" s="1934"/>
      <c r="E909" s="1934"/>
      <c r="F909" s="1905"/>
      <c r="G909" s="1963"/>
      <c r="H909" s="1964"/>
      <c r="I909" s="2310"/>
      <c r="J909" s="2534"/>
      <c r="K909" s="1615"/>
      <c r="L909" s="1636"/>
      <c r="M909" s="1636"/>
      <c r="N909" s="1615"/>
      <c r="O909" s="1635"/>
      <c r="P909" s="1965"/>
      <c r="Q909" s="1966"/>
    </row>
    <row r="910" spans="1:17" ht="12.75" customHeight="1">
      <c r="A910" s="1962"/>
      <c r="B910" s="1840"/>
      <c r="C910" s="1850"/>
      <c r="D910" s="1934"/>
      <c r="E910" s="1934"/>
      <c r="F910" s="1905"/>
      <c r="G910" s="1963"/>
      <c r="H910" s="1964"/>
      <c r="I910" s="2310"/>
      <c r="J910" s="2534"/>
      <c r="K910" s="1615"/>
      <c r="L910" s="1636"/>
      <c r="M910" s="1636"/>
      <c r="N910" s="1615"/>
      <c r="O910" s="1635"/>
      <c r="P910" s="1965"/>
      <c r="Q910" s="1966"/>
    </row>
    <row r="911" spans="1:17" ht="12.75" customHeight="1">
      <c r="A911" s="1962" t="s">
        <v>3469</v>
      </c>
      <c r="B911" s="1840"/>
      <c r="C911" s="1850" t="s">
        <v>3470</v>
      </c>
      <c r="D911" s="1934"/>
      <c r="E911" s="1934">
        <v>4</v>
      </c>
      <c r="F911" s="1905"/>
      <c r="G911" s="1963" t="s">
        <v>3188</v>
      </c>
      <c r="H911" s="1964" t="s">
        <v>3471</v>
      </c>
      <c r="I911" s="2310"/>
      <c r="J911" s="2534">
        <v>0</v>
      </c>
      <c r="K911" s="1615">
        <v>0</v>
      </c>
      <c r="L911" s="1636">
        <v>0</v>
      </c>
      <c r="M911" s="1636"/>
      <c r="N911" s="1615"/>
      <c r="O911" s="1635"/>
      <c r="P911" s="1965" t="s">
        <v>2566</v>
      </c>
      <c r="Q911" s="1966" t="s">
        <v>2571</v>
      </c>
    </row>
    <row r="912" spans="1:17" ht="12.75" customHeight="1">
      <c r="A912" s="1962"/>
      <c r="B912" s="1840"/>
      <c r="C912" s="1850" t="s">
        <v>3992</v>
      </c>
      <c r="D912" s="1934"/>
      <c r="E912" s="1934"/>
      <c r="F912" s="1905"/>
      <c r="G912" s="1963" t="s">
        <v>2581</v>
      </c>
      <c r="H912" s="1964" t="s">
        <v>3412</v>
      </c>
      <c r="I912" s="2310"/>
      <c r="J912" s="2534">
        <v>0</v>
      </c>
      <c r="K912" s="1615">
        <v>0</v>
      </c>
      <c r="L912" s="1636">
        <v>8000000</v>
      </c>
      <c r="M912" s="1636">
        <v>3000000</v>
      </c>
      <c r="N912" s="1615">
        <v>0</v>
      </c>
      <c r="O912" s="1635">
        <v>0</v>
      </c>
      <c r="P912" s="1965"/>
      <c r="Q912" s="1966" t="s">
        <v>2571</v>
      </c>
    </row>
    <row r="913" spans="1:17" ht="12.75" customHeight="1">
      <c r="A913" s="1962"/>
      <c r="B913" s="1840"/>
      <c r="C913" s="1850" t="s">
        <v>3472</v>
      </c>
      <c r="D913" s="1934"/>
      <c r="E913" s="1934">
        <v>4</v>
      </c>
      <c r="F913" s="1905"/>
      <c r="G913" s="1963" t="s">
        <v>3188</v>
      </c>
      <c r="H913" s="1964" t="s">
        <v>3473</v>
      </c>
      <c r="I913" s="2310"/>
      <c r="J913" s="2534">
        <v>0</v>
      </c>
      <c r="K913" s="1615">
        <v>0</v>
      </c>
      <c r="L913" s="1636">
        <v>200000</v>
      </c>
      <c r="M913" s="1636"/>
      <c r="N913" s="1615"/>
      <c r="O913" s="1635"/>
      <c r="P913" s="1965" t="s">
        <v>2566</v>
      </c>
      <c r="Q913" s="1966" t="s">
        <v>2571</v>
      </c>
    </row>
    <row r="914" spans="1:17" ht="12.75" customHeight="1">
      <c r="A914" s="1962"/>
      <c r="B914" s="1840"/>
      <c r="C914" s="1850" t="s">
        <v>3474</v>
      </c>
      <c r="D914" s="1934"/>
      <c r="E914" s="1934">
        <v>4</v>
      </c>
      <c r="F914" s="1905"/>
      <c r="G914" s="1963" t="s">
        <v>2573</v>
      </c>
      <c r="H914" s="1964" t="s">
        <v>3475</v>
      </c>
      <c r="I914" s="2310"/>
      <c r="J914" s="2534">
        <v>0</v>
      </c>
      <c r="K914" s="1615">
        <v>0</v>
      </c>
      <c r="L914" s="1636">
        <v>200000</v>
      </c>
      <c r="M914" s="1636"/>
      <c r="N914" s="1615"/>
      <c r="O914" s="1635"/>
      <c r="P914" s="1965" t="s">
        <v>2566</v>
      </c>
      <c r="Q914" s="1966" t="s">
        <v>2587</v>
      </c>
    </row>
    <row r="915" spans="1:17" ht="12.75" customHeight="1">
      <c r="A915" s="1962"/>
      <c r="B915" s="1840"/>
      <c r="C915" s="1850" t="s">
        <v>4210</v>
      </c>
      <c r="D915" s="1934"/>
      <c r="E915" s="1934">
        <v>4</v>
      </c>
      <c r="F915" s="1905"/>
      <c r="G915" s="1963" t="s">
        <v>2573</v>
      </c>
      <c r="H915" s="1964" t="s">
        <v>4211</v>
      </c>
      <c r="I915" s="2310"/>
      <c r="J915" s="2534">
        <v>0</v>
      </c>
      <c r="K915" s="1615">
        <v>0</v>
      </c>
      <c r="L915" s="1636">
        <v>0</v>
      </c>
      <c r="M915" s="1636">
        <v>230000</v>
      </c>
      <c r="N915" s="1615">
        <v>0</v>
      </c>
      <c r="O915" s="1635">
        <v>250000</v>
      </c>
      <c r="P915" s="1965" t="s">
        <v>2566</v>
      </c>
      <c r="Q915" s="1966" t="s">
        <v>2587</v>
      </c>
    </row>
    <row r="916" spans="1:17" ht="12.75" customHeight="1">
      <c r="A916" s="1962"/>
      <c r="B916" s="1840"/>
      <c r="C916" s="1850" t="s">
        <v>4212</v>
      </c>
      <c r="D916" s="1934"/>
      <c r="E916" s="1934">
        <v>4</v>
      </c>
      <c r="F916" s="1905"/>
      <c r="G916" s="1963" t="s">
        <v>2573</v>
      </c>
      <c r="H916" s="1964" t="s">
        <v>2784</v>
      </c>
      <c r="I916" s="2310"/>
      <c r="J916" s="2534">
        <v>0</v>
      </c>
      <c r="K916" s="1615">
        <v>0</v>
      </c>
      <c r="L916" s="1636">
        <v>0</v>
      </c>
      <c r="M916" s="1636">
        <v>80000</v>
      </c>
      <c r="N916" s="1615">
        <v>0</v>
      </c>
      <c r="O916" s="1635">
        <v>0</v>
      </c>
      <c r="P916" s="1965" t="s">
        <v>2566</v>
      </c>
      <c r="Q916" s="1966" t="s">
        <v>2571</v>
      </c>
    </row>
    <row r="917" spans="1:17" ht="12.75" customHeight="1">
      <c r="A917" s="1962"/>
      <c r="B917" s="1840"/>
      <c r="C917" s="1850" t="s">
        <v>4213</v>
      </c>
      <c r="D917" s="1934"/>
      <c r="E917" s="1934">
        <v>3</v>
      </c>
      <c r="F917" s="1905"/>
      <c r="G917" s="1963" t="s">
        <v>2573</v>
      </c>
      <c r="H917" s="1964" t="s">
        <v>4214</v>
      </c>
      <c r="I917" s="2310"/>
      <c r="J917" s="2534">
        <v>0</v>
      </c>
      <c r="K917" s="1615">
        <v>0</v>
      </c>
      <c r="L917" s="1636">
        <v>0</v>
      </c>
      <c r="M917" s="1636">
        <v>40000</v>
      </c>
      <c r="N917" s="1615">
        <v>0</v>
      </c>
      <c r="O917" s="1635">
        <v>0</v>
      </c>
      <c r="P917" s="1965" t="s">
        <v>2566</v>
      </c>
      <c r="Q917" s="1966" t="s">
        <v>2571</v>
      </c>
    </row>
    <row r="918" spans="1:17" ht="12.75" customHeight="1">
      <c r="A918" s="1962"/>
      <c r="B918" s="1840"/>
      <c r="C918" s="1850" t="s">
        <v>4215</v>
      </c>
      <c r="D918" s="1934"/>
      <c r="E918" s="1934">
        <v>3</v>
      </c>
      <c r="F918" s="1905"/>
      <c r="G918" s="1963" t="s">
        <v>2573</v>
      </c>
      <c r="H918" s="1964" t="s">
        <v>4216</v>
      </c>
      <c r="I918" s="2310"/>
      <c r="J918" s="2534">
        <v>0</v>
      </c>
      <c r="K918" s="1615">
        <v>0</v>
      </c>
      <c r="L918" s="1636">
        <v>0</v>
      </c>
      <c r="M918" s="1636">
        <v>0</v>
      </c>
      <c r="N918" s="1615">
        <v>80000</v>
      </c>
      <c r="O918" s="1635">
        <v>0</v>
      </c>
      <c r="P918" s="1965" t="s">
        <v>2566</v>
      </c>
      <c r="Q918" s="1966" t="s">
        <v>2587</v>
      </c>
    </row>
    <row r="919" spans="1:17" ht="12.75" customHeight="1">
      <c r="A919" s="1962"/>
      <c r="B919" s="1840"/>
      <c r="C919" s="1850" t="s">
        <v>4217</v>
      </c>
      <c r="D919" s="1934"/>
      <c r="E919" s="1934">
        <v>4</v>
      </c>
      <c r="F919" s="1905"/>
      <c r="G919" s="1963" t="s">
        <v>2573</v>
      </c>
      <c r="H919" s="1964" t="s">
        <v>3138</v>
      </c>
      <c r="I919" s="2310"/>
      <c r="J919" s="2534">
        <v>0</v>
      </c>
      <c r="K919" s="1615">
        <v>0</v>
      </c>
      <c r="L919" s="1636">
        <v>0</v>
      </c>
      <c r="M919" s="1636">
        <v>0</v>
      </c>
      <c r="N919" s="1615">
        <v>80000</v>
      </c>
      <c r="O919" s="1635">
        <v>0</v>
      </c>
      <c r="P919" s="1965" t="s">
        <v>2566</v>
      </c>
      <c r="Q919" s="1966" t="s">
        <v>2571</v>
      </c>
    </row>
    <row r="920" spans="1:17" ht="12.75" customHeight="1">
      <c r="A920" s="1962"/>
      <c r="B920" s="1840"/>
      <c r="C920" s="1850" t="s">
        <v>4218</v>
      </c>
      <c r="D920" s="1934"/>
      <c r="E920" s="1934">
        <v>4</v>
      </c>
      <c r="F920" s="1905"/>
      <c r="G920" s="1963" t="s">
        <v>2581</v>
      </c>
      <c r="H920" s="1964" t="s">
        <v>3412</v>
      </c>
      <c r="I920" s="2310"/>
      <c r="J920" s="2534">
        <v>0</v>
      </c>
      <c r="K920" s="1615">
        <v>0</v>
      </c>
      <c r="L920" s="1636">
        <v>0</v>
      </c>
      <c r="M920" s="1636">
        <v>3000000</v>
      </c>
      <c r="N920" s="1615">
        <v>0</v>
      </c>
      <c r="O920" s="1635">
        <v>0</v>
      </c>
      <c r="P920" s="1965"/>
      <c r="Q920" s="1966" t="s">
        <v>2587</v>
      </c>
    </row>
    <row r="921" spans="1:17" ht="12.75" customHeight="1">
      <c r="A921" s="1962"/>
      <c r="B921" s="1840"/>
      <c r="C921" s="1850"/>
      <c r="D921" s="1934"/>
      <c r="E921" s="1934"/>
      <c r="F921" s="1905"/>
      <c r="G921" s="1963"/>
      <c r="H921" s="1964"/>
      <c r="I921" s="2310"/>
      <c r="J921" s="2534"/>
      <c r="K921" s="1615"/>
      <c r="L921" s="1636"/>
      <c r="M921" s="1636"/>
      <c r="N921" s="1615"/>
      <c r="O921" s="1635"/>
      <c r="P921" s="1965"/>
      <c r="Q921" s="1966"/>
    </row>
    <row r="922" spans="1:17" ht="12.75" customHeight="1">
      <c r="A922" s="1962"/>
      <c r="B922" s="1840"/>
      <c r="C922" s="1850"/>
      <c r="D922" s="1934"/>
      <c r="E922" s="1934"/>
      <c r="F922" s="1905"/>
      <c r="G922" s="1963"/>
      <c r="H922" s="1964"/>
      <c r="I922" s="2310"/>
      <c r="J922" s="2534"/>
      <c r="K922" s="1615"/>
      <c r="L922" s="1636"/>
      <c r="M922" s="1636"/>
      <c r="N922" s="1615"/>
      <c r="O922" s="1635"/>
      <c r="P922" s="1965"/>
      <c r="Q922" s="1966"/>
    </row>
    <row r="923" spans="1:17" ht="12.75" customHeight="1">
      <c r="A923" s="1962"/>
      <c r="B923" s="1840"/>
      <c r="C923" s="1850"/>
      <c r="D923" s="1934"/>
      <c r="E923" s="1934"/>
      <c r="F923" s="1905"/>
      <c r="G923" s="1963"/>
      <c r="H923" s="1964"/>
      <c r="I923" s="2310"/>
      <c r="J923" s="2534"/>
      <c r="K923" s="1615"/>
      <c r="L923" s="1636"/>
      <c r="M923" s="1636"/>
      <c r="N923" s="1615"/>
      <c r="O923" s="1635"/>
      <c r="P923" s="1965"/>
      <c r="Q923" s="1966"/>
    </row>
    <row r="924" spans="1:17" ht="12.75" customHeight="1">
      <c r="A924" s="1962" t="s">
        <v>3476</v>
      </c>
      <c r="B924" s="1840"/>
      <c r="C924" s="1850" t="s">
        <v>4219</v>
      </c>
      <c r="D924" s="1934"/>
      <c r="E924" s="1934">
        <v>3</v>
      </c>
      <c r="F924" s="1905"/>
      <c r="G924" s="1963" t="s">
        <v>2581</v>
      </c>
      <c r="H924" s="1964" t="s">
        <v>3455</v>
      </c>
      <c r="I924" s="2310"/>
      <c r="J924" s="2534">
        <v>0</v>
      </c>
      <c r="K924" s="1615">
        <v>0</v>
      </c>
      <c r="L924" s="1636">
        <v>0</v>
      </c>
      <c r="M924" s="1636">
        <v>350000</v>
      </c>
      <c r="N924" s="1615">
        <v>0</v>
      </c>
      <c r="O924" s="1635">
        <v>0</v>
      </c>
      <c r="P924" s="1965">
        <v>30</v>
      </c>
      <c r="Q924" s="1966" t="s">
        <v>2571</v>
      </c>
    </row>
    <row r="925" spans="1:17" ht="12.75" customHeight="1">
      <c r="A925" s="1962"/>
      <c r="B925" s="1840"/>
      <c r="C925" s="1850" t="s">
        <v>3477</v>
      </c>
      <c r="D925" s="1934"/>
      <c r="E925" s="1934">
        <v>4</v>
      </c>
      <c r="F925" s="1905"/>
      <c r="G925" s="1963" t="s">
        <v>2581</v>
      </c>
      <c r="H925" s="1964" t="s">
        <v>3478</v>
      </c>
      <c r="I925" s="2310"/>
      <c r="J925" s="2534">
        <v>0</v>
      </c>
      <c r="K925" s="1615">
        <v>0</v>
      </c>
      <c r="L925" s="1636">
        <v>0</v>
      </c>
      <c r="M925" s="1636">
        <v>200000</v>
      </c>
      <c r="N925" s="1615">
        <v>0</v>
      </c>
      <c r="O925" s="1635">
        <v>0</v>
      </c>
      <c r="P925" s="1965" t="s">
        <v>4220</v>
      </c>
      <c r="Q925" s="1966" t="s">
        <v>2571</v>
      </c>
    </row>
    <row r="926" spans="1:17" ht="12.75" customHeight="1">
      <c r="A926" s="1962"/>
      <c r="B926" s="1840"/>
      <c r="C926" s="1850" t="s">
        <v>4221</v>
      </c>
      <c r="D926" s="1934"/>
      <c r="E926" s="1934">
        <v>3</v>
      </c>
      <c r="F926" s="1905"/>
      <c r="G926" s="1963" t="s">
        <v>2581</v>
      </c>
      <c r="H926" s="1964" t="s">
        <v>3479</v>
      </c>
      <c r="I926" s="2310"/>
      <c r="J926" s="2534">
        <v>0</v>
      </c>
      <c r="K926" s="1615">
        <v>0</v>
      </c>
      <c r="L926" s="1636">
        <v>849000</v>
      </c>
      <c r="M926" s="1636">
        <v>0</v>
      </c>
      <c r="N926" s="1615">
        <v>100000</v>
      </c>
      <c r="O926" s="1635"/>
      <c r="P926" s="1965">
        <v>32</v>
      </c>
      <c r="Q926" s="1966" t="s">
        <v>2571</v>
      </c>
    </row>
    <row r="927" spans="1:17" ht="12.75" customHeight="1">
      <c r="A927" s="1962"/>
      <c r="B927" s="1840"/>
      <c r="C927" s="1850" t="s">
        <v>3480</v>
      </c>
      <c r="D927" s="1934"/>
      <c r="E927" s="1934">
        <v>3</v>
      </c>
      <c r="F927" s="1905"/>
      <c r="G927" s="1963" t="s">
        <v>3186</v>
      </c>
      <c r="H927" s="1964" t="s">
        <v>3481</v>
      </c>
      <c r="I927" s="2310"/>
      <c r="J927" s="2534">
        <v>0</v>
      </c>
      <c r="K927" s="1615">
        <v>0</v>
      </c>
      <c r="L927" s="1636">
        <v>0</v>
      </c>
      <c r="M927" s="1636"/>
      <c r="N927" s="1615"/>
      <c r="O927" s="1635"/>
      <c r="P927" s="1965" t="s">
        <v>2566</v>
      </c>
      <c r="Q927" s="1966"/>
    </row>
    <row r="928" spans="1:17" ht="12.75" customHeight="1">
      <c r="A928" s="1962"/>
      <c r="B928" s="1840"/>
      <c r="C928" s="1850" t="s">
        <v>4213</v>
      </c>
      <c r="D928" s="1934"/>
      <c r="E928" s="1934">
        <v>3</v>
      </c>
      <c r="F928" s="1905"/>
      <c r="G928" s="1963" t="s">
        <v>2573</v>
      </c>
      <c r="H928" s="1964" t="s">
        <v>4214</v>
      </c>
      <c r="I928" s="2310"/>
      <c r="J928" s="2534">
        <v>0</v>
      </c>
      <c r="K928" s="1615">
        <v>0</v>
      </c>
      <c r="L928" s="1636">
        <v>0</v>
      </c>
      <c r="M928" s="1636">
        <v>40000</v>
      </c>
      <c r="N928" s="1615">
        <v>0</v>
      </c>
      <c r="O928" s="1635">
        <v>0</v>
      </c>
      <c r="P928" s="1965" t="s">
        <v>2566</v>
      </c>
      <c r="Q928" s="1966" t="s">
        <v>2571</v>
      </c>
    </row>
    <row r="929" spans="1:17" ht="12.75" customHeight="1">
      <c r="A929" s="1962"/>
      <c r="B929" s="1840"/>
      <c r="C929" s="1850" t="s">
        <v>4222</v>
      </c>
      <c r="D929" s="1934"/>
      <c r="E929" s="1934">
        <v>4</v>
      </c>
      <c r="F929" s="1905"/>
      <c r="G929" s="1963" t="s">
        <v>2581</v>
      </c>
      <c r="H929" s="1964" t="s">
        <v>2697</v>
      </c>
      <c r="I929" s="2310"/>
      <c r="J929" s="2534">
        <v>0</v>
      </c>
      <c r="K929" s="1615">
        <v>0</v>
      </c>
      <c r="L929" s="1636">
        <v>0</v>
      </c>
      <c r="M929" s="1636">
        <v>0</v>
      </c>
      <c r="N929" s="1615">
        <v>735000</v>
      </c>
      <c r="O929" s="1635">
        <v>0</v>
      </c>
      <c r="P929" s="1965">
        <v>16</v>
      </c>
      <c r="Q929" s="1966" t="s">
        <v>2587</v>
      </c>
    </row>
    <row r="930" spans="1:17" ht="12.75" customHeight="1">
      <c r="A930" s="1962"/>
      <c r="B930" s="1840"/>
      <c r="C930" s="1850" t="s">
        <v>4223</v>
      </c>
      <c r="D930" s="1934"/>
      <c r="E930" s="1934">
        <v>4</v>
      </c>
      <c r="F930" s="1905"/>
      <c r="G930" s="1963" t="s">
        <v>2573</v>
      </c>
      <c r="H930" s="1964" t="s">
        <v>3138</v>
      </c>
      <c r="I930" s="2310"/>
      <c r="J930" s="2534">
        <v>0</v>
      </c>
      <c r="K930" s="1615">
        <v>0</v>
      </c>
      <c r="L930" s="1636">
        <v>0</v>
      </c>
      <c r="M930" s="1636">
        <v>0</v>
      </c>
      <c r="N930" s="1615">
        <v>60000</v>
      </c>
      <c r="O930" s="1635">
        <v>0</v>
      </c>
      <c r="P930" s="1965" t="s">
        <v>2566</v>
      </c>
      <c r="Q930" s="1966" t="s">
        <v>2571</v>
      </c>
    </row>
    <row r="931" spans="1:17" ht="12.75" customHeight="1">
      <c r="A931" s="1962"/>
      <c r="B931" s="1840"/>
      <c r="C931" s="1850" t="s">
        <v>4224</v>
      </c>
      <c r="D931" s="1934"/>
      <c r="E931" s="1934">
        <v>4</v>
      </c>
      <c r="F931" s="1905"/>
      <c r="G931" s="1963" t="s">
        <v>2581</v>
      </c>
      <c r="H931" s="1964" t="s">
        <v>3479</v>
      </c>
      <c r="I931" s="2310"/>
      <c r="J931" s="2534">
        <v>0</v>
      </c>
      <c r="K931" s="1615">
        <v>0</v>
      </c>
      <c r="L931" s="1636">
        <v>0</v>
      </c>
      <c r="M931" s="1636">
        <v>0</v>
      </c>
      <c r="N931" s="1615">
        <v>550000</v>
      </c>
      <c r="O931" s="1635">
        <v>0</v>
      </c>
      <c r="P931" s="1965">
        <v>16</v>
      </c>
      <c r="Q931" s="1966" t="s">
        <v>2571</v>
      </c>
    </row>
    <row r="932" spans="1:17" ht="12.75" customHeight="1">
      <c r="A932" s="1962"/>
      <c r="B932" s="1840"/>
      <c r="C932" s="1850" t="s">
        <v>4225</v>
      </c>
      <c r="D932" s="1934"/>
      <c r="E932" s="1934">
        <v>3</v>
      </c>
      <c r="F932" s="1905"/>
      <c r="G932" s="1963" t="s">
        <v>2581</v>
      </c>
      <c r="H932" s="1964" t="s">
        <v>3455</v>
      </c>
      <c r="I932" s="2310"/>
      <c r="J932" s="2534">
        <v>0</v>
      </c>
      <c r="K932" s="1615">
        <v>0</v>
      </c>
      <c r="L932" s="1636">
        <v>0</v>
      </c>
      <c r="M932" s="1636">
        <v>0</v>
      </c>
      <c r="N932" s="1615">
        <v>0</v>
      </c>
      <c r="O932" s="1635">
        <v>450000</v>
      </c>
      <c r="P932" s="1965">
        <v>10</v>
      </c>
      <c r="Q932" s="1966" t="s">
        <v>2571</v>
      </c>
    </row>
    <row r="933" spans="1:17" ht="12.75" customHeight="1">
      <c r="A933" s="1962"/>
      <c r="B933" s="1840"/>
      <c r="C933" s="1850" t="s">
        <v>4226</v>
      </c>
      <c r="D933" s="1934"/>
      <c r="E933" s="1934">
        <v>3</v>
      </c>
      <c r="F933" s="1905"/>
      <c r="G933" s="1963" t="s">
        <v>2581</v>
      </c>
      <c r="H933" s="1964" t="s">
        <v>3455</v>
      </c>
      <c r="I933" s="2310"/>
      <c r="J933" s="2534">
        <v>0</v>
      </c>
      <c r="K933" s="1615">
        <v>0</v>
      </c>
      <c r="L933" s="1636">
        <v>0</v>
      </c>
      <c r="M933" s="1636">
        <v>475000</v>
      </c>
      <c r="N933" s="1615">
        <v>0</v>
      </c>
      <c r="O933" s="1635">
        <v>0</v>
      </c>
      <c r="P933" s="1965" t="s">
        <v>2566</v>
      </c>
      <c r="Q933" s="1966" t="s">
        <v>2571</v>
      </c>
    </row>
    <row r="934" spans="1:17" ht="12.75" customHeight="1">
      <c r="A934" s="1962"/>
      <c r="B934" s="1840"/>
      <c r="C934" s="1850"/>
      <c r="D934" s="1934"/>
      <c r="E934" s="1934"/>
      <c r="F934" s="1905"/>
      <c r="G934" s="1963"/>
      <c r="H934" s="1964"/>
      <c r="I934" s="2310"/>
      <c r="J934" s="2534"/>
      <c r="K934" s="1615"/>
      <c r="L934" s="1636"/>
      <c r="M934" s="1636"/>
      <c r="N934" s="1615"/>
      <c r="O934" s="1635"/>
      <c r="P934" s="1965"/>
      <c r="Q934" s="1966"/>
    </row>
    <row r="935" spans="1:17" ht="12.75" customHeight="1">
      <c r="A935" s="1962"/>
      <c r="B935" s="1840"/>
      <c r="C935" s="1850"/>
      <c r="D935" s="1934"/>
      <c r="E935" s="1934"/>
      <c r="F935" s="1905"/>
      <c r="G935" s="1963"/>
      <c r="H935" s="1964"/>
      <c r="I935" s="2310"/>
      <c r="J935" s="2534"/>
      <c r="K935" s="1615"/>
      <c r="L935" s="1636"/>
      <c r="M935" s="1636"/>
      <c r="N935" s="1615"/>
      <c r="O935" s="1635"/>
      <c r="P935" s="1965"/>
      <c r="Q935" s="1966"/>
    </row>
    <row r="936" spans="1:17" ht="12.75" customHeight="1">
      <c r="A936" s="1962"/>
      <c r="B936" s="1840"/>
      <c r="C936" s="1850"/>
      <c r="D936" s="1934"/>
      <c r="E936" s="1934"/>
      <c r="F936" s="1905"/>
      <c r="G936" s="1963"/>
      <c r="H936" s="1964"/>
      <c r="I936" s="2310"/>
      <c r="J936" s="2534"/>
      <c r="K936" s="1615"/>
      <c r="L936" s="1636"/>
      <c r="M936" s="1636"/>
      <c r="N936" s="1615"/>
      <c r="O936" s="1635"/>
      <c r="P936" s="1965"/>
      <c r="Q936" s="1966"/>
    </row>
    <row r="937" spans="1:17" ht="12.75" customHeight="1">
      <c r="A937" s="1962"/>
      <c r="B937" s="1840"/>
      <c r="C937" s="1850"/>
      <c r="D937" s="1934"/>
      <c r="E937" s="1934"/>
      <c r="F937" s="1905"/>
      <c r="G937" s="1963"/>
      <c r="H937" s="1964"/>
      <c r="I937" s="2310"/>
      <c r="J937" s="2534"/>
      <c r="K937" s="1615"/>
      <c r="L937" s="1636"/>
      <c r="M937" s="1636"/>
      <c r="N937" s="1615"/>
      <c r="O937" s="1635"/>
      <c r="P937" s="1965"/>
      <c r="Q937" s="1966"/>
    </row>
    <row r="938" spans="1:17" ht="12.75" customHeight="1">
      <c r="A938" s="1962"/>
      <c r="B938" s="1840"/>
      <c r="C938" s="1850"/>
      <c r="D938" s="1934"/>
      <c r="E938" s="1934"/>
      <c r="F938" s="1905"/>
      <c r="G938" s="1963"/>
      <c r="H938" s="1964"/>
      <c r="I938" s="2310"/>
      <c r="J938" s="2534"/>
      <c r="K938" s="1615"/>
      <c r="L938" s="1636"/>
      <c r="M938" s="1636"/>
      <c r="N938" s="1615"/>
      <c r="O938" s="1635"/>
      <c r="P938" s="1965"/>
      <c r="Q938" s="1966"/>
    </row>
    <row r="939" spans="1:17" ht="12.75" customHeight="1">
      <c r="A939" s="1962"/>
      <c r="B939" s="1840"/>
      <c r="C939" s="1850"/>
      <c r="D939" s="1934"/>
      <c r="E939" s="1934"/>
      <c r="F939" s="1905"/>
      <c r="G939" s="1963"/>
      <c r="H939" s="1964"/>
      <c r="I939" s="2310"/>
      <c r="J939" s="2534"/>
      <c r="K939" s="1615"/>
      <c r="L939" s="1636"/>
      <c r="M939" s="1636"/>
      <c r="N939" s="1615"/>
      <c r="O939" s="1635"/>
      <c r="P939" s="1965"/>
      <c r="Q939" s="1966"/>
    </row>
    <row r="940" spans="1:17" ht="12.75" customHeight="1">
      <c r="A940" s="1962" t="s">
        <v>3482</v>
      </c>
      <c r="B940" s="1840"/>
      <c r="C940" s="1850" t="s">
        <v>3483</v>
      </c>
      <c r="D940" s="1934"/>
      <c r="E940" s="1934"/>
      <c r="F940" s="1905"/>
      <c r="G940" s="1963" t="s">
        <v>3188</v>
      </c>
      <c r="H940" s="1964" t="s">
        <v>3473</v>
      </c>
      <c r="I940" s="2310"/>
      <c r="J940" s="2534">
        <v>0</v>
      </c>
      <c r="K940" s="1615">
        <v>0</v>
      </c>
      <c r="L940" s="1636">
        <v>0</v>
      </c>
      <c r="M940" s="1636"/>
      <c r="N940" s="1615"/>
      <c r="O940" s="1635"/>
      <c r="P940" s="1965">
        <v>22</v>
      </c>
      <c r="Q940" s="1966" t="s">
        <v>2587</v>
      </c>
    </row>
    <row r="941" spans="1:17" ht="12.75" customHeight="1">
      <c r="A941" s="1962"/>
      <c r="B941" s="1840"/>
      <c r="C941" s="1850" t="s">
        <v>3484</v>
      </c>
      <c r="D941" s="1934"/>
      <c r="E941" s="1934"/>
      <c r="F941" s="1905"/>
      <c r="G941" s="1963" t="s">
        <v>2573</v>
      </c>
      <c r="H941" s="1964" t="s">
        <v>3485</v>
      </c>
      <c r="I941" s="2310"/>
      <c r="J941" s="2534">
        <v>0</v>
      </c>
      <c r="K941" s="1615">
        <v>0</v>
      </c>
      <c r="L941" s="1636">
        <v>0</v>
      </c>
      <c r="M941" s="1636"/>
      <c r="N941" s="1615"/>
      <c r="O941" s="1635"/>
      <c r="P941" s="1965">
        <v>22</v>
      </c>
      <c r="Q941" s="1966" t="s">
        <v>2587</v>
      </c>
    </row>
    <row r="942" spans="1:17" ht="12.75" customHeight="1">
      <c r="A942" s="1962"/>
      <c r="B942" s="1840"/>
      <c r="C942" s="1850" t="s">
        <v>3486</v>
      </c>
      <c r="D942" s="1934"/>
      <c r="E942" s="1934"/>
      <c r="F942" s="1905"/>
      <c r="G942" s="1963" t="s">
        <v>2569</v>
      </c>
      <c r="H942" s="1964" t="s">
        <v>3272</v>
      </c>
      <c r="I942" s="2310"/>
      <c r="J942" s="2534">
        <v>0</v>
      </c>
      <c r="K942" s="1615">
        <v>0</v>
      </c>
      <c r="L942" s="1636">
        <v>0</v>
      </c>
      <c r="M942" s="1636"/>
      <c r="N942" s="1615"/>
      <c r="O942" s="1635"/>
      <c r="P942" s="1965">
        <v>22</v>
      </c>
      <c r="Q942" s="1966" t="s">
        <v>2587</v>
      </c>
    </row>
    <row r="943" spans="1:17" ht="12.75" customHeight="1">
      <c r="A943" s="1962"/>
      <c r="B943" s="1840"/>
      <c r="C943" s="1850" t="s">
        <v>3487</v>
      </c>
      <c r="D943" s="1934"/>
      <c r="E943" s="1934"/>
      <c r="F943" s="1905"/>
      <c r="G943" s="1963" t="s">
        <v>2573</v>
      </c>
      <c r="H943" s="1964" t="s">
        <v>3229</v>
      </c>
      <c r="I943" s="2310"/>
      <c r="J943" s="2534">
        <v>0</v>
      </c>
      <c r="K943" s="1615">
        <v>0</v>
      </c>
      <c r="L943" s="1636">
        <v>0</v>
      </c>
      <c r="M943" s="1636"/>
      <c r="N943" s="1615"/>
      <c r="O943" s="1635"/>
      <c r="P943" s="1965">
        <v>22</v>
      </c>
      <c r="Q943" s="1966" t="s">
        <v>2587</v>
      </c>
    </row>
    <row r="944" spans="1:17" ht="12.75" customHeight="1">
      <c r="A944" s="1962"/>
      <c r="B944" s="1840"/>
      <c r="C944" s="1850" t="s">
        <v>3488</v>
      </c>
      <c r="D944" s="1934"/>
      <c r="E944" s="1934"/>
      <c r="F944" s="1905"/>
      <c r="G944" s="1963" t="s">
        <v>2573</v>
      </c>
      <c r="H944" s="1964" t="s">
        <v>3489</v>
      </c>
      <c r="I944" s="2310"/>
      <c r="J944" s="2534">
        <v>0</v>
      </c>
      <c r="K944" s="1615">
        <v>0</v>
      </c>
      <c r="L944" s="1636">
        <v>0</v>
      </c>
      <c r="M944" s="1636"/>
      <c r="N944" s="1615"/>
      <c r="O944" s="1635"/>
      <c r="P944" s="1965">
        <v>22</v>
      </c>
      <c r="Q944" s="1966" t="s">
        <v>2587</v>
      </c>
    </row>
    <row r="945" spans="1:17" ht="12.75" customHeight="1">
      <c r="A945" s="1962"/>
      <c r="B945" s="1840"/>
      <c r="C945" s="1850" t="s">
        <v>3490</v>
      </c>
      <c r="D945" s="1934"/>
      <c r="E945" s="1934"/>
      <c r="F945" s="1905"/>
      <c r="G945" s="1963" t="s">
        <v>2564</v>
      </c>
      <c r="H945" s="1964" t="s">
        <v>2591</v>
      </c>
      <c r="I945" s="2310"/>
      <c r="J945" s="2534">
        <v>0</v>
      </c>
      <c r="K945" s="1615">
        <v>0</v>
      </c>
      <c r="L945" s="1636">
        <v>0</v>
      </c>
      <c r="M945" s="1636"/>
      <c r="N945" s="1615"/>
      <c r="O945" s="1635"/>
      <c r="P945" s="1965">
        <v>22</v>
      </c>
      <c r="Q945" s="1966" t="s">
        <v>2587</v>
      </c>
    </row>
    <row r="946" spans="1:17" ht="12.75" customHeight="1">
      <c r="A946" s="1962"/>
      <c r="B946" s="1840"/>
      <c r="C946" s="1850" t="s">
        <v>3491</v>
      </c>
      <c r="D946" s="1934"/>
      <c r="E946" s="1934"/>
      <c r="F946" s="1905"/>
      <c r="G946" s="1963" t="s">
        <v>2569</v>
      </c>
      <c r="H946" s="1964" t="s">
        <v>2786</v>
      </c>
      <c r="I946" s="2310"/>
      <c r="J946" s="2534">
        <v>0</v>
      </c>
      <c r="K946" s="1615">
        <v>0</v>
      </c>
      <c r="L946" s="1636">
        <v>0</v>
      </c>
      <c r="M946" s="1636"/>
      <c r="N946" s="1615"/>
      <c r="O946" s="1635"/>
      <c r="P946" s="1965">
        <v>22</v>
      </c>
      <c r="Q946" s="1966" t="s">
        <v>2587</v>
      </c>
    </row>
    <row r="947" spans="1:17" ht="12.75" customHeight="1">
      <c r="A947" s="1962"/>
      <c r="B947" s="1840"/>
      <c r="C947" s="1850" t="s">
        <v>3492</v>
      </c>
      <c r="D947" s="1934"/>
      <c r="E947" s="1934"/>
      <c r="F947" s="1905"/>
      <c r="G947" s="1963" t="s">
        <v>3203</v>
      </c>
      <c r="H947" s="1964" t="s">
        <v>3204</v>
      </c>
      <c r="I947" s="2310"/>
      <c r="J947" s="2534">
        <v>0</v>
      </c>
      <c r="K947" s="1615">
        <v>0</v>
      </c>
      <c r="L947" s="1636">
        <v>0</v>
      </c>
      <c r="M947" s="1636"/>
      <c r="N947" s="1615"/>
      <c r="O947" s="1635"/>
      <c r="P947" s="1965" t="s">
        <v>3493</v>
      </c>
      <c r="Q947" s="1966" t="s">
        <v>2587</v>
      </c>
    </row>
    <row r="948" spans="1:17" ht="12.75" customHeight="1">
      <c r="A948" s="1962"/>
      <c r="B948" s="1840"/>
      <c r="C948" s="1850" t="s">
        <v>3494</v>
      </c>
      <c r="D948" s="1934"/>
      <c r="E948" s="1934"/>
      <c r="F948" s="1905"/>
      <c r="G948" s="1963" t="s">
        <v>2569</v>
      </c>
      <c r="H948" s="1964" t="s">
        <v>3495</v>
      </c>
      <c r="I948" s="2310"/>
      <c r="J948" s="2534">
        <v>0</v>
      </c>
      <c r="K948" s="1615">
        <v>0</v>
      </c>
      <c r="L948" s="1636">
        <v>0</v>
      </c>
      <c r="M948" s="1636"/>
      <c r="N948" s="1615"/>
      <c r="O948" s="1635"/>
      <c r="P948" s="1965">
        <v>22</v>
      </c>
      <c r="Q948" s="1966" t="s">
        <v>2571</v>
      </c>
    </row>
    <row r="949" spans="1:17" ht="12.75" customHeight="1">
      <c r="A949" s="1962"/>
      <c r="B949" s="1840"/>
      <c r="C949" s="1850" t="s">
        <v>3496</v>
      </c>
      <c r="D949" s="1934"/>
      <c r="E949" s="1934"/>
      <c r="F949" s="1905"/>
      <c r="G949" s="1963" t="s">
        <v>2564</v>
      </c>
      <c r="H949" s="1964" t="s">
        <v>3280</v>
      </c>
      <c r="I949" s="2310"/>
      <c r="J949" s="2534">
        <v>0</v>
      </c>
      <c r="K949" s="1615">
        <v>0</v>
      </c>
      <c r="L949" s="1636">
        <v>0</v>
      </c>
      <c r="M949" s="1636"/>
      <c r="N949" s="1615"/>
      <c r="O949" s="1635"/>
      <c r="P949" s="1965">
        <v>22</v>
      </c>
      <c r="Q949" s="1966" t="s">
        <v>2571</v>
      </c>
    </row>
    <row r="950" spans="1:17" ht="12.75" customHeight="1">
      <c r="A950" s="1962"/>
      <c r="B950" s="1840"/>
      <c r="C950" s="1850" t="s">
        <v>3497</v>
      </c>
      <c r="D950" s="1934"/>
      <c r="E950" s="1934"/>
      <c r="F950" s="1905"/>
      <c r="G950" s="1963" t="s">
        <v>2569</v>
      </c>
      <c r="H950" s="1964" t="s">
        <v>2980</v>
      </c>
      <c r="I950" s="2310"/>
      <c r="J950" s="2534">
        <v>0</v>
      </c>
      <c r="K950" s="1615">
        <v>0</v>
      </c>
      <c r="L950" s="1636">
        <v>0</v>
      </c>
      <c r="M950" s="1636"/>
      <c r="N950" s="1615"/>
      <c r="O950" s="1635"/>
      <c r="P950" s="1965">
        <v>22</v>
      </c>
      <c r="Q950" s="1966" t="s">
        <v>2571</v>
      </c>
    </row>
    <row r="951" spans="1:17" ht="12.75" customHeight="1">
      <c r="A951" s="1962"/>
      <c r="B951" s="1840"/>
      <c r="C951" s="1850" t="s">
        <v>3498</v>
      </c>
      <c r="D951" s="1934"/>
      <c r="E951" s="1934"/>
      <c r="F951" s="1905"/>
      <c r="G951" s="1963" t="s">
        <v>3188</v>
      </c>
      <c r="H951" s="1964" t="s">
        <v>3174</v>
      </c>
      <c r="I951" s="2310"/>
      <c r="J951" s="2534">
        <v>0</v>
      </c>
      <c r="K951" s="1615">
        <v>0</v>
      </c>
      <c r="L951" s="1636">
        <v>0</v>
      </c>
      <c r="M951" s="1636"/>
      <c r="N951" s="1615"/>
      <c r="O951" s="1635"/>
      <c r="P951" s="1965" t="s">
        <v>3499</v>
      </c>
      <c r="Q951" s="1966" t="s">
        <v>2587</v>
      </c>
    </row>
    <row r="952" spans="1:17" ht="12.75" customHeight="1">
      <c r="A952" s="1962"/>
      <c r="B952" s="1840"/>
      <c r="C952" s="1850"/>
      <c r="D952" s="1934"/>
      <c r="E952" s="1934"/>
      <c r="F952" s="1905"/>
      <c r="G952" s="1963"/>
      <c r="H952" s="1964"/>
      <c r="I952" s="2310"/>
      <c r="J952" s="2534"/>
      <c r="K952" s="1615"/>
      <c r="L952" s="1636"/>
      <c r="M952" s="1636"/>
      <c r="N952" s="1615"/>
      <c r="O952" s="1635"/>
      <c r="P952" s="1965"/>
      <c r="Q952" s="1966"/>
    </row>
    <row r="953" spans="1:17" ht="12.75" customHeight="1">
      <c r="A953" s="1962"/>
      <c r="B953" s="1840"/>
      <c r="C953" s="1850"/>
      <c r="D953" s="1934"/>
      <c r="E953" s="1934"/>
      <c r="F953" s="1905"/>
      <c r="G953" s="1963"/>
      <c r="H953" s="1964"/>
      <c r="I953" s="2310"/>
      <c r="J953" s="2534"/>
      <c r="K953" s="1615"/>
      <c r="L953" s="1636"/>
      <c r="M953" s="1636"/>
      <c r="N953" s="1615"/>
      <c r="O953" s="1635"/>
      <c r="P953" s="1965"/>
      <c r="Q953" s="1966"/>
    </row>
    <row r="954" spans="1:17" ht="12.75" customHeight="1">
      <c r="A954" s="1962" t="s">
        <v>3500</v>
      </c>
      <c r="B954" s="1840"/>
      <c r="C954" s="1850" t="s">
        <v>3501</v>
      </c>
      <c r="D954" s="1934"/>
      <c r="E954" s="1934">
        <v>3</v>
      </c>
      <c r="F954" s="1905"/>
      <c r="G954" s="1963" t="s">
        <v>2564</v>
      </c>
      <c r="H954" s="1964" t="s">
        <v>3280</v>
      </c>
      <c r="I954" s="2310"/>
      <c r="J954" s="2534">
        <v>0</v>
      </c>
      <c r="K954" s="1615">
        <v>0</v>
      </c>
      <c r="L954" s="1636">
        <v>6000</v>
      </c>
      <c r="M954" s="1636"/>
      <c r="N954" s="1615"/>
      <c r="O954" s="1635"/>
      <c r="P954" s="1965">
        <v>14</v>
      </c>
      <c r="Q954" s="1966" t="s">
        <v>2571</v>
      </c>
    </row>
    <row r="955" spans="1:17" ht="12.75" customHeight="1">
      <c r="A955" s="1962"/>
      <c r="B955" s="1840"/>
      <c r="C955" s="1850" t="s">
        <v>3502</v>
      </c>
      <c r="D955" s="1934"/>
      <c r="E955" s="1934">
        <v>3</v>
      </c>
      <c r="F955" s="1905"/>
      <c r="G955" s="1963" t="s">
        <v>2564</v>
      </c>
      <c r="H955" s="1964" t="s">
        <v>3503</v>
      </c>
      <c r="I955" s="2310"/>
      <c r="J955" s="2534">
        <v>0</v>
      </c>
      <c r="K955" s="1615">
        <v>0</v>
      </c>
      <c r="L955" s="1636">
        <v>40000</v>
      </c>
      <c r="M955" s="1636"/>
      <c r="N955" s="1615"/>
      <c r="O955" s="1635"/>
      <c r="P955" s="1965">
        <v>14</v>
      </c>
      <c r="Q955" s="1966" t="s">
        <v>2571</v>
      </c>
    </row>
    <row r="956" spans="1:17" ht="12.75" customHeight="1">
      <c r="A956" s="1962"/>
      <c r="B956" s="1840"/>
      <c r="C956" s="1850" t="s">
        <v>3504</v>
      </c>
      <c r="D956" s="1934"/>
      <c r="E956" s="1934">
        <v>3</v>
      </c>
      <c r="F956" s="1905"/>
      <c r="G956" s="1963" t="s">
        <v>2564</v>
      </c>
      <c r="H956" s="1964" t="s">
        <v>2623</v>
      </c>
      <c r="I956" s="2310"/>
      <c r="J956" s="2534">
        <v>0</v>
      </c>
      <c r="K956" s="1615">
        <v>0</v>
      </c>
      <c r="L956" s="1636">
        <v>15000</v>
      </c>
      <c r="M956" s="1636"/>
      <c r="N956" s="1615"/>
      <c r="O956" s="1635"/>
      <c r="P956" s="1965">
        <v>14</v>
      </c>
      <c r="Q956" s="1966" t="s">
        <v>2571</v>
      </c>
    </row>
    <row r="957" spans="1:17" ht="12.75" customHeight="1">
      <c r="A957" s="1962"/>
      <c r="B957" s="1840"/>
      <c r="C957" s="1850" t="s">
        <v>3505</v>
      </c>
      <c r="D957" s="1934"/>
      <c r="E957" s="1934">
        <v>3</v>
      </c>
      <c r="F957" s="1905"/>
      <c r="G957" s="1963" t="s">
        <v>2564</v>
      </c>
      <c r="H957" s="1964" t="s">
        <v>3204</v>
      </c>
      <c r="I957" s="2310"/>
      <c r="J957" s="2534">
        <v>0</v>
      </c>
      <c r="K957" s="1615">
        <v>0</v>
      </c>
      <c r="L957" s="1636">
        <v>45000</v>
      </c>
      <c r="M957" s="1636"/>
      <c r="N957" s="1615"/>
      <c r="O957" s="1635"/>
      <c r="P957" s="1965">
        <v>14</v>
      </c>
      <c r="Q957" s="1966" t="s">
        <v>2587</v>
      </c>
    </row>
    <row r="958" spans="1:17" ht="12.75" customHeight="1">
      <c r="A958" s="1962"/>
      <c r="B958" s="1840"/>
      <c r="C958" s="1850" t="s">
        <v>3506</v>
      </c>
      <c r="D958" s="1934"/>
      <c r="E958" s="1934">
        <v>3</v>
      </c>
      <c r="F958" s="1905"/>
      <c r="G958" s="1963" t="s">
        <v>3188</v>
      </c>
      <c r="H958" s="1964" t="s">
        <v>3507</v>
      </c>
      <c r="I958" s="2310"/>
      <c r="J958" s="2534">
        <v>0</v>
      </c>
      <c r="K958" s="1615">
        <v>0</v>
      </c>
      <c r="L958" s="1636">
        <v>0</v>
      </c>
      <c r="M958" s="1636"/>
      <c r="N958" s="1615"/>
      <c r="O958" s="1635"/>
      <c r="P958" s="1965" t="s">
        <v>2566</v>
      </c>
      <c r="Q958" s="1966" t="s">
        <v>2587</v>
      </c>
    </row>
    <row r="959" spans="1:17" ht="12.75" customHeight="1">
      <c r="A959" s="1962"/>
      <c r="B959" s="1840"/>
      <c r="C959" s="1850" t="s">
        <v>3508</v>
      </c>
      <c r="D959" s="1934"/>
      <c r="E959" s="1934">
        <v>3</v>
      </c>
      <c r="F959" s="1905"/>
      <c r="G959" s="1963" t="s">
        <v>2573</v>
      </c>
      <c r="H959" s="1964" t="s">
        <v>3509</v>
      </c>
      <c r="I959" s="2310"/>
      <c r="J959" s="2534">
        <v>0</v>
      </c>
      <c r="K959" s="1615">
        <v>0</v>
      </c>
      <c r="L959" s="1636">
        <v>50000</v>
      </c>
      <c r="M959" s="1636">
        <v>55000</v>
      </c>
      <c r="N959" s="1615">
        <v>60000</v>
      </c>
      <c r="O959" s="1635">
        <v>63000</v>
      </c>
      <c r="P959" s="1965">
        <v>18</v>
      </c>
      <c r="Q959" s="1966" t="s">
        <v>2571</v>
      </c>
    </row>
    <row r="960" spans="1:17" ht="12.75" customHeight="1">
      <c r="A960" s="1962"/>
      <c r="B960" s="1840"/>
      <c r="C960" s="1850" t="s">
        <v>3510</v>
      </c>
      <c r="D960" s="1934"/>
      <c r="E960" s="1934">
        <v>3</v>
      </c>
      <c r="F960" s="1905"/>
      <c r="G960" s="1963" t="s">
        <v>2573</v>
      </c>
      <c r="H960" s="1964" t="s">
        <v>3509</v>
      </c>
      <c r="I960" s="2310"/>
      <c r="J960" s="2534">
        <v>0</v>
      </c>
      <c r="K960" s="1615">
        <v>0</v>
      </c>
      <c r="L960" s="1636">
        <v>30000</v>
      </c>
      <c r="M960" s="1636">
        <v>35000</v>
      </c>
      <c r="N960" s="1615">
        <v>38000</v>
      </c>
      <c r="O960" s="1635">
        <v>40000</v>
      </c>
      <c r="P960" s="1965">
        <v>36</v>
      </c>
      <c r="Q960" s="1966" t="s">
        <v>2571</v>
      </c>
    </row>
    <row r="961" spans="1:17" ht="12.75" customHeight="1">
      <c r="A961" s="1962"/>
      <c r="B961" s="1840"/>
      <c r="C961" s="1850" t="s">
        <v>3511</v>
      </c>
      <c r="D961" s="1934"/>
      <c r="E961" s="1934">
        <v>3</v>
      </c>
      <c r="F961" s="1905"/>
      <c r="G961" s="1963" t="s">
        <v>2573</v>
      </c>
      <c r="H961" s="1964" t="s">
        <v>3509</v>
      </c>
      <c r="I961" s="2310"/>
      <c r="J961" s="2534">
        <v>0</v>
      </c>
      <c r="K961" s="1615">
        <v>0</v>
      </c>
      <c r="L961" s="1636">
        <v>40000</v>
      </c>
      <c r="M961" s="1636">
        <v>45000</v>
      </c>
      <c r="N961" s="1615">
        <v>47000</v>
      </c>
      <c r="O961" s="1635">
        <v>50000</v>
      </c>
      <c r="P961" s="1965">
        <v>32</v>
      </c>
      <c r="Q961" s="1966" t="s">
        <v>2571</v>
      </c>
    </row>
    <row r="962" spans="1:17" ht="12.75" customHeight="1">
      <c r="A962" s="1962"/>
      <c r="B962" s="1840"/>
      <c r="C962" s="1850" t="s">
        <v>3512</v>
      </c>
      <c r="D962" s="1934"/>
      <c r="E962" s="1934">
        <v>3</v>
      </c>
      <c r="F962" s="1905"/>
      <c r="G962" s="1963" t="s">
        <v>2573</v>
      </c>
      <c r="H962" s="1964" t="s">
        <v>3509</v>
      </c>
      <c r="I962" s="2310"/>
      <c r="J962" s="2534">
        <v>0</v>
      </c>
      <c r="K962" s="1615">
        <v>0</v>
      </c>
      <c r="L962" s="1636">
        <v>30000</v>
      </c>
      <c r="M962" s="1636">
        <v>35000</v>
      </c>
      <c r="N962" s="1615">
        <v>38000</v>
      </c>
      <c r="O962" s="1635">
        <v>40000</v>
      </c>
      <c r="P962" s="1965">
        <v>30</v>
      </c>
      <c r="Q962" s="1966" t="s">
        <v>2571</v>
      </c>
    </row>
    <row r="963" spans="1:17" ht="12.75" customHeight="1">
      <c r="A963" s="1962"/>
      <c r="B963" s="1840"/>
      <c r="C963" s="1850" t="s">
        <v>3513</v>
      </c>
      <c r="D963" s="1934"/>
      <c r="E963" s="1934">
        <v>3</v>
      </c>
      <c r="F963" s="1905"/>
      <c r="G963" s="1963" t="s">
        <v>2573</v>
      </c>
      <c r="H963" s="1964" t="s">
        <v>3509</v>
      </c>
      <c r="I963" s="2310"/>
      <c r="J963" s="2534">
        <v>0</v>
      </c>
      <c r="K963" s="1615">
        <v>0</v>
      </c>
      <c r="L963" s="1636">
        <v>35000</v>
      </c>
      <c r="M963" s="1636">
        <v>40000</v>
      </c>
      <c r="N963" s="1615">
        <v>42000</v>
      </c>
      <c r="O963" s="1635">
        <v>45000</v>
      </c>
      <c r="P963" s="1965">
        <v>28</v>
      </c>
      <c r="Q963" s="1966" t="s">
        <v>2571</v>
      </c>
    </row>
    <row r="964" spans="1:17" ht="12.75" customHeight="1">
      <c r="A964" s="1962"/>
      <c r="B964" s="1840"/>
      <c r="C964" s="1850" t="s">
        <v>3514</v>
      </c>
      <c r="D964" s="1934"/>
      <c r="E964" s="1934">
        <v>3</v>
      </c>
      <c r="F964" s="1905"/>
      <c r="G964" s="1963" t="s">
        <v>2573</v>
      </c>
      <c r="H964" s="1964" t="s">
        <v>3509</v>
      </c>
      <c r="I964" s="2310"/>
      <c r="J964" s="2534">
        <v>0</v>
      </c>
      <c r="K964" s="1615">
        <v>0</v>
      </c>
      <c r="L964" s="1636">
        <v>28000</v>
      </c>
      <c r="M964" s="1636">
        <v>33000</v>
      </c>
      <c r="N964" s="1615">
        <v>35000</v>
      </c>
      <c r="O964" s="1635">
        <v>38000</v>
      </c>
      <c r="P964" s="1965">
        <v>26</v>
      </c>
      <c r="Q964" s="1966" t="s">
        <v>2571</v>
      </c>
    </row>
    <row r="965" spans="1:17" ht="12.75" customHeight="1">
      <c r="A965" s="1962"/>
      <c r="B965" s="1840"/>
      <c r="C965" s="1850" t="s">
        <v>3515</v>
      </c>
      <c r="D965" s="1934"/>
      <c r="E965" s="1934">
        <v>3</v>
      </c>
      <c r="F965" s="1905"/>
      <c r="G965" s="1963" t="s">
        <v>2573</v>
      </c>
      <c r="H965" s="1964" t="s">
        <v>3509</v>
      </c>
      <c r="I965" s="2310"/>
      <c r="J965" s="2534">
        <v>0</v>
      </c>
      <c r="K965" s="1615">
        <v>0</v>
      </c>
      <c r="L965" s="1636">
        <v>35000</v>
      </c>
      <c r="M965" s="1636">
        <v>40000</v>
      </c>
      <c r="N965" s="1615">
        <v>43000</v>
      </c>
      <c r="O965" s="1635">
        <v>45000</v>
      </c>
      <c r="P965" s="1965">
        <v>25</v>
      </c>
      <c r="Q965" s="1966" t="s">
        <v>2571</v>
      </c>
    </row>
    <row r="966" spans="1:17" ht="12.75" customHeight="1">
      <c r="A966" s="1962"/>
      <c r="B966" s="1840"/>
      <c r="C966" s="1850" t="s">
        <v>3516</v>
      </c>
      <c r="D966" s="1934"/>
      <c r="E966" s="1934">
        <v>3</v>
      </c>
      <c r="F966" s="1905"/>
      <c r="G966" s="1963" t="s">
        <v>2573</v>
      </c>
      <c r="H966" s="1964" t="s">
        <v>3509</v>
      </c>
      <c r="I966" s="2310"/>
      <c r="J966" s="2534">
        <v>0</v>
      </c>
      <c r="K966" s="1615">
        <v>0</v>
      </c>
      <c r="L966" s="1636">
        <v>45000</v>
      </c>
      <c r="M966" s="1636">
        <v>50000</v>
      </c>
      <c r="N966" s="1615">
        <v>43000</v>
      </c>
      <c r="O966" s="1635">
        <v>45000</v>
      </c>
      <c r="P966" s="1965">
        <v>21</v>
      </c>
      <c r="Q966" s="1966" t="s">
        <v>2571</v>
      </c>
    </row>
    <row r="967" spans="1:17" ht="12.75" customHeight="1">
      <c r="A967" s="1962"/>
      <c r="B967" s="1840"/>
      <c r="C967" s="1850" t="s">
        <v>3517</v>
      </c>
      <c r="D967" s="1934"/>
      <c r="E967" s="1934">
        <v>3</v>
      </c>
      <c r="F967" s="1905"/>
      <c r="G967" s="1963" t="s">
        <v>2573</v>
      </c>
      <c r="H967" s="1964" t="s">
        <v>3509</v>
      </c>
      <c r="I967" s="2310"/>
      <c r="J967" s="2534">
        <v>0</v>
      </c>
      <c r="K967" s="1615">
        <v>0</v>
      </c>
      <c r="L967" s="1636">
        <v>67000</v>
      </c>
      <c r="M967" s="1636">
        <v>72000</v>
      </c>
      <c r="N967" s="1615">
        <v>75000</v>
      </c>
      <c r="O967" s="1635">
        <v>78000</v>
      </c>
      <c r="P967" s="1965">
        <v>14</v>
      </c>
      <c r="Q967" s="1966" t="s">
        <v>2571</v>
      </c>
    </row>
    <row r="968" spans="1:17" ht="12.75" customHeight="1">
      <c r="A968" s="1962"/>
      <c r="B968" s="1840"/>
      <c r="C968" s="1850" t="s">
        <v>3518</v>
      </c>
      <c r="D968" s="1934"/>
      <c r="E968" s="1934">
        <v>3</v>
      </c>
      <c r="F968" s="1905"/>
      <c r="G968" s="1963" t="s">
        <v>2573</v>
      </c>
      <c r="H968" s="1964" t="s">
        <v>3509</v>
      </c>
      <c r="I968" s="2310"/>
      <c r="J968" s="2534">
        <v>0</v>
      </c>
      <c r="K968" s="1615">
        <v>0</v>
      </c>
      <c r="L968" s="1636">
        <v>40000</v>
      </c>
      <c r="M968" s="1636">
        <v>45000</v>
      </c>
      <c r="N968" s="1615">
        <v>48000</v>
      </c>
      <c r="O968" s="1635">
        <v>50000</v>
      </c>
      <c r="P968" s="1965">
        <v>13</v>
      </c>
      <c r="Q968" s="1966" t="s">
        <v>2571</v>
      </c>
    </row>
    <row r="969" spans="1:17" ht="12.75" customHeight="1">
      <c r="A969" s="1962"/>
      <c r="B969" s="1840"/>
      <c r="C969" s="1850" t="s">
        <v>3519</v>
      </c>
      <c r="D969" s="1934"/>
      <c r="E969" s="1934">
        <v>3</v>
      </c>
      <c r="F969" s="1905"/>
      <c r="G969" s="1963" t="s">
        <v>2573</v>
      </c>
      <c r="H969" s="1964" t="s">
        <v>3509</v>
      </c>
      <c r="I969" s="2310"/>
      <c r="J969" s="2534">
        <v>0</v>
      </c>
      <c r="K969" s="1615">
        <v>0</v>
      </c>
      <c r="L969" s="1636">
        <v>45000</v>
      </c>
      <c r="M969" s="1636">
        <v>50000</v>
      </c>
      <c r="N969" s="1615">
        <v>53000</v>
      </c>
      <c r="O969" s="1635">
        <v>55000</v>
      </c>
      <c r="P969" s="1965">
        <v>10</v>
      </c>
      <c r="Q969" s="1966" t="s">
        <v>2571</v>
      </c>
    </row>
    <row r="970" spans="1:17" ht="12.75" customHeight="1">
      <c r="A970" s="1962"/>
      <c r="B970" s="1840"/>
      <c r="C970" s="1850" t="s">
        <v>3520</v>
      </c>
      <c r="D970" s="1934"/>
      <c r="E970" s="1934">
        <v>3</v>
      </c>
      <c r="F970" s="1905"/>
      <c r="G970" s="1963" t="s">
        <v>2573</v>
      </c>
      <c r="H970" s="1964" t="s">
        <v>3509</v>
      </c>
      <c r="I970" s="2310"/>
      <c r="J970" s="2534">
        <v>0</v>
      </c>
      <c r="K970" s="1615">
        <v>0</v>
      </c>
      <c r="L970" s="1636">
        <v>50000</v>
      </c>
      <c r="M970" s="1636">
        <v>55000</v>
      </c>
      <c r="N970" s="1615">
        <v>58000</v>
      </c>
      <c r="O970" s="1635">
        <v>60000</v>
      </c>
      <c r="P970" s="1965">
        <v>2</v>
      </c>
      <c r="Q970" s="1966" t="s">
        <v>2571</v>
      </c>
    </row>
    <row r="971" spans="1:17" ht="12.75" customHeight="1">
      <c r="A971" s="1962"/>
      <c r="B971" s="1840"/>
      <c r="C971" s="1850" t="s">
        <v>3521</v>
      </c>
      <c r="D971" s="1934"/>
      <c r="E971" s="1934">
        <v>3</v>
      </c>
      <c r="F971" s="1905"/>
      <c r="G971" s="1963" t="s">
        <v>2573</v>
      </c>
      <c r="H971" s="1964" t="s">
        <v>3509</v>
      </c>
      <c r="I971" s="2310"/>
      <c r="J971" s="2534">
        <v>0</v>
      </c>
      <c r="K971" s="1615">
        <v>0</v>
      </c>
      <c r="L971" s="1636">
        <v>35000</v>
      </c>
      <c r="M971" s="1636">
        <v>40000</v>
      </c>
      <c r="N971" s="1615">
        <v>42000</v>
      </c>
      <c r="O971" s="1635">
        <v>45000</v>
      </c>
      <c r="P971" s="1965">
        <v>1</v>
      </c>
      <c r="Q971" s="1966" t="s">
        <v>2571</v>
      </c>
    </row>
    <row r="972" spans="1:17" ht="12.75" customHeight="1">
      <c r="A972" s="1962"/>
      <c r="B972" s="1840"/>
      <c r="C972" s="1850" t="s">
        <v>3522</v>
      </c>
      <c r="D972" s="1934"/>
      <c r="E972" s="1934">
        <v>3</v>
      </c>
      <c r="F972" s="1905"/>
      <c r="G972" s="1963" t="s">
        <v>2569</v>
      </c>
      <c r="H972" s="1964" t="s">
        <v>2648</v>
      </c>
      <c r="I972" s="2310"/>
      <c r="J972" s="2534">
        <v>0</v>
      </c>
      <c r="K972" s="1615">
        <v>0</v>
      </c>
      <c r="L972" s="1636">
        <v>0</v>
      </c>
      <c r="M972" s="1636">
        <v>80000</v>
      </c>
      <c r="N972" s="1615"/>
      <c r="O972" s="1635"/>
      <c r="P972" s="1965">
        <v>18</v>
      </c>
      <c r="Q972" s="1966" t="s">
        <v>2571</v>
      </c>
    </row>
    <row r="973" spans="1:17" ht="12.75" customHeight="1">
      <c r="A973" s="1962"/>
      <c r="B973" s="1840"/>
      <c r="C973" s="1850" t="s">
        <v>3523</v>
      </c>
      <c r="D973" s="1934"/>
      <c r="E973" s="1934">
        <v>3</v>
      </c>
      <c r="F973" s="1905"/>
      <c r="G973" s="1963" t="s">
        <v>2569</v>
      </c>
      <c r="H973" s="1964" t="s">
        <v>2772</v>
      </c>
      <c r="I973" s="2310"/>
      <c r="J973" s="2534">
        <v>0</v>
      </c>
      <c r="K973" s="1615">
        <v>0</v>
      </c>
      <c r="L973" s="1636">
        <v>0</v>
      </c>
      <c r="M973" s="1636"/>
      <c r="N973" s="1615"/>
      <c r="O973" s="1635"/>
      <c r="P973" s="1965">
        <v>18</v>
      </c>
      <c r="Q973" s="1966" t="s">
        <v>2571</v>
      </c>
    </row>
    <row r="974" spans="1:17" ht="12.75" customHeight="1">
      <c r="A974" s="1962"/>
      <c r="B974" s="1840"/>
      <c r="C974" s="1850" t="s">
        <v>3524</v>
      </c>
      <c r="D974" s="1934"/>
      <c r="E974" s="1934">
        <v>3</v>
      </c>
      <c r="F974" s="1905"/>
      <c r="G974" s="1963" t="s">
        <v>2569</v>
      </c>
      <c r="H974" s="1964" t="s">
        <v>3311</v>
      </c>
      <c r="I974" s="2310"/>
      <c r="J974" s="2534">
        <v>0</v>
      </c>
      <c r="K974" s="1615">
        <v>0</v>
      </c>
      <c r="L974" s="1636">
        <v>0</v>
      </c>
      <c r="M974" s="1636">
        <v>1500</v>
      </c>
      <c r="N974" s="1615"/>
      <c r="O974" s="1635"/>
      <c r="P974" s="1965" t="s">
        <v>4227</v>
      </c>
      <c r="Q974" s="1966" t="s">
        <v>2571</v>
      </c>
    </row>
    <row r="975" spans="1:17" ht="12.75" customHeight="1">
      <c r="A975" s="1962"/>
      <c r="B975" s="1840"/>
      <c r="C975" s="1850" t="s">
        <v>3525</v>
      </c>
      <c r="D975" s="1934"/>
      <c r="E975" s="1934">
        <v>3</v>
      </c>
      <c r="F975" s="1905"/>
      <c r="G975" s="1963" t="s">
        <v>3368</v>
      </c>
      <c r="H975" s="1964" t="s">
        <v>3526</v>
      </c>
      <c r="I975" s="2310"/>
      <c r="J975" s="2534">
        <v>0</v>
      </c>
      <c r="K975" s="1615">
        <v>0</v>
      </c>
      <c r="L975" s="1636">
        <v>0</v>
      </c>
      <c r="M975" s="1636"/>
      <c r="N975" s="1615"/>
      <c r="O975" s="1635"/>
      <c r="P975" s="1965">
        <v>32</v>
      </c>
      <c r="Q975" s="1966" t="s">
        <v>2571</v>
      </c>
    </row>
    <row r="976" spans="1:17" ht="12.75" customHeight="1">
      <c r="A976" s="1962"/>
      <c r="B976" s="1840"/>
      <c r="C976" s="1850" t="s">
        <v>3527</v>
      </c>
      <c r="D976" s="1934"/>
      <c r="E976" s="1934">
        <v>3</v>
      </c>
      <c r="F976" s="1905"/>
      <c r="G976" s="1963" t="s">
        <v>2564</v>
      </c>
      <c r="H976" s="1964" t="s">
        <v>3280</v>
      </c>
      <c r="I976" s="2310"/>
      <c r="J976" s="2534">
        <v>0</v>
      </c>
      <c r="K976" s="1615">
        <v>0</v>
      </c>
      <c r="L976" s="1636">
        <v>0</v>
      </c>
      <c r="M976" s="1636"/>
      <c r="N976" s="1615"/>
      <c r="O976" s="1635"/>
      <c r="P976" s="1965">
        <v>32</v>
      </c>
      <c r="Q976" s="1966" t="s">
        <v>2571</v>
      </c>
    </row>
    <row r="977" spans="1:17" ht="12.75" customHeight="1">
      <c r="A977" s="1962"/>
      <c r="B977" s="1840"/>
      <c r="C977" s="1850" t="s">
        <v>3528</v>
      </c>
      <c r="D977" s="1934"/>
      <c r="E977" s="1934">
        <v>3</v>
      </c>
      <c r="F977" s="1905"/>
      <c r="G977" s="1963" t="s">
        <v>2564</v>
      </c>
      <c r="H977" s="1964" t="s">
        <v>3529</v>
      </c>
      <c r="I977" s="2310"/>
      <c r="J977" s="2534">
        <v>0</v>
      </c>
      <c r="K977" s="1615">
        <v>0</v>
      </c>
      <c r="L977" s="1636">
        <v>0</v>
      </c>
      <c r="M977" s="1636"/>
      <c r="N977" s="1615"/>
      <c r="O977" s="1635"/>
      <c r="P977" s="1965">
        <v>2</v>
      </c>
      <c r="Q977" s="1966" t="s">
        <v>2571</v>
      </c>
    </row>
    <row r="978" spans="1:17" ht="12.75" customHeight="1">
      <c r="A978" s="1962"/>
      <c r="B978" s="1840"/>
      <c r="C978" s="1850" t="s">
        <v>3530</v>
      </c>
      <c r="D978" s="1934"/>
      <c r="E978" s="1934">
        <v>3</v>
      </c>
      <c r="F978" s="1905"/>
      <c r="G978" s="1963" t="s">
        <v>2564</v>
      </c>
      <c r="H978" s="1964" t="s">
        <v>3280</v>
      </c>
      <c r="I978" s="2310"/>
      <c r="J978" s="2534">
        <v>0</v>
      </c>
      <c r="K978" s="1615">
        <v>0</v>
      </c>
      <c r="L978" s="1636">
        <v>0</v>
      </c>
      <c r="M978" s="1636"/>
      <c r="N978" s="1615"/>
      <c r="O978" s="1635"/>
      <c r="P978" s="1965">
        <v>2</v>
      </c>
      <c r="Q978" s="1966" t="s">
        <v>2571</v>
      </c>
    </row>
    <row r="979" spans="1:17" ht="12.75" customHeight="1">
      <c r="A979" s="1962"/>
      <c r="B979" s="1840"/>
      <c r="C979" s="1850" t="s">
        <v>3531</v>
      </c>
      <c r="D979" s="1934"/>
      <c r="E979" s="1934">
        <v>3</v>
      </c>
      <c r="F979" s="1905"/>
      <c r="G979" s="1963" t="s">
        <v>2569</v>
      </c>
      <c r="H979" s="1964" t="s">
        <v>2786</v>
      </c>
      <c r="I979" s="2310"/>
      <c r="J979" s="2534">
        <v>0</v>
      </c>
      <c r="K979" s="1615">
        <v>0</v>
      </c>
      <c r="L979" s="1636">
        <v>0</v>
      </c>
      <c r="M979" s="1636"/>
      <c r="N979" s="1615"/>
      <c r="O979" s="1635"/>
      <c r="P979" s="1965">
        <v>26</v>
      </c>
      <c r="Q979" s="1966" t="s">
        <v>2571</v>
      </c>
    </row>
    <row r="980" spans="1:17" ht="12.75" customHeight="1">
      <c r="A980" s="1962"/>
      <c r="B980" s="1840"/>
      <c r="C980" s="1850" t="s">
        <v>3532</v>
      </c>
      <c r="D980" s="1934"/>
      <c r="E980" s="1934">
        <v>3</v>
      </c>
      <c r="F980" s="1905"/>
      <c r="G980" s="1963" t="s">
        <v>2564</v>
      </c>
      <c r="H980" s="1964" t="s">
        <v>2623</v>
      </c>
      <c r="I980" s="2310"/>
      <c r="J980" s="2534">
        <v>0</v>
      </c>
      <c r="K980" s="1615">
        <v>0</v>
      </c>
      <c r="L980" s="1636">
        <v>0</v>
      </c>
      <c r="M980" s="1636"/>
      <c r="N980" s="1615"/>
      <c r="O980" s="1635"/>
      <c r="P980" s="1965">
        <v>21</v>
      </c>
      <c r="Q980" s="1966" t="s">
        <v>2571</v>
      </c>
    </row>
    <row r="981" spans="1:17" ht="12.75" customHeight="1">
      <c r="A981" s="1962"/>
      <c r="B981" s="1840"/>
      <c r="C981" s="1850" t="s">
        <v>3533</v>
      </c>
      <c r="D981" s="1934"/>
      <c r="E981" s="1934">
        <v>3</v>
      </c>
      <c r="F981" s="1905"/>
      <c r="G981" s="1963" t="s">
        <v>2564</v>
      </c>
      <c r="H981" s="1964" t="s">
        <v>3534</v>
      </c>
      <c r="I981" s="2310"/>
      <c r="J981" s="2534">
        <v>0</v>
      </c>
      <c r="K981" s="1615">
        <v>0</v>
      </c>
      <c r="L981" s="1636">
        <v>0</v>
      </c>
      <c r="M981" s="1636">
        <v>8000</v>
      </c>
      <c r="N981" s="1615"/>
      <c r="O981" s="1635"/>
      <c r="P981" s="1965">
        <v>21</v>
      </c>
      <c r="Q981" s="1966" t="s">
        <v>2571</v>
      </c>
    </row>
    <row r="982" spans="1:17" ht="12.75" customHeight="1">
      <c r="A982" s="1962"/>
      <c r="B982" s="1840"/>
      <c r="C982" s="1850" t="s">
        <v>3535</v>
      </c>
      <c r="D982" s="1934"/>
      <c r="E982" s="1934">
        <v>3</v>
      </c>
      <c r="F982" s="1905"/>
      <c r="G982" s="1963" t="s">
        <v>2573</v>
      </c>
      <c r="H982" s="1964" t="s">
        <v>2883</v>
      </c>
      <c r="I982" s="2310"/>
      <c r="J982" s="2534">
        <v>0</v>
      </c>
      <c r="K982" s="1615">
        <v>0</v>
      </c>
      <c r="L982" s="1636">
        <v>0</v>
      </c>
      <c r="M982" s="1636">
        <v>6000</v>
      </c>
      <c r="N982" s="1615"/>
      <c r="O982" s="1635"/>
      <c r="P982" s="1965">
        <v>13</v>
      </c>
      <c r="Q982" s="1966" t="s">
        <v>2571</v>
      </c>
    </row>
    <row r="983" spans="1:17" ht="12.75" customHeight="1">
      <c r="A983" s="1962"/>
      <c r="B983" s="1840"/>
      <c r="C983" s="1850" t="s">
        <v>3536</v>
      </c>
      <c r="D983" s="1934"/>
      <c r="E983" s="1934">
        <v>3</v>
      </c>
      <c r="F983" s="1905"/>
      <c r="G983" s="1963" t="s">
        <v>3203</v>
      </c>
      <c r="H983" s="1964" t="s">
        <v>3537</v>
      </c>
      <c r="I983" s="2310"/>
      <c r="J983" s="2534">
        <v>0</v>
      </c>
      <c r="K983" s="1615">
        <v>0</v>
      </c>
      <c r="L983" s="1636">
        <v>0</v>
      </c>
      <c r="M983" s="1636"/>
      <c r="N983" s="1615"/>
      <c r="O983" s="1635"/>
      <c r="P983" s="1965">
        <v>10</v>
      </c>
      <c r="Q983" s="1966" t="s">
        <v>2571</v>
      </c>
    </row>
    <row r="984" spans="1:17" ht="12.75" customHeight="1">
      <c r="A984" s="1962"/>
      <c r="B984" s="1840"/>
      <c r="C984" s="1850" t="s">
        <v>3538</v>
      </c>
      <c r="D984" s="1934"/>
      <c r="E984" s="1934">
        <v>3</v>
      </c>
      <c r="F984" s="1905"/>
      <c r="G984" s="1963" t="s">
        <v>2569</v>
      </c>
      <c r="H984" s="1964" t="s">
        <v>2786</v>
      </c>
      <c r="I984" s="2310"/>
      <c r="J984" s="2534">
        <v>0</v>
      </c>
      <c r="K984" s="1615">
        <v>0</v>
      </c>
      <c r="L984" s="1636">
        <v>0</v>
      </c>
      <c r="M984" s="1636"/>
      <c r="N984" s="1615"/>
      <c r="O984" s="1635"/>
      <c r="P984" s="1965">
        <v>25</v>
      </c>
      <c r="Q984" s="1966" t="s">
        <v>2571</v>
      </c>
    </row>
    <row r="985" spans="1:17" ht="12.75" customHeight="1">
      <c r="A985" s="1962"/>
      <c r="B985" s="1840"/>
      <c r="C985" s="1850" t="s">
        <v>3539</v>
      </c>
      <c r="D985" s="1934"/>
      <c r="E985" s="1934">
        <v>3</v>
      </c>
      <c r="F985" s="1905"/>
      <c r="G985" s="1963" t="s">
        <v>3203</v>
      </c>
      <c r="H985" s="1964" t="s">
        <v>3540</v>
      </c>
      <c r="I985" s="2310"/>
      <c r="J985" s="2534">
        <v>0</v>
      </c>
      <c r="K985" s="1615">
        <v>0</v>
      </c>
      <c r="L985" s="1636">
        <v>0</v>
      </c>
      <c r="M985" s="1636"/>
      <c r="N985" s="1615"/>
      <c r="O985" s="1635"/>
      <c r="P985" s="1965">
        <v>14</v>
      </c>
      <c r="Q985" s="1966" t="s">
        <v>2571</v>
      </c>
    </row>
    <row r="986" spans="1:17" ht="12.75" customHeight="1">
      <c r="A986" s="1962"/>
      <c r="B986" s="1840"/>
      <c r="C986" s="1850" t="s">
        <v>3541</v>
      </c>
      <c r="D986" s="1934"/>
      <c r="E986" s="1934">
        <v>3</v>
      </c>
      <c r="F986" s="1905"/>
      <c r="G986" s="1963" t="s">
        <v>2564</v>
      </c>
      <c r="H986" s="1964" t="s">
        <v>3542</v>
      </c>
      <c r="I986" s="2310"/>
      <c r="J986" s="2534">
        <v>0</v>
      </c>
      <c r="K986" s="1615">
        <v>0</v>
      </c>
      <c r="L986" s="1636">
        <v>0</v>
      </c>
      <c r="M986" s="1636">
        <v>9000</v>
      </c>
      <c r="N986" s="1615"/>
      <c r="O986" s="1635"/>
      <c r="P986" s="1965">
        <v>14</v>
      </c>
      <c r="Q986" s="1966" t="s">
        <v>2571</v>
      </c>
    </row>
    <row r="987" spans="1:17" ht="12.75" customHeight="1">
      <c r="A987" s="1962"/>
      <c r="B987" s="1840"/>
      <c r="C987" s="1850" t="s">
        <v>3543</v>
      </c>
      <c r="D987" s="1934"/>
      <c r="E987" s="1934">
        <v>3</v>
      </c>
      <c r="F987" s="1905"/>
      <c r="G987" s="1963" t="s">
        <v>3203</v>
      </c>
      <c r="H987" s="1964" t="s">
        <v>3293</v>
      </c>
      <c r="I987" s="2310"/>
      <c r="J987" s="2534">
        <v>0</v>
      </c>
      <c r="K987" s="1615">
        <v>0</v>
      </c>
      <c r="L987" s="1636">
        <v>0</v>
      </c>
      <c r="M987" s="1636"/>
      <c r="N987" s="1615"/>
      <c r="O987" s="1635"/>
      <c r="P987" s="1965">
        <v>14</v>
      </c>
      <c r="Q987" s="1966" t="s">
        <v>2571</v>
      </c>
    </row>
    <row r="988" spans="1:17" ht="12.75" customHeight="1">
      <c r="A988" s="1962"/>
      <c r="B988" s="1840"/>
      <c r="C988" s="1850" t="s">
        <v>4228</v>
      </c>
      <c r="D988" s="1934"/>
      <c r="E988" s="1934">
        <v>3</v>
      </c>
      <c r="F988" s="1905"/>
      <c r="G988" s="1963" t="s">
        <v>2573</v>
      </c>
      <c r="H988" s="1964" t="s">
        <v>3544</v>
      </c>
      <c r="I988" s="2310"/>
      <c r="J988" s="2534">
        <v>0</v>
      </c>
      <c r="K988" s="1615">
        <v>0</v>
      </c>
      <c r="L988" s="1636">
        <v>0</v>
      </c>
      <c r="M988" s="1636">
        <v>8000</v>
      </c>
      <c r="N988" s="1615"/>
      <c r="O988" s="1635"/>
      <c r="P988" s="1965">
        <v>14</v>
      </c>
      <c r="Q988" s="1966" t="s">
        <v>2571</v>
      </c>
    </row>
    <row r="989" spans="1:17" ht="12.75" customHeight="1">
      <c r="A989" s="1962"/>
      <c r="B989" s="1840"/>
      <c r="C989" s="1850" t="s">
        <v>3545</v>
      </c>
      <c r="D989" s="1934"/>
      <c r="E989" s="1934">
        <v>3</v>
      </c>
      <c r="F989" s="1905"/>
      <c r="G989" s="1963" t="s">
        <v>3203</v>
      </c>
      <c r="H989" s="1964" t="s">
        <v>2623</v>
      </c>
      <c r="I989" s="2310"/>
      <c r="J989" s="2534">
        <v>0</v>
      </c>
      <c r="K989" s="1615">
        <v>0</v>
      </c>
      <c r="L989" s="1636">
        <v>0</v>
      </c>
      <c r="M989" s="1636">
        <v>50000</v>
      </c>
      <c r="N989" s="1615"/>
      <c r="O989" s="1635"/>
      <c r="P989" s="1965">
        <v>14</v>
      </c>
      <c r="Q989" s="1966" t="s">
        <v>2587</v>
      </c>
    </row>
    <row r="990" spans="1:17" ht="12.75" customHeight="1">
      <c r="A990" s="1962"/>
      <c r="B990" s="1840"/>
      <c r="C990" s="1850" t="s">
        <v>3546</v>
      </c>
      <c r="D990" s="1934"/>
      <c r="E990" s="1934">
        <v>3</v>
      </c>
      <c r="F990" s="1905"/>
      <c r="G990" s="1963" t="s">
        <v>3203</v>
      </c>
      <c r="H990" s="1964" t="s">
        <v>3547</v>
      </c>
      <c r="I990" s="2310"/>
      <c r="J990" s="2534">
        <v>0</v>
      </c>
      <c r="K990" s="1615">
        <v>0</v>
      </c>
      <c r="L990" s="1636">
        <v>0</v>
      </c>
      <c r="M990" s="1636"/>
      <c r="N990" s="1615"/>
      <c r="O990" s="1635"/>
      <c r="P990" s="1965">
        <v>18</v>
      </c>
      <c r="Q990" s="1966" t="s">
        <v>2571</v>
      </c>
    </row>
    <row r="991" spans="1:17" ht="12.75" customHeight="1">
      <c r="A991" s="1962"/>
      <c r="B991" s="1840"/>
      <c r="C991" s="1850" t="s">
        <v>3548</v>
      </c>
      <c r="D991" s="1934"/>
      <c r="E991" s="1934">
        <v>3</v>
      </c>
      <c r="F991" s="1905"/>
      <c r="G991" s="1963" t="s">
        <v>2573</v>
      </c>
      <c r="H991" s="1964" t="s">
        <v>3549</v>
      </c>
      <c r="I991" s="2310"/>
      <c r="J991" s="2534">
        <v>0</v>
      </c>
      <c r="K991" s="1615">
        <v>0</v>
      </c>
      <c r="L991" s="1636">
        <v>0</v>
      </c>
      <c r="M991" s="1636"/>
      <c r="N991" s="1615"/>
      <c r="O991" s="1635"/>
      <c r="P991" s="1965">
        <v>18</v>
      </c>
      <c r="Q991" s="1966" t="s">
        <v>2571</v>
      </c>
    </row>
    <row r="992" spans="1:17" ht="12.75" customHeight="1">
      <c r="A992" s="1962"/>
      <c r="B992" s="1840"/>
      <c r="C992" s="1850" t="s">
        <v>3550</v>
      </c>
      <c r="D992" s="1934"/>
      <c r="E992" s="1934">
        <v>3</v>
      </c>
      <c r="F992" s="1905"/>
      <c r="G992" s="1963" t="s">
        <v>3203</v>
      </c>
      <c r="H992" s="1964" t="s">
        <v>3551</v>
      </c>
      <c r="I992" s="2310"/>
      <c r="J992" s="2534">
        <v>0</v>
      </c>
      <c r="K992" s="1615">
        <v>0</v>
      </c>
      <c r="L992" s="1636">
        <v>0</v>
      </c>
      <c r="M992" s="1636"/>
      <c r="N992" s="1615"/>
      <c r="O992" s="1635"/>
      <c r="P992" s="1965">
        <v>18</v>
      </c>
      <c r="Q992" s="1966" t="s">
        <v>2571</v>
      </c>
    </row>
    <row r="993" spans="1:17" ht="12.75" customHeight="1">
      <c r="A993" s="1962"/>
      <c r="B993" s="1840"/>
      <c r="C993" s="1850" t="s">
        <v>3552</v>
      </c>
      <c r="D993" s="1934"/>
      <c r="E993" s="1934">
        <v>3</v>
      </c>
      <c r="F993" s="1905"/>
      <c r="G993" s="1963" t="s">
        <v>2564</v>
      </c>
      <c r="H993" s="1964" t="s">
        <v>3313</v>
      </c>
      <c r="I993" s="2310"/>
      <c r="J993" s="2534">
        <v>0</v>
      </c>
      <c r="K993" s="1615">
        <v>0</v>
      </c>
      <c r="L993" s="1636">
        <v>0</v>
      </c>
      <c r="M993" s="1636"/>
      <c r="N993" s="1615"/>
      <c r="O993" s="1635"/>
      <c r="P993" s="1965">
        <v>32</v>
      </c>
      <c r="Q993" s="1966" t="s">
        <v>2571</v>
      </c>
    </row>
    <row r="994" spans="1:17" ht="12.75" customHeight="1">
      <c r="A994" s="1962"/>
      <c r="B994" s="1840"/>
      <c r="C994" s="1850" t="s">
        <v>3553</v>
      </c>
      <c r="D994" s="1934"/>
      <c r="E994" s="1934">
        <v>3</v>
      </c>
      <c r="F994" s="1905"/>
      <c r="G994" s="1963" t="s">
        <v>2564</v>
      </c>
      <c r="H994" s="1964" t="s">
        <v>3554</v>
      </c>
      <c r="I994" s="2310"/>
      <c r="J994" s="2534">
        <v>0</v>
      </c>
      <c r="K994" s="1615">
        <v>0</v>
      </c>
      <c r="L994" s="1636">
        <v>0</v>
      </c>
      <c r="M994" s="1636"/>
      <c r="N994" s="1615"/>
      <c r="O994" s="1635"/>
      <c r="P994" s="1965">
        <v>21</v>
      </c>
      <c r="Q994" s="1966" t="s">
        <v>2571</v>
      </c>
    </row>
    <row r="995" spans="1:17" ht="12.75" customHeight="1">
      <c r="A995" s="1962"/>
      <c r="B995" s="1840"/>
      <c r="C995" s="1850" t="s">
        <v>3555</v>
      </c>
      <c r="D995" s="1934"/>
      <c r="E995" s="1934">
        <v>3</v>
      </c>
      <c r="F995" s="1905"/>
      <c r="G995" s="1963" t="s">
        <v>3203</v>
      </c>
      <c r="H995" s="1964" t="s">
        <v>3556</v>
      </c>
      <c r="I995" s="2310"/>
      <c r="J995" s="2534">
        <v>0</v>
      </c>
      <c r="K995" s="1615">
        <v>0</v>
      </c>
      <c r="L995" s="1636">
        <v>0</v>
      </c>
      <c r="M995" s="1636"/>
      <c r="N995" s="1615"/>
      <c r="O995" s="1635"/>
      <c r="P995" s="1965">
        <v>21</v>
      </c>
      <c r="Q995" s="1966" t="s">
        <v>2571</v>
      </c>
    </row>
    <row r="996" spans="1:17" ht="12.75" customHeight="1">
      <c r="A996" s="1962"/>
      <c r="B996" s="1840"/>
      <c r="C996" s="1850" t="s">
        <v>3557</v>
      </c>
      <c r="D996" s="1934"/>
      <c r="E996" s="1934">
        <v>3</v>
      </c>
      <c r="F996" s="1905"/>
      <c r="G996" s="1963" t="s">
        <v>2573</v>
      </c>
      <c r="H996" s="1964" t="s">
        <v>3558</v>
      </c>
      <c r="I996" s="2310"/>
      <c r="J996" s="2534">
        <v>0</v>
      </c>
      <c r="K996" s="1615">
        <v>0</v>
      </c>
      <c r="L996" s="1636">
        <v>0</v>
      </c>
      <c r="M996" s="1636">
        <v>30000</v>
      </c>
      <c r="N996" s="1615"/>
      <c r="O996" s="1635"/>
      <c r="P996" s="1965">
        <v>21</v>
      </c>
      <c r="Q996" s="1966" t="s">
        <v>2571</v>
      </c>
    </row>
    <row r="997" spans="1:17" ht="12.75" customHeight="1">
      <c r="A997" s="1962"/>
      <c r="B997" s="1840"/>
      <c r="C997" s="1850" t="s">
        <v>3559</v>
      </c>
      <c r="D997" s="1934"/>
      <c r="E997" s="1934">
        <v>3</v>
      </c>
      <c r="F997" s="1905"/>
      <c r="G997" s="1963" t="s">
        <v>2573</v>
      </c>
      <c r="H997" s="1964" t="s">
        <v>3293</v>
      </c>
      <c r="I997" s="2310"/>
      <c r="J997" s="2534">
        <v>0</v>
      </c>
      <c r="K997" s="1615">
        <v>0</v>
      </c>
      <c r="L997" s="1636">
        <v>0</v>
      </c>
      <c r="M997" s="1636">
        <v>0</v>
      </c>
      <c r="N997" s="1615">
        <v>45000</v>
      </c>
      <c r="O997" s="1635">
        <v>0</v>
      </c>
      <c r="P997" s="1965">
        <v>21</v>
      </c>
      <c r="Q997" s="1966" t="s">
        <v>2587</v>
      </c>
    </row>
    <row r="998" spans="1:17" ht="12.75" customHeight="1">
      <c r="A998" s="1962"/>
      <c r="B998" s="1840"/>
      <c r="C998" s="1850" t="s">
        <v>3560</v>
      </c>
      <c r="D998" s="1934"/>
      <c r="E998" s="1934">
        <v>3</v>
      </c>
      <c r="F998" s="1905"/>
      <c r="G998" s="1963" t="s">
        <v>3203</v>
      </c>
      <c r="H998" s="1964" t="s">
        <v>3551</v>
      </c>
      <c r="I998" s="2310"/>
      <c r="J998" s="2534">
        <v>0</v>
      </c>
      <c r="K998" s="1615">
        <v>0</v>
      </c>
      <c r="L998" s="1636">
        <v>0</v>
      </c>
      <c r="M998" s="1636"/>
      <c r="N998" s="1615"/>
      <c r="O998" s="1635"/>
      <c r="P998" s="1965">
        <v>21</v>
      </c>
      <c r="Q998" s="1966" t="s">
        <v>2571</v>
      </c>
    </row>
    <row r="999" spans="1:17" ht="12.75" customHeight="1">
      <c r="A999" s="1962"/>
      <c r="B999" s="1840"/>
      <c r="C999" s="1850" t="s">
        <v>3561</v>
      </c>
      <c r="D999" s="1934"/>
      <c r="E999" s="1934">
        <v>3</v>
      </c>
      <c r="F999" s="1905"/>
      <c r="G999" s="1963" t="s">
        <v>2564</v>
      </c>
      <c r="H999" s="1964" t="s">
        <v>3562</v>
      </c>
      <c r="I999" s="2310"/>
      <c r="J999" s="2534">
        <v>0</v>
      </c>
      <c r="K999" s="1615">
        <v>0</v>
      </c>
      <c r="L999" s="1636">
        <v>0</v>
      </c>
      <c r="M999" s="1636"/>
      <c r="N999" s="1615"/>
      <c r="O999" s="1635"/>
      <c r="P999" s="1965">
        <v>13</v>
      </c>
      <c r="Q999" s="1966" t="s">
        <v>2571</v>
      </c>
    </row>
    <row r="1000" spans="1:17" ht="12.75" customHeight="1">
      <c r="A1000" s="1962"/>
      <c r="B1000" s="1840"/>
      <c r="C1000" s="1850" t="s">
        <v>3563</v>
      </c>
      <c r="D1000" s="1934"/>
      <c r="E1000" s="1934">
        <v>3</v>
      </c>
      <c r="F1000" s="1905"/>
      <c r="G1000" s="1963" t="s">
        <v>3203</v>
      </c>
      <c r="H1000" s="1964" t="s">
        <v>3556</v>
      </c>
      <c r="I1000" s="2310"/>
      <c r="J1000" s="2534">
        <v>0</v>
      </c>
      <c r="K1000" s="1615">
        <v>0</v>
      </c>
      <c r="L1000" s="1636">
        <v>0</v>
      </c>
      <c r="M1000" s="1636"/>
      <c r="N1000" s="1615"/>
      <c r="O1000" s="1635"/>
      <c r="P1000" s="1965">
        <v>10</v>
      </c>
      <c r="Q1000" s="1966" t="s">
        <v>2571</v>
      </c>
    </row>
    <row r="1001" spans="1:17" ht="12.75" customHeight="1">
      <c r="A1001" s="1962"/>
      <c r="B1001" s="1840"/>
      <c r="C1001" s="1850" t="s">
        <v>3564</v>
      </c>
      <c r="D1001" s="1934"/>
      <c r="E1001" s="1934">
        <v>3</v>
      </c>
      <c r="F1001" s="1905"/>
      <c r="G1001" s="1963" t="s">
        <v>2564</v>
      </c>
      <c r="H1001" s="1964" t="s">
        <v>2565</v>
      </c>
      <c r="I1001" s="2310"/>
      <c r="J1001" s="2534">
        <v>0</v>
      </c>
      <c r="K1001" s="1615">
        <v>0</v>
      </c>
      <c r="L1001" s="1636">
        <v>170000</v>
      </c>
      <c r="M1001" s="1636"/>
      <c r="N1001" s="1615"/>
      <c r="O1001" s="1635"/>
      <c r="P1001" s="1965" t="s">
        <v>2566</v>
      </c>
      <c r="Q1001" s="1966" t="s">
        <v>2571</v>
      </c>
    </row>
    <row r="1002" spans="1:17" ht="12.75" customHeight="1">
      <c r="A1002" s="1962"/>
      <c r="B1002" s="1840"/>
      <c r="C1002" s="1850" t="s">
        <v>3565</v>
      </c>
      <c r="D1002" s="1934"/>
      <c r="E1002" s="1934">
        <v>3</v>
      </c>
      <c r="F1002" s="1905"/>
      <c r="G1002" s="1963" t="s">
        <v>2573</v>
      </c>
      <c r="H1002" s="1964" t="s">
        <v>3229</v>
      </c>
      <c r="I1002" s="2310"/>
      <c r="J1002" s="2534">
        <v>0</v>
      </c>
      <c r="K1002" s="2534">
        <v>0</v>
      </c>
      <c r="L1002" s="2534">
        <v>1600</v>
      </c>
      <c r="M1002" s="1636"/>
      <c r="N1002" s="1615"/>
      <c r="O1002" s="1635"/>
      <c r="P1002" s="1965">
        <v>18</v>
      </c>
      <c r="Q1002" s="1966" t="s">
        <v>2571</v>
      </c>
    </row>
    <row r="1003" spans="1:17" ht="12.75" customHeight="1">
      <c r="A1003" s="1962"/>
      <c r="B1003" s="1840"/>
      <c r="C1003" s="1850" t="s">
        <v>3566</v>
      </c>
      <c r="D1003" s="1934"/>
      <c r="E1003" s="1934">
        <v>3</v>
      </c>
      <c r="F1003" s="1905"/>
      <c r="G1003" s="1963" t="s">
        <v>3203</v>
      </c>
      <c r="H1003" s="1964" t="s">
        <v>3529</v>
      </c>
      <c r="I1003" s="2310"/>
      <c r="J1003" s="2534">
        <v>0</v>
      </c>
      <c r="K1003" s="1615">
        <v>0</v>
      </c>
      <c r="L1003" s="1637">
        <v>30000</v>
      </c>
      <c r="M1003" s="1636"/>
      <c r="N1003" s="1615"/>
      <c r="O1003" s="1635"/>
      <c r="P1003" s="1965">
        <v>18</v>
      </c>
      <c r="Q1003" s="1966" t="s">
        <v>2571</v>
      </c>
    </row>
    <row r="1004" spans="1:17" ht="12.75" customHeight="1">
      <c r="A1004" s="1962"/>
      <c r="B1004" s="1840"/>
      <c r="C1004" s="1850" t="s">
        <v>3567</v>
      </c>
      <c r="D1004" s="1934"/>
      <c r="E1004" s="1934">
        <v>3</v>
      </c>
      <c r="F1004" s="1905"/>
      <c r="G1004" s="1963" t="s">
        <v>2564</v>
      </c>
      <c r="H1004" s="1964" t="s">
        <v>3280</v>
      </c>
      <c r="I1004" s="2310"/>
      <c r="J1004" s="2534">
        <v>0</v>
      </c>
      <c r="K1004" s="1615">
        <v>0</v>
      </c>
      <c r="L1004" s="1637">
        <v>6000</v>
      </c>
      <c r="M1004" s="1636"/>
      <c r="N1004" s="1615"/>
      <c r="O1004" s="1635"/>
      <c r="P1004" s="1965">
        <v>36</v>
      </c>
      <c r="Q1004" s="1966" t="s">
        <v>2571</v>
      </c>
    </row>
    <row r="1005" spans="1:17" ht="12.75" customHeight="1">
      <c r="A1005" s="1962"/>
      <c r="B1005" s="1840"/>
      <c r="C1005" s="1850" t="s">
        <v>3568</v>
      </c>
      <c r="D1005" s="1934"/>
      <c r="E1005" s="1934">
        <v>3</v>
      </c>
      <c r="F1005" s="1905"/>
      <c r="G1005" s="1963" t="s">
        <v>2573</v>
      </c>
      <c r="H1005" s="1964" t="s">
        <v>2623</v>
      </c>
      <c r="I1005" s="2310"/>
      <c r="J1005" s="2534">
        <v>0</v>
      </c>
      <c r="K1005" s="1615">
        <v>0</v>
      </c>
      <c r="L1005" s="1637">
        <v>1200</v>
      </c>
      <c r="M1005" s="1636"/>
      <c r="N1005" s="1615"/>
      <c r="O1005" s="1635"/>
      <c r="P1005" s="1965">
        <v>32</v>
      </c>
      <c r="Q1005" s="1966" t="s">
        <v>2571</v>
      </c>
    </row>
    <row r="1006" spans="1:17" ht="12.75" customHeight="1">
      <c r="A1006" s="1962"/>
      <c r="B1006" s="1840"/>
      <c r="C1006" s="1850" t="s">
        <v>3569</v>
      </c>
      <c r="D1006" s="1934"/>
      <c r="E1006" s="1934">
        <v>3</v>
      </c>
      <c r="F1006" s="1905"/>
      <c r="G1006" s="1963" t="s">
        <v>2573</v>
      </c>
      <c r="H1006" s="1964" t="s">
        <v>3293</v>
      </c>
      <c r="I1006" s="2310"/>
      <c r="J1006" s="2534">
        <v>0</v>
      </c>
      <c r="K1006" s="1615">
        <v>0</v>
      </c>
      <c r="L1006" s="1637">
        <v>1000</v>
      </c>
      <c r="M1006" s="1636"/>
      <c r="N1006" s="1615"/>
      <c r="O1006" s="1635"/>
      <c r="P1006" s="1965">
        <v>32</v>
      </c>
      <c r="Q1006" s="1966" t="s">
        <v>2571</v>
      </c>
    </row>
    <row r="1007" spans="1:17" ht="12.75" customHeight="1">
      <c r="A1007" s="1962"/>
      <c r="B1007" s="1840"/>
      <c r="C1007" s="1850" t="s">
        <v>3570</v>
      </c>
      <c r="D1007" s="1934"/>
      <c r="E1007" s="1934">
        <v>3</v>
      </c>
      <c r="F1007" s="1905"/>
      <c r="G1007" s="1963" t="s">
        <v>3203</v>
      </c>
      <c r="H1007" s="1964" t="s">
        <v>3028</v>
      </c>
      <c r="I1007" s="2310"/>
      <c r="J1007" s="2534">
        <v>0</v>
      </c>
      <c r="K1007" s="1615">
        <v>0</v>
      </c>
      <c r="L1007" s="1637">
        <v>20000</v>
      </c>
      <c r="M1007" s="1636"/>
      <c r="N1007" s="1615"/>
      <c r="O1007" s="1635"/>
      <c r="P1007" s="1965">
        <v>32</v>
      </c>
      <c r="Q1007" s="1966" t="s">
        <v>2571</v>
      </c>
    </row>
    <row r="1008" spans="1:17" ht="12.75" customHeight="1">
      <c r="A1008" s="1962"/>
      <c r="B1008" s="1840"/>
      <c r="C1008" s="1850" t="s">
        <v>3571</v>
      </c>
      <c r="D1008" s="1934"/>
      <c r="E1008" s="1934">
        <v>3</v>
      </c>
      <c r="F1008" s="1905"/>
      <c r="G1008" s="1963" t="s">
        <v>3203</v>
      </c>
      <c r="H1008" s="1964" t="s">
        <v>3028</v>
      </c>
      <c r="I1008" s="2310"/>
      <c r="J1008" s="2534">
        <v>0</v>
      </c>
      <c r="K1008" s="1615">
        <v>0</v>
      </c>
      <c r="L1008" s="1637">
        <v>22000</v>
      </c>
      <c r="M1008" s="1636"/>
      <c r="N1008" s="1615"/>
      <c r="O1008" s="1635"/>
      <c r="P1008" s="1965">
        <v>25</v>
      </c>
      <c r="Q1008" s="1966" t="s">
        <v>2571</v>
      </c>
    </row>
    <row r="1009" spans="1:17" ht="12.75" customHeight="1">
      <c r="A1009" s="1962"/>
      <c r="B1009" s="1840"/>
      <c r="C1009" s="1850" t="s">
        <v>3572</v>
      </c>
      <c r="D1009" s="1934"/>
      <c r="E1009" s="1934">
        <v>3</v>
      </c>
      <c r="F1009" s="1905"/>
      <c r="G1009" s="1963" t="s">
        <v>2573</v>
      </c>
      <c r="H1009" s="1964" t="s">
        <v>3573</v>
      </c>
      <c r="I1009" s="2310"/>
      <c r="J1009" s="2534">
        <v>0</v>
      </c>
      <c r="K1009" s="1615">
        <v>0</v>
      </c>
      <c r="L1009" s="1637">
        <v>18000</v>
      </c>
      <c r="M1009" s="1636"/>
      <c r="N1009" s="1615"/>
      <c r="O1009" s="1635"/>
      <c r="P1009" s="1965">
        <v>14</v>
      </c>
      <c r="Q1009" s="1966" t="s">
        <v>2571</v>
      </c>
    </row>
    <row r="1010" spans="1:17" ht="12.75" customHeight="1">
      <c r="A1010" s="1962"/>
      <c r="B1010" s="1840"/>
      <c r="C1010" s="1850" t="s">
        <v>3574</v>
      </c>
      <c r="D1010" s="1934"/>
      <c r="E1010" s="1934">
        <v>3</v>
      </c>
      <c r="F1010" s="1905"/>
      <c r="G1010" s="1963" t="s">
        <v>3203</v>
      </c>
      <c r="H1010" s="1964" t="s">
        <v>2623</v>
      </c>
      <c r="I1010" s="2310"/>
      <c r="J1010" s="2534">
        <v>0</v>
      </c>
      <c r="K1010" s="1615">
        <v>0</v>
      </c>
      <c r="L1010" s="1637">
        <v>2500</v>
      </c>
      <c r="M1010" s="1636"/>
      <c r="N1010" s="1615"/>
      <c r="O1010" s="1635"/>
      <c r="P1010" s="1965">
        <v>32</v>
      </c>
      <c r="Q1010" s="1966" t="s">
        <v>2571</v>
      </c>
    </row>
    <row r="1011" spans="1:17" ht="12.75" customHeight="1">
      <c r="A1011" s="1962"/>
      <c r="B1011" s="1840"/>
      <c r="C1011" s="1850" t="s">
        <v>3575</v>
      </c>
      <c r="D1011" s="1934"/>
      <c r="E1011" s="1934">
        <v>3</v>
      </c>
      <c r="F1011" s="1905"/>
      <c r="G1011" s="1963" t="s">
        <v>3203</v>
      </c>
      <c r="H1011" s="1964" t="s">
        <v>3529</v>
      </c>
      <c r="I1011" s="2310"/>
      <c r="J1011" s="2534">
        <v>0</v>
      </c>
      <c r="K1011" s="1615">
        <v>0</v>
      </c>
      <c r="L1011" s="1637">
        <v>30000</v>
      </c>
      <c r="M1011" s="1636">
        <v>30000</v>
      </c>
      <c r="N1011" s="1615"/>
      <c r="O1011" s="1635"/>
      <c r="P1011" s="1965">
        <v>30</v>
      </c>
      <c r="Q1011" s="1966" t="s">
        <v>2571</v>
      </c>
    </row>
    <row r="1012" spans="1:17" ht="12.75" customHeight="1">
      <c r="A1012" s="1962"/>
      <c r="B1012" s="1840"/>
      <c r="C1012" s="1850" t="s">
        <v>3576</v>
      </c>
      <c r="D1012" s="1934"/>
      <c r="E1012" s="1934">
        <v>3</v>
      </c>
      <c r="F1012" s="1905"/>
      <c r="G1012" s="1963" t="s">
        <v>2569</v>
      </c>
      <c r="H1012" s="1964" t="s">
        <v>3577</v>
      </c>
      <c r="I1012" s="2310"/>
      <c r="J1012" s="2534">
        <v>0</v>
      </c>
      <c r="K1012" s="1615">
        <v>0</v>
      </c>
      <c r="L1012" s="1637">
        <v>1200</v>
      </c>
      <c r="M1012" s="1636"/>
      <c r="N1012" s="1615"/>
      <c r="O1012" s="1635"/>
      <c r="P1012" s="1965">
        <v>2</v>
      </c>
      <c r="Q1012" s="1966" t="s">
        <v>2571</v>
      </c>
    </row>
    <row r="1013" spans="1:17" ht="12.75" customHeight="1">
      <c r="A1013" s="1962"/>
      <c r="B1013" s="1840"/>
      <c r="C1013" s="1850" t="s">
        <v>3578</v>
      </c>
      <c r="D1013" s="1934"/>
      <c r="E1013" s="1934">
        <v>3</v>
      </c>
      <c r="F1013" s="1905"/>
      <c r="G1013" s="1963" t="s">
        <v>2573</v>
      </c>
      <c r="H1013" s="1964" t="s">
        <v>3579</v>
      </c>
      <c r="I1013" s="2310"/>
      <c r="J1013" s="2534">
        <v>0</v>
      </c>
      <c r="K1013" s="1615">
        <v>0</v>
      </c>
      <c r="L1013" s="1637">
        <v>6000</v>
      </c>
      <c r="M1013" s="1636"/>
      <c r="N1013" s="1615"/>
      <c r="O1013" s="1635"/>
      <c r="P1013" s="1965">
        <v>2</v>
      </c>
      <c r="Q1013" s="1966" t="s">
        <v>2571</v>
      </c>
    </row>
    <row r="1014" spans="1:17" ht="12.75" customHeight="1">
      <c r="A1014" s="1962"/>
      <c r="B1014" s="1840"/>
      <c r="C1014" s="1850" t="s">
        <v>3580</v>
      </c>
      <c r="D1014" s="1934"/>
      <c r="E1014" s="1934">
        <v>3</v>
      </c>
      <c r="F1014" s="1905"/>
      <c r="G1014" s="1963" t="s">
        <v>3203</v>
      </c>
      <c r="H1014" s="1964" t="s">
        <v>3529</v>
      </c>
      <c r="I1014" s="2310"/>
      <c r="J1014" s="2534">
        <v>0</v>
      </c>
      <c r="K1014" s="1615">
        <v>0</v>
      </c>
      <c r="L1014" s="1637">
        <v>25000</v>
      </c>
      <c r="M1014" s="1636"/>
      <c r="N1014" s="1615"/>
      <c r="O1014" s="1635"/>
      <c r="P1014" s="1965">
        <v>28</v>
      </c>
      <c r="Q1014" s="1966" t="s">
        <v>2571</v>
      </c>
    </row>
    <row r="1015" spans="1:17" ht="12.75" customHeight="1">
      <c r="A1015" s="1962"/>
      <c r="B1015" s="1840"/>
      <c r="C1015" s="1850" t="s">
        <v>3581</v>
      </c>
      <c r="D1015" s="1934"/>
      <c r="E1015" s="1934">
        <v>3</v>
      </c>
      <c r="F1015" s="1905"/>
      <c r="G1015" s="1963" t="s">
        <v>2569</v>
      </c>
      <c r="H1015" s="1964" t="s">
        <v>2636</v>
      </c>
      <c r="I1015" s="2310"/>
      <c r="J1015" s="2534">
        <v>0</v>
      </c>
      <c r="K1015" s="1615">
        <v>0</v>
      </c>
      <c r="L1015" s="1637">
        <v>15000</v>
      </c>
      <c r="M1015" s="1636"/>
      <c r="N1015" s="1615"/>
      <c r="O1015" s="1635"/>
      <c r="P1015" s="1965">
        <v>26</v>
      </c>
      <c r="Q1015" s="1966" t="s">
        <v>2571</v>
      </c>
    </row>
    <row r="1016" spans="1:17" ht="12.75" customHeight="1">
      <c r="A1016" s="1962"/>
      <c r="B1016" s="1840"/>
      <c r="C1016" s="1850" t="s">
        <v>3582</v>
      </c>
      <c r="D1016" s="1934"/>
      <c r="E1016" s="1934">
        <v>3</v>
      </c>
      <c r="F1016" s="1905"/>
      <c r="G1016" s="1963" t="s">
        <v>2573</v>
      </c>
      <c r="H1016" s="1964" t="s">
        <v>2733</v>
      </c>
      <c r="I1016" s="2310"/>
      <c r="J1016" s="2534">
        <v>0</v>
      </c>
      <c r="K1016" s="1615">
        <v>0</v>
      </c>
      <c r="L1016" s="1637">
        <v>5000</v>
      </c>
      <c r="M1016" s="1636"/>
      <c r="N1016" s="1615"/>
      <c r="O1016" s="1635"/>
      <c r="P1016" s="1965">
        <v>26</v>
      </c>
      <c r="Q1016" s="1966" t="s">
        <v>2571</v>
      </c>
    </row>
    <row r="1017" spans="1:17" ht="12.75" customHeight="1">
      <c r="A1017" s="1962"/>
      <c r="B1017" s="1840"/>
      <c r="C1017" s="1850" t="s">
        <v>3583</v>
      </c>
      <c r="D1017" s="1934"/>
      <c r="E1017" s="1934">
        <v>3</v>
      </c>
      <c r="F1017" s="1905"/>
      <c r="G1017" s="1963" t="s">
        <v>2573</v>
      </c>
      <c r="H1017" s="1964" t="s">
        <v>2733</v>
      </c>
      <c r="I1017" s="2310"/>
      <c r="J1017" s="2534">
        <v>0</v>
      </c>
      <c r="K1017" s="1615">
        <v>0</v>
      </c>
      <c r="L1017" s="1637">
        <v>4500</v>
      </c>
      <c r="M1017" s="1636"/>
      <c r="N1017" s="1615"/>
      <c r="O1017" s="1635"/>
      <c r="P1017" s="1965">
        <v>21</v>
      </c>
      <c r="Q1017" s="1966" t="s">
        <v>2571</v>
      </c>
    </row>
    <row r="1018" spans="1:17" ht="12.75" customHeight="1">
      <c r="A1018" s="1962"/>
      <c r="B1018" s="1840"/>
      <c r="C1018" s="1850" t="s">
        <v>3584</v>
      </c>
      <c r="D1018" s="1934"/>
      <c r="E1018" s="1934">
        <v>3</v>
      </c>
      <c r="F1018" s="1905"/>
      <c r="G1018" s="1963" t="s">
        <v>2564</v>
      </c>
      <c r="H1018" s="1964" t="s">
        <v>3534</v>
      </c>
      <c r="I1018" s="2310"/>
      <c r="J1018" s="2534">
        <v>0</v>
      </c>
      <c r="K1018" s="1615">
        <v>0</v>
      </c>
      <c r="L1018" s="1637">
        <v>12000</v>
      </c>
      <c r="M1018" s="1636"/>
      <c r="N1018" s="1615"/>
      <c r="O1018" s="1635"/>
      <c r="P1018" s="1965">
        <v>13</v>
      </c>
      <c r="Q1018" s="1966" t="s">
        <v>2571</v>
      </c>
    </row>
    <row r="1019" spans="1:17" ht="12.75" customHeight="1">
      <c r="A1019" s="1962"/>
      <c r="B1019" s="1840"/>
      <c r="C1019" s="1850" t="s">
        <v>3585</v>
      </c>
      <c r="D1019" s="1934"/>
      <c r="E1019" s="1934">
        <v>3</v>
      </c>
      <c r="F1019" s="1905"/>
      <c r="G1019" s="1963" t="s">
        <v>3203</v>
      </c>
      <c r="H1019" s="1964" t="s">
        <v>2623</v>
      </c>
      <c r="I1019" s="2310"/>
      <c r="J1019" s="2534">
        <v>0</v>
      </c>
      <c r="K1019" s="1615">
        <v>0</v>
      </c>
      <c r="L1019" s="1637">
        <v>6000</v>
      </c>
      <c r="M1019" s="1636">
        <v>10000</v>
      </c>
      <c r="N1019" s="1615"/>
      <c r="O1019" s="1635"/>
      <c r="P1019" s="1965">
        <v>10</v>
      </c>
      <c r="Q1019" s="1966" t="s">
        <v>2571</v>
      </c>
    </row>
    <row r="1020" spans="1:17" ht="12.75" customHeight="1">
      <c r="A1020" s="1962"/>
      <c r="B1020" s="1840"/>
      <c r="C1020" s="1850" t="s">
        <v>3586</v>
      </c>
      <c r="D1020" s="1934"/>
      <c r="E1020" s="1934">
        <v>3</v>
      </c>
      <c r="F1020" s="1905"/>
      <c r="G1020" s="1963" t="s">
        <v>3203</v>
      </c>
      <c r="H1020" s="1964" t="s">
        <v>3293</v>
      </c>
      <c r="I1020" s="2310"/>
      <c r="J1020" s="2534">
        <v>0</v>
      </c>
      <c r="K1020" s="1615">
        <v>0</v>
      </c>
      <c r="L1020" s="1637">
        <v>6000</v>
      </c>
      <c r="M1020" s="1636"/>
      <c r="N1020" s="1615"/>
      <c r="O1020" s="1635"/>
      <c r="P1020" s="1965">
        <v>10</v>
      </c>
      <c r="Q1020" s="1966" t="s">
        <v>2571</v>
      </c>
    </row>
    <row r="1021" spans="1:17" ht="12.75" customHeight="1">
      <c r="A1021" s="1962"/>
      <c r="B1021" s="1840"/>
      <c r="C1021" s="1850" t="s">
        <v>3587</v>
      </c>
      <c r="D1021" s="1934"/>
      <c r="E1021" s="1934">
        <v>3</v>
      </c>
      <c r="F1021" s="1905"/>
      <c r="G1021" s="1963" t="s">
        <v>2564</v>
      </c>
      <c r="H1021" s="1964" t="s">
        <v>3280</v>
      </c>
      <c r="I1021" s="2310"/>
      <c r="J1021" s="2534">
        <v>0</v>
      </c>
      <c r="K1021" s="1615">
        <v>0</v>
      </c>
      <c r="L1021" s="1637">
        <v>6000</v>
      </c>
      <c r="M1021" s="1636"/>
      <c r="N1021" s="1615"/>
      <c r="O1021" s="1635"/>
      <c r="P1021" s="1965">
        <v>10</v>
      </c>
      <c r="Q1021" s="1966" t="s">
        <v>2571</v>
      </c>
    </row>
    <row r="1022" spans="1:17" ht="12.75" customHeight="1">
      <c r="A1022" s="1962"/>
      <c r="B1022" s="1840"/>
      <c r="C1022" s="1850" t="s">
        <v>3588</v>
      </c>
      <c r="D1022" s="1934"/>
      <c r="E1022" s="1934">
        <v>3</v>
      </c>
      <c r="F1022" s="1905"/>
      <c r="G1022" s="1963" t="s">
        <v>2573</v>
      </c>
      <c r="H1022" s="1964" t="s">
        <v>2733</v>
      </c>
      <c r="I1022" s="2310"/>
      <c r="J1022" s="2534">
        <v>0</v>
      </c>
      <c r="K1022" s="1615">
        <v>0</v>
      </c>
      <c r="L1022" s="1637">
        <v>4000</v>
      </c>
      <c r="M1022" s="1636"/>
      <c r="N1022" s="1615"/>
      <c r="O1022" s="1635"/>
      <c r="P1022" s="1965">
        <v>10</v>
      </c>
      <c r="Q1022" s="1966" t="s">
        <v>2571</v>
      </c>
    </row>
    <row r="1023" spans="1:17" ht="12.75" customHeight="1">
      <c r="A1023" s="1962"/>
      <c r="B1023" s="1840"/>
      <c r="C1023" s="1850" t="s">
        <v>3589</v>
      </c>
      <c r="D1023" s="1934"/>
      <c r="E1023" s="1934">
        <v>3</v>
      </c>
      <c r="F1023" s="1905"/>
      <c r="G1023" s="1963" t="s">
        <v>2564</v>
      </c>
      <c r="H1023" s="1964" t="s">
        <v>3280</v>
      </c>
      <c r="I1023" s="2310"/>
      <c r="J1023" s="2534">
        <v>0</v>
      </c>
      <c r="K1023" s="1615">
        <v>0</v>
      </c>
      <c r="L1023" s="1637">
        <v>6000</v>
      </c>
      <c r="M1023" s="1636"/>
      <c r="N1023" s="1615"/>
      <c r="O1023" s="1635"/>
      <c r="P1023" s="1965">
        <v>25</v>
      </c>
      <c r="Q1023" s="1966" t="s">
        <v>2571</v>
      </c>
    </row>
    <row r="1024" spans="1:17" ht="12.75" customHeight="1">
      <c r="A1024" s="1962"/>
      <c r="B1024" s="1840"/>
      <c r="C1024" s="1850" t="s">
        <v>4229</v>
      </c>
      <c r="D1024" s="1934"/>
      <c r="E1024" s="1934">
        <v>1</v>
      </c>
      <c r="F1024" s="1905"/>
      <c r="G1024" s="1963" t="s">
        <v>2573</v>
      </c>
      <c r="H1024" s="1964" t="s">
        <v>4230</v>
      </c>
      <c r="I1024" s="2310"/>
      <c r="J1024" s="2534">
        <v>0</v>
      </c>
      <c r="K1024" s="1615">
        <v>0</v>
      </c>
      <c r="L1024" s="1637">
        <v>0</v>
      </c>
      <c r="M1024" s="1636">
        <v>0</v>
      </c>
      <c r="N1024" s="1615">
        <v>0</v>
      </c>
      <c r="O1024" s="1635">
        <v>20000</v>
      </c>
      <c r="P1024" s="1965">
        <v>21</v>
      </c>
      <c r="Q1024" s="1966" t="s">
        <v>2571</v>
      </c>
    </row>
    <row r="1025" spans="1:17" ht="12.75" customHeight="1">
      <c r="A1025" s="1962"/>
      <c r="B1025" s="1840"/>
      <c r="C1025" s="1850" t="s">
        <v>4231</v>
      </c>
      <c r="D1025" s="1934"/>
      <c r="E1025" s="1934">
        <v>1</v>
      </c>
      <c r="F1025" s="1905"/>
      <c r="G1025" s="1963" t="s">
        <v>2573</v>
      </c>
      <c r="H1025" s="1964" t="s">
        <v>2627</v>
      </c>
      <c r="I1025" s="2310"/>
      <c r="J1025" s="2534">
        <v>0</v>
      </c>
      <c r="K1025" s="1615">
        <v>0</v>
      </c>
      <c r="L1025" s="1637">
        <v>0</v>
      </c>
      <c r="M1025" s="1636">
        <v>0</v>
      </c>
      <c r="N1025" s="1615">
        <v>0</v>
      </c>
      <c r="O1025" s="1635">
        <v>9000</v>
      </c>
      <c r="P1025" s="1965">
        <v>21</v>
      </c>
      <c r="Q1025" s="1966" t="s">
        <v>2587</v>
      </c>
    </row>
    <row r="1026" spans="1:17" ht="12.75" customHeight="1">
      <c r="A1026" s="1962"/>
      <c r="B1026" s="1840"/>
      <c r="C1026" s="1850" t="s">
        <v>4232</v>
      </c>
      <c r="D1026" s="1934"/>
      <c r="E1026" s="1934">
        <v>1</v>
      </c>
      <c r="F1026" s="1905"/>
      <c r="G1026" s="1963" t="s">
        <v>2569</v>
      </c>
      <c r="H1026" s="1964" t="s">
        <v>2648</v>
      </c>
      <c r="I1026" s="2310"/>
      <c r="J1026" s="2534">
        <v>0</v>
      </c>
      <c r="K1026" s="1615">
        <v>0</v>
      </c>
      <c r="L1026" s="1637">
        <v>0</v>
      </c>
      <c r="M1026" s="1636">
        <v>0</v>
      </c>
      <c r="N1026" s="1615">
        <v>0</v>
      </c>
      <c r="O1026" s="1635">
        <v>80000</v>
      </c>
      <c r="P1026" s="1965">
        <v>32</v>
      </c>
      <c r="Q1026" s="1966" t="s">
        <v>2571</v>
      </c>
    </row>
    <row r="1027" spans="1:17" ht="12.75" customHeight="1">
      <c r="A1027" s="1962"/>
      <c r="B1027" s="1840"/>
      <c r="C1027" s="1850" t="s">
        <v>4233</v>
      </c>
      <c r="D1027" s="1934"/>
      <c r="E1027" s="1934">
        <v>1</v>
      </c>
      <c r="F1027" s="1905"/>
      <c r="G1027" s="1963" t="s">
        <v>2564</v>
      </c>
      <c r="H1027" s="1964" t="s">
        <v>4234</v>
      </c>
      <c r="I1027" s="2310"/>
      <c r="J1027" s="2534">
        <v>0</v>
      </c>
      <c r="K1027" s="1615">
        <v>0</v>
      </c>
      <c r="L1027" s="1637">
        <v>0</v>
      </c>
      <c r="M1027" s="1636">
        <v>0</v>
      </c>
      <c r="N1027" s="1615">
        <v>0</v>
      </c>
      <c r="O1027" s="1635">
        <v>30000</v>
      </c>
      <c r="P1027" s="1965">
        <v>14</v>
      </c>
      <c r="Q1027" s="1966" t="s">
        <v>2571</v>
      </c>
    </row>
    <row r="1028" spans="1:17" ht="12.75" customHeight="1">
      <c r="A1028" s="1962"/>
      <c r="B1028" s="1840"/>
      <c r="C1028" s="1850" t="s">
        <v>4235</v>
      </c>
      <c r="D1028" s="1934"/>
      <c r="E1028" s="1934">
        <v>1</v>
      </c>
      <c r="F1028" s="1905"/>
      <c r="G1028" s="1963" t="s">
        <v>2564</v>
      </c>
      <c r="H1028" s="1964" t="s">
        <v>3028</v>
      </c>
      <c r="I1028" s="2310"/>
      <c r="J1028" s="2534">
        <v>0</v>
      </c>
      <c r="K1028" s="1615">
        <v>0</v>
      </c>
      <c r="L1028" s="1637">
        <v>0</v>
      </c>
      <c r="M1028" s="1636">
        <v>0</v>
      </c>
      <c r="N1028" s="1615">
        <v>0</v>
      </c>
      <c r="O1028" s="1635">
        <v>25000</v>
      </c>
      <c r="P1028" s="1965">
        <v>21</v>
      </c>
      <c r="Q1028" s="1966" t="s">
        <v>2587</v>
      </c>
    </row>
    <row r="1029" spans="1:17" ht="12.75" customHeight="1">
      <c r="A1029" s="1962"/>
      <c r="B1029" s="1840"/>
      <c r="C1029" s="1850" t="s">
        <v>4236</v>
      </c>
      <c r="D1029" s="1934"/>
      <c r="E1029" s="1934">
        <v>1</v>
      </c>
      <c r="F1029" s="1905"/>
      <c r="G1029" s="1963" t="s">
        <v>2573</v>
      </c>
      <c r="H1029" s="1964" t="s">
        <v>4237</v>
      </c>
      <c r="I1029" s="2310"/>
      <c r="J1029" s="2534">
        <v>0</v>
      </c>
      <c r="K1029" s="1615">
        <v>0</v>
      </c>
      <c r="L1029" s="1637">
        <v>0</v>
      </c>
      <c r="M1029" s="1636">
        <v>0</v>
      </c>
      <c r="N1029" s="1615">
        <v>0</v>
      </c>
      <c r="O1029" s="1635">
        <v>15000</v>
      </c>
      <c r="P1029" s="1965" t="s">
        <v>2566</v>
      </c>
      <c r="Q1029" s="1966" t="s">
        <v>2587</v>
      </c>
    </row>
    <row r="1030" spans="1:17" ht="12.75" customHeight="1">
      <c r="A1030" s="1962"/>
      <c r="B1030" s="1840"/>
      <c r="C1030" s="1850" t="s">
        <v>4238</v>
      </c>
      <c r="D1030" s="1934"/>
      <c r="E1030" s="1934">
        <v>1</v>
      </c>
      <c r="F1030" s="1905"/>
      <c r="G1030" s="1963" t="s">
        <v>2569</v>
      </c>
      <c r="H1030" s="1964" t="s">
        <v>4239</v>
      </c>
      <c r="I1030" s="2310"/>
      <c r="J1030" s="2534">
        <v>0</v>
      </c>
      <c r="K1030" s="1615">
        <v>0</v>
      </c>
      <c r="L1030" s="1637">
        <v>0</v>
      </c>
      <c r="M1030" s="1636">
        <v>0</v>
      </c>
      <c r="N1030" s="1615">
        <v>50000</v>
      </c>
      <c r="O1030" s="1635">
        <v>0</v>
      </c>
      <c r="P1030" s="1965">
        <v>10</v>
      </c>
      <c r="Q1030" s="1966" t="s">
        <v>2571</v>
      </c>
    </row>
    <row r="1031" spans="1:17" ht="12.75" customHeight="1">
      <c r="A1031" s="1962"/>
      <c r="B1031" s="1840"/>
      <c r="C1031" s="1850" t="s">
        <v>4240</v>
      </c>
      <c r="D1031" s="1934"/>
      <c r="E1031" s="1934">
        <v>1</v>
      </c>
      <c r="F1031" s="1905"/>
      <c r="G1031" s="1963" t="s">
        <v>2573</v>
      </c>
      <c r="H1031" s="1964" t="s">
        <v>2627</v>
      </c>
      <c r="I1031" s="2310"/>
      <c r="J1031" s="2534">
        <v>0</v>
      </c>
      <c r="K1031" s="1615">
        <v>0</v>
      </c>
      <c r="L1031" s="1637">
        <v>0</v>
      </c>
      <c r="M1031" s="1636">
        <v>0</v>
      </c>
      <c r="N1031" s="1615">
        <v>8000</v>
      </c>
      <c r="O1031" s="1635">
        <v>0</v>
      </c>
      <c r="P1031" s="1965">
        <v>13</v>
      </c>
      <c r="Q1031" s="1966" t="s">
        <v>2571</v>
      </c>
    </row>
    <row r="1032" spans="1:17" ht="12.75" customHeight="1">
      <c r="A1032" s="1962"/>
      <c r="B1032" s="1840"/>
      <c r="C1032" s="1850" t="s">
        <v>4241</v>
      </c>
      <c r="D1032" s="1934"/>
      <c r="E1032" s="1934">
        <v>1</v>
      </c>
      <c r="F1032" s="1905"/>
      <c r="G1032" s="1963" t="s">
        <v>2573</v>
      </c>
      <c r="H1032" s="1964" t="s">
        <v>4242</v>
      </c>
      <c r="I1032" s="2310"/>
      <c r="J1032" s="2534">
        <v>0</v>
      </c>
      <c r="K1032" s="1615">
        <v>0</v>
      </c>
      <c r="L1032" s="1637">
        <v>0</v>
      </c>
      <c r="M1032" s="1636">
        <v>0</v>
      </c>
      <c r="N1032" s="1615">
        <v>10000</v>
      </c>
      <c r="O1032" s="1635">
        <v>0</v>
      </c>
      <c r="P1032" s="1965">
        <v>2</v>
      </c>
      <c r="Q1032" s="1966" t="s">
        <v>2571</v>
      </c>
    </row>
    <row r="1033" spans="1:17" ht="12.75" customHeight="1">
      <c r="A1033" s="1962"/>
      <c r="B1033" s="1840"/>
      <c r="C1033" s="1850" t="s">
        <v>4243</v>
      </c>
      <c r="D1033" s="1934"/>
      <c r="E1033" s="1934">
        <v>1</v>
      </c>
      <c r="F1033" s="1905"/>
      <c r="G1033" s="1963" t="s">
        <v>2573</v>
      </c>
      <c r="H1033" s="1964" t="s">
        <v>2623</v>
      </c>
      <c r="I1033" s="2310"/>
      <c r="J1033" s="2534"/>
      <c r="K1033" s="1615"/>
      <c r="L1033" s="1637"/>
      <c r="M1033" s="1636"/>
      <c r="N1033" s="1615">
        <v>1000</v>
      </c>
      <c r="O1033" s="1635">
        <v>0</v>
      </c>
      <c r="P1033" s="1965">
        <v>2</v>
      </c>
      <c r="Q1033" s="1966" t="s">
        <v>2571</v>
      </c>
    </row>
    <row r="1034" spans="1:17" ht="12.75" customHeight="1">
      <c r="A1034" s="1962"/>
      <c r="B1034" s="1840"/>
      <c r="C1034" s="1850" t="s">
        <v>4244</v>
      </c>
      <c r="D1034" s="1934"/>
      <c r="E1034" s="1934">
        <v>1</v>
      </c>
      <c r="F1034" s="1905"/>
      <c r="G1034" s="1963" t="s">
        <v>2573</v>
      </c>
      <c r="H1034" s="1964" t="s">
        <v>3293</v>
      </c>
      <c r="I1034" s="2310"/>
      <c r="J1034" s="2534"/>
      <c r="K1034" s="1615"/>
      <c r="L1034" s="1637"/>
      <c r="M1034" s="1636">
        <v>0</v>
      </c>
      <c r="N1034" s="1615">
        <v>500</v>
      </c>
      <c r="O1034" s="1635">
        <v>0</v>
      </c>
      <c r="P1034" s="1965">
        <v>2</v>
      </c>
      <c r="Q1034" s="1966" t="s">
        <v>2571</v>
      </c>
    </row>
    <row r="1035" spans="1:17" ht="12.75" customHeight="1">
      <c r="A1035" s="1962"/>
      <c r="B1035" s="1840"/>
      <c r="C1035" s="1850" t="s">
        <v>4245</v>
      </c>
      <c r="D1035" s="1934"/>
      <c r="E1035" s="1934">
        <v>1</v>
      </c>
      <c r="F1035" s="1905"/>
      <c r="G1035" s="1963" t="s">
        <v>2573</v>
      </c>
      <c r="H1035" s="1964" t="s">
        <v>3579</v>
      </c>
      <c r="I1035" s="2310"/>
      <c r="J1035" s="2534">
        <v>0</v>
      </c>
      <c r="K1035" s="1615">
        <v>0</v>
      </c>
      <c r="L1035" s="1637">
        <v>0</v>
      </c>
      <c r="M1035" s="1636">
        <v>0</v>
      </c>
      <c r="N1035" s="1615">
        <v>7000</v>
      </c>
      <c r="O1035" s="1635">
        <v>0</v>
      </c>
      <c r="P1035" s="1965">
        <v>26</v>
      </c>
      <c r="Q1035" s="1966" t="s">
        <v>2571</v>
      </c>
    </row>
    <row r="1036" spans="1:17" ht="12.75" customHeight="1">
      <c r="A1036" s="1962"/>
      <c r="B1036" s="1840"/>
      <c r="C1036" s="1850" t="s">
        <v>4246</v>
      </c>
      <c r="D1036" s="1934"/>
      <c r="E1036" s="1934">
        <v>1</v>
      </c>
      <c r="F1036" s="1905"/>
      <c r="G1036" s="1963" t="s">
        <v>2573</v>
      </c>
      <c r="H1036" s="1964" t="s">
        <v>4242</v>
      </c>
      <c r="I1036" s="2310"/>
      <c r="J1036" s="2534">
        <v>0</v>
      </c>
      <c r="K1036" s="1615">
        <v>0</v>
      </c>
      <c r="L1036" s="1637">
        <v>0</v>
      </c>
      <c r="M1036" s="1636">
        <v>0</v>
      </c>
      <c r="N1036" s="1615">
        <v>15000</v>
      </c>
      <c r="O1036" s="1635">
        <v>0</v>
      </c>
      <c r="P1036" s="1965">
        <v>26</v>
      </c>
      <c r="Q1036" s="1966" t="s">
        <v>2587</v>
      </c>
    </row>
    <row r="1037" spans="1:17" ht="12.75" customHeight="1">
      <c r="A1037" s="1962"/>
      <c r="B1037" s="1840"/>
      <c r="C1037" s="1850" t="s">
        <v>4247</v>
      </c>
      <c r="D1037" s="1934"/>
      <c r="E1037" s="1934">
        <v>1</v>
      </c>
      <c r="F1037" s="1905"/>
      <c r="G1037" s="1963" t="s">
        <v>2564</v>
      </c>
      <c r="H1037" s="1964" t="s">
        <v>2623</v>
      </c>
      <c r="I1037" s="2310"/>
      <c r="J1037" s="2534">
        <v>0</v>
      </c>
      <c r="K1037" s="1615">
        <v>0</v>
      </c>
      <c r="L1037" s="1637">
        <v>0</v>
      </c>
      <c r="M1037" s="1636">
        <v>0</v>
      </c>
      <c r="N1037" s="1615">
        <v>18000</v>
      </c>
      <c r="O1037" s="1635">
        <v>0</v>
      </c>
      <c r="P1037" s="1965">
        <v>14</v>
      </c>
      <c r="Q1037" s="1966" t="s">
        <v>2587</v>
      </c>
    </row>
    <row r="1038" spans="1:17" ht="12.75" customHeight="1">
      <c r="A1038" s="1962"/>
      <c r="B1038" s="1840"/>
      <c r="C1038" s="1850" t="s">
        <v>4248</v>
      </c>
      <c r="D1038" s="1934"/>
      <c r="E1038" s="1934">
        <v>1</v>
      </c>
      <c r="F1038" s="1905"/>
      <c r="G1038" s="1963" t="s">
        <v>2564</v>
      </c>
      <c r="H1038" s="1964" t="s">
        <v>2623</v>
      </c>
      <c r="I1038" s="2310"/>
      <c r="J1038" s="2534">
        <v>0</v>
      </c>
      <c r="K1038" s="1615">
        <v>0</v>
      </c>
      <c r="L1038" s="1637">
        <v>0</v>
      </c>
      <c r="M1038" s="1636">
        <v>0</v>
      </c>
      <c r="N1038" s="1615">
        <v>30000</v>
      </c>
      <c r="O1038" s="1635">
        <v>0</v>
      </c>
      <c r="P1038" s="1965">
        <v>14</v>
      </c>
      <c r="Q1038" s="1966" t="s">
        <v>2587</v>
      </c>
    </row>
    <row r="1039" spans="1:17" ht="12.75" customHeight="1">
      <c r="A1039" s="1962"/>
      <c r="B1039" s="1840"/>
      <c r="C1039" s="1850" t="s">
        <v>4249</v>
      </c>
      <c r="D1039" s="1934"/>
      <c r="E1039" s="1934">
        <v>1</v>
      </c>
      <c r="F1039" s="1905"/>
      <c r="G1039" s="1963" t="s">
        <v>2573</v>
      </c>
      <c r="H1039" s="1964" t="s">
        <v>4250</v>
      </c>
      <c r="I1039" s="2310"/>
      <c r="J1039" s="2534"/>
      <c r="K1039" s="1615"/>
      <c r="L1039" s="1637"/>
      <c r="M1039" s="1636"/>
      <c r="N1039" s="1615">
        <v>150000</v>
      </c>
      <c r="O1039" s="1635"/>
      <c r="P1039" s="1965">
        <v>14</v>
      </c>
      <c r="Q1039" s="1966" t="s">
        <v>2587</v>
      </c>
    </row>
    <row r="1040" spans="1:17" ht="12.75" customHeight="1">
      <c r="A1040" s="1962"/>
      <c r="B1040" s="1840"/>
      <c r="C1040" s="1850" t="s">
        <v>4251</v>
      </c>
      <c r="D1040" s="1934"/>
      <c r="E1040" s="1934">
        <v>1</v>
      </c>
      <c r="F1040" s="1905"/>
      <c r="G1040" s="1963" t="s">
        <v>2564</v>
      </c>
      <c r="H1040" s="1964" t="s">
        <v>4107</v>
      </c>
      <c r="I1040" s="2310"/>
      <c r="J1040" s="2534"/>
      <c r="K1040" s="1615"/>
      <c r="L1040" s="1637"/>
      <c r="M1040" s="1636">
        <v>0</v>
      </c>
      <c r="N1040" s="1615">
        <v>15000</v>
      </c>
      <c r="O1040" s="1635">
        <v>0</v>
      </c>
      <c r="P1040" s="1965" t="s">
        <v>2566</v>
      </c>
      <c r="Q1040" s="1966" t="s">
        <v>2571</v>
      </c>
    </row>
    <row r="1041" spans="1:17" ht="12.75" customHeight="1">
      <c r="A1041" s="1962"/>
      <c r="B1041" s="1840"/>
      <c r="C1041" s="1850" t="s">
        <v>4252</v>
      </c>
      <c r="D1041" s="1934"/>
      <c r="E1041" s="1934">
        <v>1</v>
      </c>
      <c r="F1041" s="1905"/>
      <c r="G1041" s="1963" t="s">
        <v>2573</v>
      </c>
      <c r="H1041" s="1964" t="s">
        <v>3579</v>
      </c>
      <c r="I1041" s="2310"/>
      <c r="J1041" s="2534"/>
      <c r="K1041" s="1615"/>
      <c r="L1041" s="1637"/>
      <c r="M1041" s="1636">
        <v>6000</v>
      </c>
      <c r="N1041" s="1615">
        <v>0</v>
      </c>
      <c r="O1041" s="1635">
        <v>0</v>
      </c>
      <c r="P1041" s="1965">
        <v>30</v>
      </c>
      <c r="Q1041" s="1966" t="s">
        <v>2571</v>
      </c>
    </row>
    <row r="1042" spans="1:17" ht="12.75" customHeight="1">
      <c r="A1042" s="1962"/>
      <c r="B1042" s="1840"/>
      <c r="C1042" s="1850" t="s">
        <v>4253</v>
      </c>
      <c r="D1042" s="1934"/>
      <c r="E1042" s="1934">
        <v>1</v>
      </c>
      <c r="F1042" s="1905"/>
      <c r="G1042" s="1963" t="s">
        <v>2573</v>
      </c>
      <c r="H1042" s="1964" t="s">
        <v>4254</v>
      </c>
      <c r="I1042" s="2310"/>
      <c r="J1042" s="2534"/>
      <c r="K1042" s="1615"/>
      <c r="L1042" s="1637"/>
      <c r="M1042" s="1636">
        <v>7000</v>
      </c>
      <c r="N1042" s="1615">
        <v>0</v>
      </c>
      <c r="O1042" s="1635">
        <v>0</v>
      </c>
      <c r="P1042" s="1965">
        <v>30</v>
      </c>
      <c r="Q1042" s="1966" t="s">
        <v>2571</v>
      </c>
    </row>
    <row r="1043" spans="1:17" ht="12.75" customHeight="1">
      <c r="A1043" s="1962"/>
      <c r="B1043" s="1840"/>
      <c r="C1043" s="1850" t="s">
        <v>4255</v>
      </c>
      <c r="D1043" s="1934"/>
      <c r="E1043" s="1934">
        <v>1</v>
      </c>
      <c r="F1043" s="1905"/>
      <c r="G1043" s="1963" t="s">
        <v>2573</v>
      </c>
      <c r="H1043" s="1964" t="s">
        <v>3537</v>
      </c>
      <c r="I1043" s="2310"/>
      <c r="J1043" s="2534"/>
      <c r="K1043" s="1615"/>
      <c r="L1043" s="1637"/>
      <c r="M1043" s="1636">
        <v>7000</v>
      </c>
      <c r="N1043" s="1615"/>
      <c r="O1043" s="1635"/>
      <c r="P1043" s="1965">
        <v>21</v>
      </c>
      <c r="Q1043" s="1966" t="s">
        <v>2571</v>
      </c>
    </row>
    <row r="1044" spans="1:17" ht="12.75" customHeight="1">
      <c r="A1044" s="1962"/>
      <c r="B1044" s="1840"/>
      <c r="C1044" s="1850" t="s">
        <v>4256</v>
      </c>
      <c r="D1044" s="1934"/>
      <c r="E1044" s="1934">
        <v>1</v>
      </c>
      <c r="F1044" s="1905"/>
      <c r="G1044" s="1963" t="s">
        <v>2569</v>
      </c>
      <c r="H1044" s="1964" t="s">
        <v>3272</v>
      </c>
      <c r="I1044" s="2310"/>
      <c r="J1044" s="2534"/>
      <c r="K1044" s="1615"/>
      <c r="L1044" s="1637"/>
      <c r="M1044" s="1636">
        <v>15000</v>
      </c>
      <c r="N1044" s="1615"/>
      <c r="O1044" s="1635"/>
      <c r="P1044" s="1965">
        <v>26</v>
      </c>
      <c r="Q1044" s="1966" t="s">
        <v>2571</v>
      </c>
    </row>
    <row r="1045" spans="1:17" ht="12.75" customHeight="1">
      <c r="A1045" s="1962"/>
      <c r="B1045" s="1840"/>
      <c r="C1045" s="1850" t="s">
        <v>4257</v>
      </c>
      <c r="D1045" s="1934"/>
      <c r="E1045" s="1934">
        <v>1</v>
      </c>
      <c r="F1045" s="1905"/>
      <c r="G1045" s="1963" t="s">
        <v>2564</v>
      </c>
      <c r="H1045" s="1964" t="s">
        <v>2623</v>
      </c>
      <c r="I1045" s="2310"/>
      <c r="J1045" s="2534"/>
      <c r="K1045" s="1615"/>
      <c r="L1045" s="1637"/>
      <c r="M1045" s="1636">
        <v>1000</v>
      </c>
      <c r="N1045" s="1615"/>
      <c r="O1045" s="1635"/>
      <c r="P1045" s="1965">
        <v>2</v>
      </c>
      <c r="Q1045" s="1966" t="s">
        <v>2571</v>
      </c>
    </row>
    <row r="1046" spans="1:17" ht="12.75" customHeight="1">
      <c r="A1046" s="1962"/>
      <c r="B1046" s="1840"/>
      <c r="C1046" s="1850" t="s">
        <v>4258</v>
      </c>
      <c r="D1046" s="1934"/>
      <c r="E1046" s="1934">
        <v>1</v>
      </c>
      <c r="F1046" s="1905"/>
      <c r="G1046" s="1963" t="s">
        <v>2564</v>
      </c>
      <c r="H1046" s="1964" t="s">
        <v>4259</v>
      </c>
      <c r="I1046" s="2310"/>
      <c r="J1046" s="2534"/>
      <c r="K1046" s="1615"/>
      <c r="L1046" s="1637"/>
      <c r="M1046" s="1636">
        <v>15000</v>
      </c>
      <c r="N1046" s="1615"/>
      <c r="O1046" s="1635"/>
      <c r="P1046" s="1965">
        <v>2</v>
      </c>
      <c r="Q1046" s="1966" t="s">
        <v>2571</v>
      </c>
    </row>
    <row r="1047" spans="1:17" ht="12.75" customHeight="1">
      <c r="A1047" s="1962"/>
      <c r="B1047" s="1840"/>
      <c r="C1047" s="1850" t="s">
        <v>4260</v>
      </c>
      <c r="D1047" s="1934"/>
      <c r="E1047" s="1934">
        <v>1</v>
      </c>
      <c r="F1047" s="1905"/>
      <c r="G1047" s="1963" t="s">
        <v>2564</v>
      </c>
      <c r="H1047" s="1964" t="s">
        <v>3300</v>
      </c>
      <c r="I1047" s="2310"/>
      <c r="J1047" s="2534"/>
      <c r="K1047" s="1615"/>
      <c r="L1047" s="1637"/>
      <c r="M1047" s="1636">
        <v>35000</v>
      </c>
      <c r="N1047" s="1615">
        <v>0</v>
      </c>
      <c r="O1047" s="1635">
        <v>0</v>
      </c>
      <c r="P1047" s="1965">
        <v>32</v>
      </c>
      <c r="Q1047" s="1966" t="s">
        <v>2571</v>
      </c>
    </row>
    <row r="1048" spans="1:17" ht="12.75" customHeight="1">
      <c r="A1048" s="1962"/>
      <c r="B1048" s="1840"/>
      <c r="C1048" s="1850" t="s">
        <v>4261</v>
      </c>
      <c r="D1048" s="1934"/>
      <c r="E1048" s="1934">
        <v>1</v>
      </c>
      <c r="F1048" s="1905"/>
      <c r="G1048" s="1963" t="s">
        <v>2573</v>
      </c>
      <c r="H1048" s="1964" t="s">
        <v>2733</v>
      </c>
      <c r="I1048" s="2310"/>
      <c r="J1048" s="2534"/>
      <c r="K1048" s="1615"/>
      <c r="L1048" s="1637"/>
      <c r="M1048" s="1636">
        <v>7000</v>
      </c>
      <c r="N1048" s="1615"/>
      <c r="O1048" s="1635"/>
      <c r="P1048" s="1965" t="s">
        <v>4227</v>
      </c>
      <c r="Q1048" s="1966" t="s">
        <v>2587</v>
      </c>
    </row>
    <row r="1049" spans="1:17" ht="12.75" customHeight="1">
      <c r="A1049" s="1962"/>
      <c r="B1049" s="1840"/>
      <c r="C1049" s="1850" t="s">
        <v>4262</v>
      </c>
      <c r="D1049" s="1934"/>
      <c r="E1049" s="1934">
        <v>1</v>
      </c>
      <c r="F1049" s="1905"/>
      <c r="G1049" s="1963" t="s">
        <v>2564</v>
      </c>
      <c r="H1049" s="1964" t="s">
        <v>2784</v>
      </c>
      <c r="I1049" s="2310"/>
      <c r="J1049" s="2534"/>
      <c r="K1049" s="1615"/>
      <c r="L1049" s="1637"/>
      <c r="M1049" s="1636">
        <v>47000</v>
      </c>
      <c r="N1049" s="1615"/>
      <c r="O1049" s="1635"/>
      <c r="P1049" s="1965" t="s">
        <v>4263</v>
      </c>
      <c r="Q1049" s="1966" t="s">
        <v>2587</v>
      </c>
    </row>
    <row r="1050" spans="1:17" ht="12.75" customHeight="1">
      <c r="A1050" s="1962"/>
      <c r="B1050" s="1840"/>
      <c r="C1050" s="1850" t="s">
        <v>4264</v>
      </c>
      <c r="D1050" s="1934"/>
      <c r="E1050" s="1934">
        <v>1</v>
      </c>
      <c r="F1050" s="1905"/>
      <c r="G1050" s="1963" t="s">
        <v>2564</v>
      </c>
      <c r="H1050" s="1964" t="s">
        <v>3280</v>
      </c>
      <c r="I1050" s="2310"/>
      <c r="J1050" s="2534"/>
      <c r="K1050" s="1615"/>
      <c r="L1050" s="1637"/>
      <c r="M1050" s="1636">
        <v>29100</v>
      </c>
      <c r="N1050" s="1615"/>
      <c r="O1050" s="1635"/>
      <c r="P1050" s="1965" t="s">
        <v>2566</v>
      </c>
      <c r="Q1050" s="1966" t="s">
        <v>2587</v>
      </c>
    </row>
    <row r="1051" spans="1:17" ht="12.75" customHeight="1">
      <c r="A1051" s="1962"/>
      <c r="B1051" s="1840"/>
      <c r="C1051" s="1850" t="s">
        <v>4265</v>
      </c>
      <c r="D1051" s="1934"/>
      <c r="E1051" s="1934">
        <v>1</v>
      </c>
      <c r="F1051" s="1905"/>
      <c r="G1051" s="1963" t="s">
        <v>2569</v>
      </c>
      <c r="H1051" s="1964" t="s">
        <v>4266</v>
      </c>
      <c r="I1051" s="2310"/>
      <c r="J1051" s="2534"/>
      <c r="K1051" s="1615"/>
      <c r="L1051" s="1637"/>
      <c r="M1051" s="1636">
        <v>82600</v>
      </c>
      <c r="N1051" s="1615"/>
      <c r="O1051" s="1635"/>
      <c r="P1051" s="1965">
        <v>10</v>
      </c>
      <c r="Q1051" s="1966" t="s">
        <v>2571</v>
      </c>
    </row>
    <row r="1052" spans="1:17" ht="12.75" customHeight="1">
      <c r="A1052" s="1962"/>
      <c r="B1052" s="1840"/>
      <c r="C1052" s="1850" t="s">
        <v>4267</v>
      </c>
      <c r="D1052" s="1934"/>
      <c r="E1052" s="1934">
        <v>1</v>
      </c>
      <c r="F1052" s="1905"/>
      <c r="G1052" s="1963" t="s">
        <v>2564</v>
      </c>
      <c r="H1052" s="1964" t="s">
        <v>2623</v>
      </c>
      <c r="I1052" s="2310"/>
      <c r="J1052" s="2534"/>
      <c r="K1052" s="1615"/>
      <c r="L1052" s="1637"/>
      <c r="M1052" s="1636">
        <v>1800</v>
      </c>
      <c r="N1052" s="1615"/>
      <c r="O1052" s="1635"/>
      <c r="P1052" s="1965">
        <v>14</v>
      </c>
      <c r="Q1052" s="1966" t="s">
        <v>2571</v>
      </c>
    </row>
    <row r="1053" spans="1:17" ht="12.75" customHeight="1">
      <c r="A1053" s="1962"/>
      <c r="B1053" s="1840"/>
      <c r="C1053" s="1850" t="s">
        <v>4268</v>
      </c>
      <c r="D1053" s="1934"/>
      <c r="E1053" s="1934">
        <v>1</v>
      </c>
      <c r="F1053" s="1905"/>
      <c r="G1053" s="1963" t="s">
        <v>2564</v>
      </c>
      <c r="H1053" s="1964" t="s">
        <v>3293</v>
      </c>
      <c r="I1053" s="2310"/>
      <c r="J1053" s="2534"/>
      <c r="K1053" s="1615"/>
      <c r="L1053" s="1637"/>
      <c r="M1053" s="1636">
        <v>1500</v>
      </c>
      <c r="N1053" s="1615"/>
      <c r="O1053" s="1635"/>
      <c r="P1053" s="1965">
        <v>14</v>
      </c>
      <c r="Q1053" s="1966" t="s">
        <v>2571</v>
      </c>
    </row>
    <row r="1054" spans="1:17" ht="12.75" customHeight="1">
      <c r="A1054" s="1962"/>
      <c r="B1054" s="1840"/>
      <c r="C1054" s="1850" t="s">
        <v>3545</v>
      </c>
      <c r="D1054" s="1934"/>
      <c r="E1054" s="1934">
        <v>1</v>
      </c>
      <c r="F1054" s="1905"/>
      <c r="G1054" s="1963" t="s">
        <v>2564</v>
      </c>
      <c r="H1054" s="1964" t="s">
        <v>2623</v>
      </c>
      <c r="I1054" s="2310"/>
      <c r="J1054" s="2534"/>
      <c r="K1054" s="1615"/>
      <c r="L1054" s="1637"/>
      <c r="M1054" s="1636">
        <v>50000</v>
      </c>
      <c r="N1054" s="1615"/>
      <c r="O1054" s="1635"/>
      <c r="P1054" s="1965">
        <v>14</v>
      </c>
      <c r="Q1054" s="1966" t="s">
        <v>2587</v>
      </c>
    </row>
    <row r="1055" spans="1:17" ht="12.75" customHeight="1">
      <c r="A1055" s="1962"/>
      <c r="B1055" s="1840"/>
      <c r="C1055" s="1850" t="s">
        <v>4269</v>
      </c>
      <c r="D1055" s="1934"/>
      <c r="E1055" s="1934">
        <v>1</v>
      </c>
      <c r="F1055" s="1905"/>
      <c r="G1055" s="1963" t="s">
        <v>2569</v>
      </c>
      <c r="H1055" s="1964" t="s">
        <v>4270</v>
      </c>
      <c r="I1055" s="2310"/>
      <c r="J1055" s="2534"/>
      <c r="K1055" s="1615"/>
      <c r="L1055" s="1637"/>
      <c r="M1055" s="1636">
        <v>430000</v>
      </c>
      <c r="N1055" s="1615"/>
      <c r="O1055" s="1635"/>
      <c r="P1055" s="1965">
        <v>15</v>
      </c>
      <c r="Q1055" s="1966" t="s">
        <v>2571</v>
      </c>
    </row>
    <row r="1056" spans="1:17" ht="12.75" customHeight="1">
      <c r="A1056" s="1962"/>
      <c r="B1056" s="1840"/>
      <c r="C1056" s="1850" t="s">
        <v>4271</v>
      </c>
      <c r="D1056" s="1934"/>
      <c r="E1056" s="1934">
        <v>1</v>
      </c>
      <c r="F1056" s="1905"/>
      <c r="G1056" s="1963" t="s">
        <v>2573</v>
      </c>
      <c r="H1056" s="1964" t="s">
        <v>4272</v>
      </c>
      <c r="I1056" s="2310"/>
      <c r="J1056" s="2534"/>
      <c r="K1056" s="1615"/>
      <c r="L1056" s="1637"/>
      <c r="M1056" s="1636">
        <v>150000</v>
      </c>
      <c r="N1056" s="1615"/>
      <c r="O1056" s="1635"/>
      <c r="P1056" s="1965" t="s">
        <v>2566</v>
      </c>
      <c r="Q1056" s="1966" t="s">
        <v>2571</v>
      </c>
    </row>
    <row r="1057" spans="1:17" ht="12.75" customHeight="1">
      <c r="A1057" s="1962"/>
      <c r="B1057" s="1840"/>
      <c r="C1057" s="1850" t="s">
        <v>4273</v>
      </c>
      <c r="D1057" s="1934"/>
      <c r="E1057" s="1934">
        <v>1</v>
      </c>
      <c r="F1057" s="1905"/>
      <c r="G1057" s="1963" t="s">
        <v>2573</v>
      </c>
      <c r="H1057" s="1964" t="s">
        <v>4274</v>
      </c>
      <c r="I1057" s="2310"/>
      <c r="J1057" s="2534"/>
      <c r="K1057" s="1615"/>
      <c r="L1057" s="1637"/>
      <c r="M1057" s="1636">
        <v>30000</v>
      </c>
      <c r="N1057" s="1615"/>
      <c r="O1057" s="1635"/>
      <c r="P1057" s="1965" t="s">
        <v>2566</v>
      </c>
      <c r="Q1057" s="1966" t="s">
        <v>2571</v>
      </c>
    </row>
    <row r="1058" spans="1:17" ht="12.75" customHeight="1">
      <c r="A1058" s="1962"/>
      <c r="B1058" s="1840"/>
      <c r="C1058" s="1850" t="s">
        <v>4275</v>
      </c>
      <c r="D1058" s="1934"/>
      <c r="E1058" s="1934">
        <v>1</v>
      </c>
      <c r="F1058" s="1905"/>
      <c r="G1058" s="1963" t="s">
        <v>2564</v>
      </c>
      <c r="H1058" s="1964" t="s">
        <v>3293</v>
      </c>
      <c r="I1058" s="2310"/>
      <c r="J1058" s="2534"/>
      <c r="K1058" s="1615"/>
      <c r="L1058" s="1637"/>
      <c r="M1058" s="1636">
        <v>45000</v>
      </c>
      <c r="N1058" s="1615"/>
      <c r="O1058" s="1635"/>
      <c r="P1058" s="1965">
        <v>10</v>
      </c>
      <c r="Q1058" s="1966" t="s">
        <v>2571</v>
      </c>
    </row>
    <row r="1059" spans="1:17" ht="12.75" customHeight="1">
      <c r="A1059" s="1962"/>
      <c r="B1059" s="1840"/>
      <c r="C1059" s="1850"/>
      <c r="D1059" s="1934"/>
      <c r="E1059" s="1934"/>
      <c r="F1059" s="1905"/>
      <c r="G1059" s="1963"/>
      <c r="H1059" s="1964"/>
      <c r="I1059" s="2310"/>
      <c r="J1059" s="2534"/>
      <c r="K1059" s="1615"/>
      <c r="L1059" s="1637"/>
      <c r="M1059" s="1636"/>
      <c r="N1059" s="1615"/>
      <c r="O1059" s="1635"/>
      <c r="P1059" s="1965"/>
      <c r="Q1059" s="1966"/>
    </row>
    <row r="1060" spans="1:17" ht="12.75" customHeight="1">
      <c r="A1060" s="1962"/>
      <c r="B1060" s="1840"/>
      <c r="C1060" s="1850"/>
      <c r="D1060" s="1934"/>
      <c r="E1060" s="1934"/>
      <c r="F1060" s="1905"/>
      <c r="G1060" s="1963"/>
      <c r="H1060" s="1964"/>
      <c r="I1060" s="2310"/>
      <c r="J1060" s="2534"/>
      <c r="K1060" s="1615"/>
      <c r="L1060" s="1637"/>
      <c r="M1060" s="1636"/>
      <c r="N1060" s="1615"/>
      <c r="O1060" s="1635"/>
      <c r="P1060" s="1965"/>
      <c r="Q1060" s="1966"/>
    </row>
    <row r="1061" spans="1:17" ht="12.75" customHeight="1">
      <c r="A1061" s="1962"/>
      <c r="B1061" s="1840"/>
      <c r="C1061" s="1850"/>
      <c r="D1061" s="1934"/>
      <c r="E1061" s="1934"/>
      <c r="F1061" s="1905"/>
      <c r="G1061" s="1963"/>
      <c r="H1061" s="1964"/>
      <c r="I1061" s="2310"/>
      <c r="J1061" s="2534"/>
      <c r="K1061" s="1615"/>
      <c r="L1061" s="1637"/>
      <c r="M1061" s="1636"/>
      <c r="N1061" s="1615"/>
      <c r="O1061" s="1635"/>
      <c r="P1061" s="1965"/>
      <c r="Q1061" s="1966"/>
    </row>
    <row r="1062" spans="1:17" ht="12.75" customHeight="1">
      <c r="A1062" s="1962"/>
      <c r="B1062" s="1840"/>
      <c r="C1062" s="1850"/>
      <c r="D1062" s="1934"/>
      <c r="E1062" s="1934"/>
      <c r="F1062" s="1905"/>
      <c r="G1062" s="1963"/>
      <c r="H1062" s="1964"/>
      <c r="I1062" s="2310"/>
      <c r="J1062" s="2534"/>
      <c r="K1062" s="1615"/>
      <c r="L1062" s="1637"/>
      <c r="M1062" s="1636"/>
      <c r="N1062" s="1615"/>
      <c r="O1062" s="1635"/>
      <c r="P1062" s="1965"/>
      <c r="Q1062" s="1966"/>
    </row>
    <row r="1063" spans="1:17" ht="12.75" customHeight="1">
      <c r="A1063" s="1962"/>
      <c r="B1063" s="1840"/>
      <c r="C1063" s="1850"/>
      <c r="D1063" s="1934"/>
      <c r="E1063" s="1934"/>
      <c r="F1063" s="1905"/>
      <c r="G1063" s="1963"/>
      <c r="H1063" s="1964"/>
      <c r="I1063" s="2310"/>
      <c r="J1063" s="2534"/>
      <c r="K1063" s="1615"/>
      <c r="L1063" s="1637"/>
      <c r="M1063" s="1636"/>
      <c r="N1063" s="1615"/>
      <c r="O1063" s="1635"/>
      <c r="P1063" s="1965"/>
      <c r="Q1063" s="1966"/>
    </row>
    <row r="1064" spans="1:17" ht="12.75" customHeight="1">
      <c r="A1064" s="1962"/>
      <c r="B1064" s="1840"/>
      <c r="C1064" s="1850"/>
      <c r="D1064" s="1934"/>
      <c r="E1064" s="1934"/>
      <c r="F1064" s="1905"/>
      <c r="G1064" s="1963"/>
      <c r="H1064" s="1964"/>
      <c r="I1064" s="2310"/>
      <c r="J1064" s="2534"/>
      <c r="K1064" s="1615"/>
      <c r="L1064" s="1637"/>
      <c r="M1064" s="1636"/>
      <c r="N1064" s="1615"/>
      <c r="O1064" s="1635"/>
      <c r="P1064" s="1965"/>
      <c r="Q1064" s="1966"/>
    </row>
    <row r="1065" spans="1:17" ht="12.75" customHeight="1">
      <c r="A1065" s="1962"/>
      <c r="B1065" s="1840"/>
      <c r="C1065" s="1850"/>
      <c r="D1065" s="1934"/>
      <c r="E1065" s="1934"/>
      <c r="F1065" s="1905"/>
      <c r="G1065" s="1963"/>
      <c r="H1065" s="1964"/>
      <c r="I1065" s="2310"/>
      <c r="J1065" s="2534"/>
      <c r="K1065" s="1615"/>
      <c r="L1065" s="1637"/>
      <c r="M1065" s="1636"/>
      <c r="N1065" s="1615"/>
      <c r="O1065" s="1635"/>
      <c r="P1065" s="1965"/>
      <c r="Q1065" s="1966"/>
    </row>
    <row r="1066" spans="1:17" ht="12.75" customHeight="1">
      <c r="A1066" s="1962" t="s">
        <v>3590</v>
      </c>
      <c r="B1066" s="1840"/>
      <c r="C1066" s="1850" t="s">
        <v>2628</v>
      </c>
      <c r="D1066" s="1934"/>
      <c r="E1066" s="1934">
        <v>1</v>
      </c>
      <c r="F1066" s="1905"/>
      <c r="G1066" s="1963" t="s">
        <v>2569</v>
      </c>
      <c r="H1066" s="1964" t="s">
        <v>3272</v>
      </c>
      <c r="I1066" s="2310"/>
      <c r="J1066" s="2534">
        <v>0</v>
      </c>
      <c r="K1066" s="1615">
        <v>0</v>
      </c>
      <c r="L1066" s="1637">
        <v>20000</v>
      </c>
      <c r="M1066" s="1636"/>
      <c r="N1066" s="1615"/>
      <c r="O1066" s="1635"/>
      <c r="P1066" s="1965" t="s">
        <v>2566</v>
      </c>
      <c r="Q1066" s="1966" t="s">
        <v>2571</v>
      </c>
    </row>
    <row r="1067" spans="1:17" ht="12.75" customHeight="1">
      <c r="A1067" s="1962"/>
      <c r="B1067" s="1840"/>
      <c r="C1067" s="1850" t="s">
        <v>3591</v>
      </c>
      <c r="D1067" s="1934"/>
      <c r="E1067" s="1934"/>
      <c r="F1067" s="1905"/>
      <c r="G1067" s="1963" t="s">
        <v>2578</v>
      </c>
      <c r="H1067" s="1964" t="s">
        <v>2814</v>
      </c>
      <c r="I1067" s="2310"/>
      <c r="J1067" s="2534">
        <v>0</v>
      </c>
      <c r="K1067" s="1615">
        <v>0</v>
      </c>
      <c r="L1067" s="1637">
        <v>24500000</v>
      </c>
      <c r="M1067" s="1636">
        <v>15000000</v>
      </c>
      <c r="N1067" s="1615">
        <v>20000000</v>
      </c>
      <c r="O1067" s="1635">
        <v>20000000</v>
      </c>
      <c r="P1067" s="1965" t="s">
        <v>2566</v>
      </c>
      <c r="Q1067" s="1966" t="s">
        <v>2587</v>
      </c>
    </row>
    <row r="1068" spans="1:17" ht="12.75" customHeight="1">
      <c r="A1068" s="1962"/>
      <c r="B1068" s="1840"/>
      <c r="C1068" s="1850" t="s">
        <v>3990</v>
      </c>
      <c r="D1068" s="1934"/>
      <c r="E1068" s="1934"/>
      <c r="F1068" s="1905"/>
      <c r="G1068" s="1963" t="s">
        <v>2578</v>
      </c>
      <c r="H1068" s="1964" t="s">
        <v>2814</v>
      </c>
      <c r="I1068" s="2310"/>
      <c r="J1068" s="2534">
        <v>0</v>
      </c>
      <c r="K1068" s="1615">
        <v>0</v>
      </c>
      <c r="L1068" s="1637">
        <v>20000000</v>
      </c>
      <c r="M1068" s="1636">
        <v>10000000</v>
      </c>
      <c r="N1068" s="1615"/>
      <c r="O1068" s="1635"/>
      <c r="P1068" s="1965" t="s">
        <v>4276</v>
      </c>
      <c r="Q1068" s="1966" t="s">
        <v>2587</v>
      </c>
    </row>
    <row r="1069" spans="1:17" ht="12.75" customHeight="1">
      <c r="A1069" s="1962"/>
      <c r="B1069" s="1840"/>
      <c r="C1069" s="1850" t="s">
        <v>3991</v>
      </c>
      <c r="D1069" s="1934"/>
      <c r="E1069" s="1934"/>
      <c r="F1069" s="1905"/>
      <c r="G1069" s="1963" t="s">
        <v>2578</v>
      </c>
      <c r="H1069" s="1964" t="s">
        <v>2814</v>
      </c>
      <c r="I1069" s="2310"/>
      <c r="J1069" s="2534">
        <v>0</v>
      </c>
      <c r="K1069" s="1615">
        <v>0</v>
      </c>
      <c r="L1069" s="1637">
        <v>12500000</v>
      </c>
      <c r="M1069" s="1636">
        <v>0</v>
      </c>
      <c r="N1069" s="1615"/>
      <c r="O1069" s="1635"/>
      <c r="P1069" s="1965"/>
      <c r="Q1069" s="1966" t="s">
        <v>2571</v>
      </c>
    </row>
    <row r="1070" spans="1:17" ht="12.75" customHeight="1">
      <c r="A1070" s="1962"/>
      <c r="B1070" s="1840"/>
      <c r="C1070" s="1850" t="s">
        <v>3592</v>
      </c>
      <c r="D1070" s="1934"/>
      <c r="E1070" s="1934">
        <v>1</v>
      </c>
      <c r="F1070" s="1905"/>
      <c r="G1070" s="1963" t="s">
        <v>2578</v>
      </c>
      <c r="H1070" s="1964" t="s">
        <v>2814</v>
      </c>
      <c r="I1070" s="2310"/>
      <c r="J1070" s="2534">
        <v>0</v>
      </c>
      <c r="K1070" s="1615">
        <v>0</v>
      </c>
      <c r="L1070" s="1637">
        <v>3000000</v>
      </c>
      <c r="M1070" s="1636"/>
      <c r="N1070" s="1615"/>
      <c r="O1070" s="1635"/>
      <c r="P1070" s="1965"/>
      <c r="Q1070" s="1966" t="s">
        <v>2571</v>
      </c>
    </row>
    <row r="1071" spans="1:17" ht="12.75" customHeight="1">
      <c r="A1071" s="1962"/>
      <c r="B1071" s="1840"/>
      <c r="C1071" s="1850" t="s">
        <v>3593</v>
      </c>
      <c r="D1071" s="1934"/>
      <c r="E1071" s="1934">
        <v>1</v>
      </c>
      <c r="F1071" s="1905"/>
      <c r="G1071" s="1963" t="s">
        <v>2578</v>
      </c>
      <c r="H1071" s="1964" t="s">
        <v>2814</v>
      </c>
      <c r="I1071" s="2310"/>
      <c r="J1071" s="2534">
        <v>0</v>
      </c>
      <c r="K1071" s="1615">
        <v>0</v>
      </c>
      <c r="L1071" s="1637">
        <v>2000000</v>
      </c>
      <c r="M1071" s="1636"/>
      <c r="N1071" s="1615"/>
      <c r="O1071" s="1635"/>
      <c r="P1071" s="1965"/>
      <c r="Q1071" s="1966" t="s">
        <v>2571</v>
      </c>
    </row>
    <row r="1072" spans="1:17" ht="12.75" customHeight="1">
      <c r="A1072" s="1962"/>
      <c r="B1072" s="1840"/>
      <c r="C1072" s="1850" t="s">
        <v>3594</v>
      </c>
      <c r="D1072" s="1934"/>
      <c r="E1072" s="1934"/>
      <c r="F1072" s="1905"/>
      <c r="G1072" s="1963" t="s">
        <v>2578</v>
      </c>
      <c r="H1072" s="1964" t="s">
        <v>2814</v>
      </c>
      <c r="I1072" s="2310"/>
      <c r="J1072" s="2534">
        <v>0</v>
      </c>
      <c r="K1072" s="1615">
        <v>0</v>
      </c>
      <c r="L1072" s="1637">
        <v>4000000</v>
      </c>
      <c r="M1072" s="1636"/>
      <c r="N1072" s="1615"/>
      <c r="O1072" s="1635"/>
      <c r="P1072" s="1965"/>
      <c r="Q1072" s="1966" t="s">
        <v>2571</v>
      </c>
    </row>
    <row r="1073" spans="1:17" ht="12.75" customHeight="1">
      <c r="A1073" s="1962"/>
      <c r="B1073" s="1840"/>
      <c r="C1073" s="1850" t="s">
        <v>3595</v>
      </c>
      <c r="D1073" s="1934"/>
      <c r="E1073" s="1934">
        <v>1</v>
      </c>
      <c r="F1073" s="1905"/>
      <c r="G1073" s="1963" t="s">
        <v>2578</v>
      </c>
      <c r="H1073" s="1964" t="s">
        <v>2814</v>
      </c>
      <c r="I1073" s="2310"/>
      <c r="J1073" s="2534">
        <v>0</v>
      </c>
      <c r="K1073" s="1615">
        <v>0</v>
      </c>
      <c r="L1073" s="1637">
        <v>0</v>
      </c>
      <c r="M1073" s="1636">
        <v>5000000</v>
      </c>
      <c r="N1073" s="1615">
        <v>6000000</v>
      </c>
      <c r="O1073" s="1635">
        <v>8000000</v>
      </c>
      <c r="P1073" s="1965" t="s">
        <v>4277</v>
      </c>
      <c r="Q1073" s="1966" t="s">
        <v>2587</v>
      </c>
    </row>
    <row r="1074" spans="1:17" ht="12.75" customHeight="1">
      <c r="A1074" s="1962"/>
      <c r="B1074" s="1840"/>
      <c r="C1074" s="1850" t="s">
        <v>3597</v>
      </c>
      <c r="D1074" s="1934"/>
      <c r="E1074" s="1934">
        <v>1</v>
      </c>
      <c r="F1074" s="1905"/>
      <c r="G1074" s="1963" t="s">
        <v>2573</v>
      </c>
      <c r="H1074" s="1964" t="s">
        <v>3598</v>
      </c>
      <c r="I1074" s="2310"/>
      <c r="J1074" s="2534">
        <v>0</v>
      </c>
      <c r="K1074" s="1615">
        <v>0</v>
      </c>
      <c r="L1074" s="1637">
        <v>0</v>
      </c>
      <c r="M1074" s="1636"/>
      <c r="N1074" s="1615"/>
      <c r="O1074" s="1635"/>
      <c r="P1074" s="1965" t="s">
        <v>2566</v>
      </c>
      <c r="Q1074" s="1966" t="s">
        <v>2571</v>
      </c>
    </row>
    <row r="1075" spans="1:17" ht="12.75" customHeight="1">
      <c r="A1075" s="1962"/>
      <c r="B1075" s="1840"/>
      <c r="C1075" s="1850" t="s">
        <v>3599</v>
      </c>
      <c r="D1075" s="1934"/>
      <c r="E1075" s="1934">
        <v>1</v>
      </c>
      <c r="F1075" s="1905"/>
      <c r="G1075" s="1963" t="s">
        <v>2578</v>
      </c>
      <c r="H1075" s="1964" t="s">
        <v>2906</v>
      </c>
      <c r="I1075" s="2310"/>
      <c r="J1075" s="2534">
        <v>0</v>
      </c>
      <c r="K1075" s="1615">
        <v>0</v>
      </c>
      <c r="L1075" s="1637">
        <v>500000</v>
      </c>
      <c r="M1075" s="1636">
        <v>800000</v>
      </c>
      <c r="N1075" s="1615"/>
      <c r="O1075" s="1635"/>
      <c r="P1075" s="1965" t="s">
        <v>2566</v>
      </c>
      <c r="Q1075" s="1966" t="s">
        <v>2587</v>
      </c>
    </row>
    <row r="1076" spans="1:17" ht="12.75" customHeight="1">
      <c r="A1076" s="1962"/>
      <c r="B1076" s="1840"/>
      <c r="C1076" s="1850" t="s">
        <v>3600</v>
      </c>
      <c r="D1076" s="1934"/>
      <c r="E1076" s="1934">
        <v>1</v>
      </c>
      <c r="F1076" s="1905"/>
      <c r="G1076" s="1963" t="s">
        <v>3203</v>
      </c>
      <c r="H1076" s="1964" t="s">
        <v>3554</v>
      </c>
      <c r="I1076" s="2310"/>
      <c r="J1076" s="2534">
        <v>0</v>
      </c>
      <c r="K1076" s="1615">
        <v>0</v>
      </c>
      <c r="L1076" s="1637">
        <v>90000</v>
      </c>
      <c r="M1076" s="1636"/>
      <c r="N1076" s="1615"/>
      <c r="O1076" s="1635"/>
      <c r="P1076" s="1965" t="s">
        <v>2566</v>
      </c>
      <c r="Q1076" s="1966" t="s">
        <v>2571</v>
      </c>
    </row>
    <row r="1077" spans="1:17" ht="12.75" customHeight="1">
      <c r="A1077" s="1962"/>
      <c r="B1077" s="1840"/>
      <c r="C1077" s="1850" t="s">
        <v>3336</v>
      </c>
      <c r="D1077" s="1934"/>
      <c r="E1077" s="1934">
        <v>1</v>
      </c>
      <c r="F1077" s="1905"/>
      <c r="G1077" s="1963" t="s">
        <v>2564</v>
      </c>
      <c r="H1077" s="1964" t="s">
        <v>2591</v>
      </c>
      <c r="I1077" s="2310"/>
      <c r="J1077" s="2534">
        <v>0</v>
      </c>
      <c r="K1077" s="1615">
        <v>0</v>
      </c>
      <c r="L1077" s="1637">
        <v>40000</v>
      </c>
      <c r="M1077" s="1636"/>
      <c r="N1077" s="1615"/>
      <c r="O1077" s="1635"/>
      <c r="P1077" s="1965" t="s">
        <v>2566</v>
      </c>
      <c r="Q1077" s="1966" t="s">
        <v>2571</v>
      </c>
    </row>
    <row r="1078" spans="1:17" ht="12.75" customHeight="1">
      <c r="A1078" s="1962"/>
      <c r="B1078" s="1840"/>
      <c r="C1078" s="1850" t="s">
        <v>3601</v>
      </c>
      <c r="D1078" s="1934"/>
      <c r="E1078" s="1934">
        <v>1</v>
      </c>
      <c r="F1078" s="1905"/>
      <c r="G1078" s="1963" t="s">
        <v>2578</v>
      </c>
      <c r="H1078" s="1964" t="s">
        <v>2814</v>
      </c>
      <c r="I1078" s="2310"/>
      <c r="J1078" s="2534">
        <v>0</v>
      </c>
      <c r="K1078" s="1615">
        <v>0</v>
      </c>
      <c r="L1078" s="1637">
        <v>685000</v>
      </c>
      <c r="M1078" s="1636">
        <v>1000000</v>
      </c>
      <c r="N1078" s="1615">
        <v>1500000</v>
      </c>
      <c r="O1078" s="1635">
        <v>1500000</v>
      </c>
      <c r="P1078" s="1965" t="s">
        <v>4278</v>
      </c>
      <c r="Q1078" s="1966" t="s">
        <v>2571</v>
      </c>
    </row>
    <row r="1079" spans="1:17" ht="12.75" customHeight="1">
      <c r="A1079" s="1962"/>
      <c r="B1079" s="1840"/>
      <c r="C1079" s="1850" t="s">
        <v>3602</v>
      </c>
      <c r="D1079" s="1934"/>
      <c r="E1079" s="1934">
        <v>1</v>
      </c>
      <c r="F1079" s="1905"/>
      <c r="G1079" s="1963" t="s">
        <v>3203</v>
      </c>
      <c r="H1079" s="1964" t="s">
        <v>3204</v>
      </c>
      <c r="I1079" s="2310"/>
      <c r="J1079" s="2534">
        <v>0</v>
      </c>
      <c r="K1079" s="1615">
        <v>0</v>
      </c>
      <c r="L1079" s="1637">
        <v>25000</v>
      </c>
      <c r="M1079" s="1636"/>
      <c r="N1079" s="1615"/>
      <c r="O1079" s="1635"/>
      <c r="P1079" s="1965" t="s">
        <v>2566</v>
      </c>
      <c r="Q1079" s="1966" t="s">
        <v>2587</v>
      </c>
    </row>
    <row r="1080" spans="1:17" ht="12.75" customHeight="1">
      <c r="A1080" s="1962"/>
      <c r="B1080" s="1840"/>
      <c r="C1080" s="1850" t="s">
        <v>3603</v>
      </c>
      <c r="D1080" s="1934"/>
      <c r="E1080" s="1934">
        <v>1</v>
      </c>
      <c r="F1080" s="1905"/>
      <c r="G1080" s="1963" t="s">
        <v>2573</v>
      </c>
      <c r="H1080" s="1964" t="s">
        <v>3138</v>
      </c>
      <c r="I1080" s="2310"/>
      <c r="J1080" s="2534">
        <v>0</v>
      </c>
      <c r="K1080" s="1615">
        <v>0</v>
      </c>
      <c r="L1080" s="1637">
        <v>20000</v>
      </c>
      <c r="M1080" s="1636"/>
      <c r="N1080" s="1615"/>
      <c r="O1080" s="1635"/>
      <c r="P1080" s="1965" t="s">
        <v>2566</v>
      </c>
      <c r="Q1080" s="1966" t="s">
        <v>2587</v>
      </c>
    </row>
    <row r="1081" spans="1:17" ht="12.75" customHeight="1">
      <c r="A1081" s="1962"/>
      <c r="B1081" s="1840"/>
      <c r="C1081" s="1850" t="s">
        <v>3604</v>
      </c>
      <c r="D1081" s="1934"/>
      <c r="E1081" s="1934">
        <v>1</v>
      </c>
      <c r="F1081" s="1905"/>
      <c r="G1081" s="1963" t="s">
        <v>2578</v>
      </c>
      <c r="H1081" s="1964" t="s">
        <v>2814</v>
      </c>
      <c r="I1081" s="2310"/>
      <c r="J1081" s="2534">
        <v>0</v>
      </c>
      <c r="K1081" s="1615">
        <v>0</v>
      </c>
      <c r="L1081" s="1637">
        <v>700000</v>
      </c>
      <c r="M1081" s="1636">
        <v>1000000</v>
      </c>
      <c r="N1081" s="1615"/>
      <c r="O1081" s="1635"/>
      <c r="P1081" s="1965" t="s">
        <v>2566</v>
      </c>
      <c r="Q1081" s="1966" t="s">
        <v>2571</v>
      </c>
    </row>
    <row r="1082" spans="1:17" ht="12.75" customHeight="1">
      <c r="A1082" s="1962"/>
      <c r="B1082" s="1840"/>
      <c r="C1082" s="1850" t="s">
        <v>3605</v>
      </c>
      <c r="D1082" s="1934"/>
      <c r="E1082" s="1934">
        <v>1</v>
      </c>
      <c r="F1082" s="1905"/>
      <c r="G1082" s="1963" t="s">
        <v>2578</v>
      </c>
      <c r="H1082" s="1964" t="s">
        <v>2814</v>
      </c>
      <c r="I1082" s="2310"/>
      <c r="J1082" s="2534">
        <v>0</v>
      </c>
      <c r="K1082" s="1615">
        <v>0</v>
      </c>
      <c r="L1082" s="1637">
        <v>2000000</v>
      </c>
      <c r="M1082" s="1636"/>
      <c r="N1082" s="1615"/>
      <c r="O1082" s="1635"/>
      <c r="P1082" s="1965">
        <v>8</v>
      </c>
      <c r="Q1082" s="1966" t="s">
        <v>2587</v>
      </c>
    </row>
    <row r="1083" spans="1:17" ht="12.75" customHeight="1">
      <c r="A1083" s="1962"/>
      <c r="B1083" s="1840"/>
      <c r="C1083" s="1850" t="s">
        <v>3606</v>
      </c>
      <c r="D1083" s="1934"/>
      <c r="E1083" s="1934">
        <v>1</v>
      </c>
      <c r="F1083" s="1905"/>
      <c r="G1083" s="1963" t="s">
        <v>2578</v>
      </c>
      <c r="H1083" s="1964" t="s">
        <v>2814</v>
      </c>
      <c r="I1083" s="2310"/>
      <c r="J1083" s="2534">
        <v>0</v>
      </c>
      <c r="K1083" s="1615">
        <v>0</v>
      </c>
      <c r="L1083" s="1637">
        <v>2000000</v>
      </c>
      <c r="M1083" s="1636"/>
      <c r="N1083" s="1615"/>
      <c r="O1083" s="1635"/>
      <c r="P1083" s="1965">
        <v>8</v>
      </c>
      <c r="Q1083" s="1966" t="s">
        <v>2587</v>
      </c>
    </row>
    <row r="1084" spans="1:17" ht="12.75" customHeight="1">
      <c r="A1084" s="1962"/>
      <c r="B1084" s="1840"/>
      <c r="C1084" s="1850" t="s">
        <v>3607</v>
      </c>
      <c r="D1084" s="1934"/>
      <c r="E1084" s="1934">
        <v>1</v>
      </c>
      <c r="F1084" s="1905"/>
      <c r="G1084" s="1963" t="s">
        <v>2573</v>
      </c>
      <c r="H1084" s="1964" t="s">
        <v>3138</v>
      </c>
      <c r="I1084" s="2310"/>
      <c r="J1084" s="2534">
        <v>0</v>
      </c>
      <c r="K1084" s="1615">
        <v>0</v>
      </c>
      <c r="L1084" s="1637">
        <v>40000</v>
      </c>
      <c r="M1084" s="1636"/>
      <c r="N1084" s="1615"/>
      <c r="O1084" s="1635"/>
      <c r="P1084" s="1965" t="s">
        <v>2566</v>
      </c>
      <c r="Q1084" s="1966" t="s">
        <v>2587</v>
      </c>
    </row>
    <row r="1085" spans="1:17" ht="12.75" customHeight="1">
      <c r="A1085" s="1962"/>
      <c r="B1085" s="1840"/>
      <c r="C1085" s="1850" t="s">
        <v>3608</v>
      </c>
      <c r="D1085" s="1934"/>
      <c r="E1085" s="1934">
        <v>1</v>
      </c>
      <c r="F1085" s="1905"/>
      <c r="G1085" s="1963" t="s">
        <v>2578</v>
      </c>
      <c r="H1085" s="1964" t="s">
        <v>2814</v>
      </c>
      <c r="I1085" s="2310"/>
      <c r="J1085" s="2534">
        <v>0</v>
      </c>
      <c r="K1085" s="1615">
        <v>0</v>
      </c>
      <c r="L1085" s="1637">
        <v>1000000</v>
      </c>
      <c r="M1085" s="1636">
        <v>500000</v>
      </c>
      <c r="N1085" s="1615"/>
      <c r="O1085" s="1635"/>
      <c r="P1085" s="1965" t="s">
        <v>2566</v>
      </c>
      <c r="Q1085" s="1966" t="s">
        <v>2587</v>
      </c>
    </row>
    <row r="1086" spans="1:17" ht="12.75" customHeight="1">
      <c r="A1086" s="1962"/>
      <c r="B1086" s="1840"/>
      <c r="C1086" s="1850" t="s">
        <v>3609</v>
      </c>
      <c r="D1086" s="1934"/>
      <c r="E1086" s="1934">
        <v>1</v>
      </c>
      <c r="F1086" s="1905"/>
      <c r="G1086" s="1963" t="s">
        <v>2578</v>
      </c>
      <c r="H1086" s="1964" t="s">
        <v>2814</v>
      </c>
      <c r="I1086" s="2310"/>
      <c r="J1086" s="2534">
        <v>0</v>
      </c>
      <c r="K1086" s="1615">
        <v>0</v>
      </c>
      <c r="L1086" s="1637">
        <v>300000</v>
      </c>
      <c r="M1086" s="1636">
        <v>5000000</v>
      </c>
      <c r="N1086" s="1615">
        <v>6000000</v>
      </c>
      <c r="O1086" s="1635">
        <v>6000000</v>
      </c>
      <c r="P1086" s="1965" t="s">
        <v>2566</v>
      </c>
      <c r="Q1086" s="1966" t="s">
        <v>2587</v>
      </c>
    </row>
    <row r="1087" spans="1:17" ht="12.75" customHeight="1">
      <c r="A1087" s="1962"/>
      <c r="B1087" s="1840"/>
      <c r="C1087" s="1850" t="s">
        <v>3610</v>
      </c>
      <c r="D1087" s="1934"/>
      <c r="E1087" s="1934">
        <v>1</v>
      </c>
      <c r="F1087" s="1905"/>
      <c r="G1087" s="1963" t="s">
        <v>2573</v>
      </c>
      <c r="H1087" s="1964" t="s">
        <v>3611</v>
      </c>
      <c r="I1087" s="2310"/>
      <c r="J1087" s="2534">
        <v>0</v>
      </c>
      <c r="K1087" s="1615">
        <v>0</v>
      </c>
      <c r="L1087" s="1637">
        <v>0</v>
      </c>
      <c r="M1087" s="1636">
        <v>700000</v>
      </c>
      <c r="N1087" s="1615"/>
      <c r="O1087" s="1635"/>
      <c r="P1087" s="1965">
        <v>36</v>
      </c>
      <c r="Q1087" s="1966" t="s">
        <v>2571</v>
      </c>
    </row>
    <row r="1088" spans="1:17" ht="12.75" customHeight="1">
      <c r="A1088" s="1962"/>
      <c r="B1088" s="1840"/>
      <c r="C1088" s="1850" t="s">
        <v>3612</v>
      </c>
      <c r="D1088" s="1934"/>
      <c r="E1088" s="1934">
        <v>1</v>
      </c>
      <c r="F1088" s="1905"/>
      <c r="G1088" s="1963" t="s">
        <v>2578</v>
      </c>
      <c r="H1088" s="1964" t="s">
        <v>2814</v>
      </c>
      <c r="I1088" s="2310"/>
      <c r="J1088" s="2534">
        <v>0</v>
      </c>
      <c r="K1088" s="1615">
        <v>0</v>
      </c>
      <c r="L1088" s="1637">
        <v>3000000</v>
      </c>
      <c r="M1088" s="1636">
        <v>5000000</v>
      </c>
      <c r="N1088" s="1615">
        <v>6000000</v>
      </c>
      <c r="O1088" s="1635">
        <v>6000000</v>
      </c>
      <c r="P1088" s="1965" t="s">
        <v>3596</v>
      </c>
      <c r="Q1088" s="1966" t="s">
        <v>2587</v>
      </c>
    </row>
    <row r="1089" spans="1:17" ht="12.75" customHeight="1">
      <c r="A1089" s="1962"/>
      <c r="B1089" s="1840"/>
      <c r="C1089" s="1850" t="s">
        <v>3613</v>
      </c>
      <c r="D1089" s="1934"/>
      <c r="E1089" s="1934">
        <v>1</v>
      </c>
      <c r="F1089" s="1905"/>
      <c r="G1089" s="1963" t="s">
        <v>2578</v>
      </c>
      <c r="H1089" s="1964" t="s">
        <v>2814</v>
      </c>
      <c r="I1089" s="2310"/>
      <c r="J1089" s="2534">
        <v>0</v>
      </c>
      <c r="K1089" s="1615">
        <v>0</v>
      </c>
      <c r="L1089" s="1637">
        <v>0</v>
      </c>
      <c r="M1089" s="1636">
        <v>0</v>
      </c>
      <c r="N1089" s="1615"/>
      <c r="O1089" s="1635"/>
      <c r="P1089" s="1965" t="s">
        <v>3658</v>
      </c>
      <c r="Q1089" s="1966" t="s">
        <v>2571</v>
      </c>
    </row>
    <row r="1090" spans="1:17" ht="12.75" customHeight="1">
      <c r="A1090" s="1962"/>
      <c r="B1090" s="1840"/>
      <c r="C1090" s="1850" t="s">
        <v>3614</v>
      </c>
      <c r="D1090" s="1934"/>
      <c r="E1090" s="1934">
        <v>1</v>
      </c>
      <c r="F1090" s="1905"/>
      <c r="G1090" s="1963" t="s">
        <v>2578</v>
      </c>
      <c r="H1090" s="1964" t="s">
        <v>2814</v>
      </c>
      <c r="I1090" s="2310"/>
      <c r="J1090" s="2534">
        <v>0</v>
      </c>
      <c r="K1090" s="1615">
        <v>0</v>
      </c>
      <c r="L1090" s="1637">
        <v>0</v>
      </c>
      <c r="M1090" s="1636">
        <v>13000000</v>
      </c>
      <c r="N1090" s="1615"/>
      <c r="O1090" s="1635"/>
      <c r="P1090" s="1965" t="s">
        <v>2566</v>
      </c>
      <c r="Q1090" s="1966" t="s">
        <v>2571</v>
      </c>
    </row>
    <row r="1091" spans="1:17" ht="12.75" customHeight="1">
      <c r="A1091" s="1962"/>
      <c r="B1091" s="1840"/>
      <c r="C1091" s="1850" t="s">
        <v>3615</v>
      </c>
      <c r="D1091" s="1934"/>
      <c r="E1091" s="1934">
        <v>1</v>
      </c>
      <c r="F1091" s="1905"/>
      <c r="G1091" s="1963" t="s">
        <v>2578</v>
      </c>
      <c r="H1091" s="1964" t="s">
        <v>2814</v>
      </c>
      <c r="I1091" s="2310"/>
      <c r="J1091" s="2534">
        <v>0</v>
      </c>
      <c r="K1091" s="1615">
        <v>0</v>
      </c>
      <c r="L1091" s="1637">
        <v>0</v>
      </c>
      <c r="M1091" s="1636">
        <v>30000000</v>
      </c>
      <c r="N1091" s="1615">
        <v>30000000</v>
      </c>
      <c r="O1091" s="1635">
        <v>0</v>
      </c>
      <c r="P1091" s="1965" t="s">
        <v>4279</v>
      </c>
      <c r="Q1091" s="1966" t="s">
        <v>2587</v>
      </c>
    </row>
    <row r="1092" spans="1:17" ht="12.75" customHeight="1">
      <c r="A1092" s="1962"/>
      <c r="B1092" s="1840"/>
      <c r="C1092" s="1850" t="s">
        <v>3616</v>
      </c>
      <c r="D1092" s="1934"/>
      <c r="E1092" s="1934">
        <v>1</v>
      </c>
      <c r="F1092" s="1905"/>
      <c r="G1092" s="1963" t="s">
        <v>2578</v>
      </c>
      <c r="H1092" s="1964" t="s">
        <v>2814</v>
      </c>
      <c r="I1092" s="2310"/>
      <c r="J1092" s="2534">
        <v>0</v>
      </c>
      <c r="K1092" s="1615">
        <v>0</v>
      </c>
      <c r="L1092" s="1637">
        <v>0</v>
      </c>
      <c r="M1092" s="1636"/>
      <c r="N1092" s="1615">
        <v>20000000</v>
      </c>
      <c r="O1092" s="1635">
        <v>10000000</v>
      </c>
      <c r="P1092" s="1965" t="s">
        <v>4279</v>
      </c>
      <c r="Q1092" s="1966" t="s">
        <v>2571</v>
      </c>
    </row>
    <row r="1093" spans="1:17" ht="12.75" customHeight="1">
      <c r="A1093" s="1962"/>
      <c r="B1093" s="1840"/>
      <c r="C1093" s="1850" t="s">
        <v>3617</v>
      </c>
      <c r="D1093" s="1934"/>
      <c r="E1093" s="1934">
        <v>1</v>
      </c>
      <c r="F1093" s="1905"/>
      <c r="G1093" s="1963" t="s">
        <v>2578</v>
      </c>
      <c r="H1093" s="1964" t="s">
        <v>2814</v>
      </c>
      <c r="I1093" s="2310"/>
      <c r="J1093" s="2534">
        <v>0</v>
      </c>
      <c r="K1093" s="1615">
        <v>0</v>
      </c>
      <c r="L1093" s="1637">
        <v>0</v>
      </c>
      <c r="M1093" s="1636"/>
      <c r="N1093" s="1615"/>
      <c r="O1093" s="1635"/>
      <c r="P1093" s="1965" t="s">
        <v>2566</v>
      </c>
      <c r="Q1093" s="1966" t="s">
        <v>2571</v>
      </c>
    </row>
    <row r="1094" spans="1:17" ht="12.75" customHeight="1">
      <c r="A1094" s="1962"/>
      <c r="B1094" s="1840"/>
      <c r="C1094" s="1850" t="s">
        <v>3618</v>
      </c>
      <c r="D1094" s="1934"/>
      <c r="E1094" s="1934">
        <v>1</v>
      </c>
      <c r="F1094" s="1905"/>
      <c r="G1094" s="1963" t="s">
        <v>2578</v>
      </c>
      <c r="H1094" s="1964" t="s">
        <v>2814</v>
      </c>
      <c r="I1094" s="2310"/>
      <c r="J1094" s="2534">
        <v>0</v>
      </c>
      <c r="K1094" s="1615">
        <v>0</v>
      </c>
      <c r="L1094" s="1637">
        <v>0</v>
      </c>
      <c r="M1094" s="1636"/>
      <c r="N1094" s="1615"/>
      <c r="O1094" s="1635"/>
      <c r="P1094" s="1965" t="s">
        <v>2566</v>
      </c>
      <c r="Q1094" s="1966" t="s">
        <v>2571</v>
      </c>
    </row>
    <row r="1095" spans="1:17" ht="12.75" customHeight="1">
      <c r="A1095" s="1962"/>
      <c r="B1095" s="1840"/>
      <c r="C1095" s="1850" t="s">
        <v>3619</v>
      </c>
      <c r="D1095" s="1934"/>
      <c r="E1095" s="1934">
        <v>1</v>
      </c>
      <c r="F1095" s="1905"/>
      <c r="G1095" s="1963" t="s">
        <v>2578</v>
      </c>
      <c r="H1095" s="1964" t="s">
        <v>2814</v>
      </c>
      <c r="I1095" s="2310"/>
      <c r="J1095" s="2534">
        <v>0</v>
      </c>
      <c r="K1095" s="1615">
        <v>0</v>
      </c>
      <c r="L1095" s="1637">
        <v>0</v>
      </c>
      <c r="M1095" s="1636"/>
      <c r="N1095" s="1615"/>
      <c r="O1095" s="1635"/>
      <c r="P1095" s="1965" t="s">
        <v>2566</v>
      </c>
      <c r="Q1095" s="1966" t="s">
        <v>2571</v>
      </c>
    </row>
    <row r="1096" spans="1:17" ht="12.75" customHeight="1">
      <c r="A1096" s="1962"/>
      <c r="B1096" s="1840"/>
      <c r="C1096" s="1850" t="s">
        <v>3620</v>
      </c>
      <c r="D1096" s="1934"/>
      <c r="E1096" s="1934">
        <v>1</v>
      </c>
      <c r="F1096" s="1905"/>
      <c r="G1096" s="1963" t="s">
        <v>2578</v>
      </c>
      <c r="H1096" s="1964" t="s">
        <v>2814</v>
      </c>
      <c r="I1096" s="2310"/>
      <c r="J1096" s="2534">
        <v>0</v>
      </c>
      <c r="K1096" s="1615">
        <v>0</v>
      </c>
      <c r="L1096" s="1637">
        <v>0</v>
      </c>
      <c r="M1096" s="1636"/>
      <c r="N1096" s="1615"/>
      <c r="O1096" s="1635"/>
      <c r="P1096" s="1965" t="s">
        <v>2566</v>
      </c>
      <c r="Q1096" s="1966" t="s">
        <v>2571</v>
      </c>
    </row>
    <row r="1097" spans="1:17" ht="12.75" customHeight="1">
      <c r="A1097" s="1962"/>
      <c r="B1097" s="1840"/>
      <c r="C1097" s="1850" t="s">
        <v>3621</v>
      </c>
      <c r="D1097" s="1934"/>
      <c r="E1097" s="1934">
        <v>1</v>
      </c>
      <c r="F1097" s="1905"/>
      <c r="G1097" s="1963" t="s">
        <v>2578</v>
      </c>
      <c r="H1097" s="1964" t="s">
        <v>2814</v>
      </c>
      <c r="I1097" s="2310"/>
      <c r="J1097" s="2534">
        <v>0</v>
      </c>
      <c r="K1097" s="1615">
        <v>0</v>
      </c>
      <c r="L1097" s="1637">
        <v>0</v>
      </c>
      <c r="M1097" s="1636"/>
      <c r="N1097" s="1615"/>
      <c r="O1097" s="1635"/>
      <c r="P1097" s="1965" t="s">
        <v>2566</v>
      </c>
      <c r="Q1097" s="1966" t="s">
        <v>2571</v>
      </c>
    </row>
    <row r="1098" spans="1:17" ht="12.75" customHeight="1">
      <c r="A1098" s="1962"/>
      <c r="B1098" s="1840"/>
      <c r="C1098" s="1850" t="s">
        <v>3622</v>
      </c>
      <c r="D1098" s="1934"/>
      <c r="E1098" s="1934">
        <v>1</v>
      </c>
      <c r="F1098" s="1905"/>
      <c r="G1098" s="1963" t="s">
        <v>2578</v>
      </c>
      <c r="H1098" s="1964" t="s">
        <v>2814</v>
      </c>
      <c r="I1098" s="2310"/>
      <c r="J1098" s="2534">
        <v>0</v>
      </c>
      <c r="K1098" s="1615">
        <v>0</v>
      </c>
      <c r="L1098" s="1637">
        <v>7000000</v>
      </c>
      <c r="M1098" s="1636"/>
      <c r="N1098" s="1615"/>
      <c r="O1098" s="1635"/>
      <c r="P1098" s="1965">
        <v>34</v>
      </c>
      <c r="Q1098" s="1966" t="s">
        <v>2587</v>
      </c>
    </row>
    <row r="1099" spans="1:17" ht="12.75" customHeight="1">
      <c r="A1099" s="1962"/>
      <c r="B1099" s="1840"/>
      <c r="C1099" s="1850" t="s">
        <v>3623</v>
      </c>
      <c r="D1099" s="1934"/>
      <c r="E1099" s="1934">
        <v>1</v>
      </c>
      <c r="F1099" s="1905"/>
      <c r="G1099" s="1963" t="s">
        <v>2578</v>
      </c>
      <c r="H1099" s="1964" t="s">
        <v>2814</v>
      </c>
      <c r="I1099" s="2310"/>
      <c r="J1099" s="2534">
        <v>0</v>
      </c>
      <c r="K1099" s="1615">
        <v>0</v>
      </c>
      <c r="L1099" s="1637">
        <v>0</v>
      </c>
      <c r="M1099" s="1636"/>
      <c r="N1099" s="1615"/>
      <c r="O1099" s="1635"/>
      <c r="P1099" s="1965">
        <v>20</v>
      </c>
      <c r="Q1099" s="1966" t="s">
        <v>2571</v>
      </c>
    </row>
    <row r="1100" spans="1:17" ht="12.75" customHeight="1">
      <c r="A1100" s="1962"/>
      <c r="B1100" s="1840"/>
      <c r="C1100" s="1850" t="s">
        <v>3624</v>
      </c>
      <c r="D1100" s="1934"/>
      <c r="E1100" s="1934">
        <v>1</v>
      </c>
      <c r="F1100" s="1905"/>
      <c r="G1100" s="1963" t="s">
        <v>2578</v>
      </c>
      <c r="H1100" s="1964" t="s">
        <v>2814</v>
      </c>
      <c r="I1100" s="2310"/>
      <c r="J1100" s="2534">
        <v>0</v>
      </c>
      <c r="K1100" s="1615">
        <v>0</v>
      </c>
      <c r="L1100" s="1637">
        <v>0</v>
      </c>
      <c r="M1100" s="1636"/>
      <c r="N1100" s="1615"/>
      <c r="O1100" s="1635"/>
      <c r="P1100" s="1965">
        <v>24</v>
      </c>
      <c r="Q1100" s="1966" t="s">
        <v>2571</v>
      </c>
    </row>
    <row r="1101" spans="1:17" ht="12.75" customHeight="1">
      <c r="A1101" s="1962"/>
      <c r="B1101" s="1840"/>
      <c r="C1101" s="1850" t="s">
        <v>3625</v>
      </c>
      <c r="D1101" s="1934"/>
      <c r="E1101" s="1934">
        <v>1</v>
      </c>
      <c r="F1101" s="1905"/>
      <c r="G1101" s="1963" t="s">
        <v>2578</v>
      </c>
      <c r="H1101" s="1964" t="s">
        <v>2814</v>
      </c>
      <c r="I1101" s="2310"/>
      <c r="J1101" s="2534">
        <v>0</v>
      </c>
      <c r="K1101" s="1615">
        <v>0</v>
      </c>
      <c r="L1101" s="1637">
        <v>0</v>
      </c>
      <c r="M1101" s="1636"/>
      <c r="N1101" s="1615"/>
      <c r="O1101" s="1635"/>
      <c r="P1101" s="1965">
        <v>25</v>
      </c>
      <c r="Q1101" s="1966" t="s">
        <v>2571</v>
      </c>
    </row>
    <row r="1102" spans="1:17" ht="12.75" customHeight="1">
      <c r="A1102" s="1962"/>
      <c r="B1102" s="1840"/>
      <c r="C1102" s="1850" t="s">
        <v>3626</v>
      </c>
      <c r="D1102" s="1934"/>
      <c r="E1102" s="1934">
        <v>1</v>
      </c>
      <c r="F1102" s="1905"/>
      <c r="G1102" s="1963" t="s">
        <v>2578</v>
      </c>
      <c r="H1102" s="1964" t="s">
        <v>2814</v>
      </c>
      <c r="I1102" s="2310"/>
      <c r="J1102" s="2534">
        <v>0</v>
      </c>
      <c r="K1102" s="1615">
        <v>0</v>
      </c>
      <c r="L1102" s="1637">
        <v>0</v>
      </c>
      <c r="M1102" s="1636"/>
      <c r="N1102" s="1615"/>
      <c r="O1102" s="1635"/>
      <c r="P1102" s="1965">
        <v>36</v>
      </c>
      <c r="Q1102" s="1966" t="s">
        <v>2571</v>
      </c>
    </row>
    <row r="1103" spans="1:17" ht="12.75" customHeight="1">
      <c r="A1103" s="1962"/>
      <c r="B1103" s="1840"/>
      <c r="C1103" s="1850" t="s">
        <v>3627</v>
      </c>
      <c r="D1103" s="1934"/>
      <c r="E1103" s="1934">
        <v>1</v>
      </c>
      <c r="F1103" s="1905"/>
      <c r="G1103" s="1963" t="s">
        <v>2578</v>
      </c>
      <c r="H1103" s="1964" t="s">
        <v>2814</v>
      </c>
      <c r="I1103" s="2310"/>
      <c r="J1103" s="2534">
        <v>0</v>
      </c>
      <c r="K1103" s="1615">
        <v>0</v>
      </c>
      <c r="L1103" s="1637">
        <v>0</v>
      </c>
      <c r="M1103" s="1636"/>
      <c r="N1103" s="1615"/>
      <c r="O1103" s="1635"/>
      <c r="P1103" s="1965">
        <v>12</v>
      </c>
      <c r="Q1103" s="1966" t="s">
        <v>2571</v>
      </c>
    </row>
    <row r="1104" spans="1:17" ht="12.75" customHeight="1">
      <c r="A1104" s="1962"/>
      <c r="B1104" s="1840"/>
      <c r="C1104" s="1850" t="s">
        <v>3628</v>
      </c>
      <c r="D1104" s="1934"/>
      <c r="E1104" s="1934">
        <v>1</v>
      </c>
      <c r="F1104" s="1905"/>
      <c r="G1104" s="1963" t="s">
        <v>2578</v>
      </c>
      <c r="H1104" s="1964" t="s">
        <v>2814</v>
      </c>
      <c r="I1104" s="2310"/>
      <c r="J1104" s="2534">
        <v>0</v>
      </c>
      <c r="K1104" s="1615">
        <v>0</v>
      </c>
      <c r="L1104" s="1637">
        <v>0</v>
      </c>
      <c r="M1104" s="1636"/>
      <c r="N1104" s="1615"/>
      <c r="O1104" s="1635"/>
      <c r="P1104" s="1965">
        <v>22</v>
      </c>
      <c r="Q1104" s="1966" t="s">
        <v>2571</v>
      </c>
    </row>
    <row r="1105" spans="1:17" ht="12.75" customHeight="1">
      <c r="A1105" s="1962"/>
      <c r="B1105" s="1840"/>
      <c r="C1105" s="1850" t="s">
        <v>3629</v>
      </c>
      <c r="D1105" s="1934"/>
      <c r="E1105" s="1934">
        <v>1</v>
      </c>
      <c r="F1105" s="1905"/>
      <c r="G1105" s="1963" t="s">
        <v>2578</v>
      </c>
      <c r="H1105" s="1964" t="s">
        <v>2814</v>
      </c>
      <c r="I1105" s="2310"/>
      <c r="J1105" s="2534">
        <v>0</v>
      </c>
      <c r="K1105" s="1615">
        <v>0</v>
      </c>
      <c r="L1105" s="1637">
        <v>0</v>
      </c>
      <c r="M1105" s="1636"/>
      <c r="N1105" s="1615"/>
      <c r="O1105" s="1635"/>
      <c r="P1105" s="1965">
        <v>29</v>
      </c>
      <c r="Q1105" s="1966" t="s">
        <v>2571</v>
      </c>
    </row>
    <row r="1106" spans="1:17" ht="12.75" customHeight="1">
      <c r="A1106" s="1962"/>
      <c r="B1106" s="1840"/>
      <c r="C1106" s="1850" t="s">
        <v>3630</v>
      </c>
      <c r="D1106" s="1934"/>
      <c r="E1106" s="1934">
        <v>1</v>
      </c>
      <c r="F1106" s="1905"/>
      <c r="G1106" s="1963" t="s">
        <v>2578</v>
      </c>
      <c r="H1106" s="1964" t="s">
        <v>2814</v>
      </c>
      <c r="I1106" s="2310"/>
      <c r="J1106" s="2534">
        <v>0</v>
      </c>
      <c r="K1106" s="1615">
        <v>0</v>
      </c>
      <c r="L1106" s="1637">
        <v>0</v>
      </c>
      <c r="M1106" s="1636"/>
      <c r="N1106" s="1615"/>
      <c r="O1106" s="1635"/>
      <c r="P1106" s="1965">
        <v>2</v>
      </c>
      <c r="Q1106" s="1966" t="s">
        <v>2571</v>
      </c>
    </row>
    <row r="1107" spans="1:17" ht="12.75" customHeight="1">
      <c r="A1107" s="1962"/>
      <c r="B1107" s="1840"/>
      <c r="C1107" s="1850" t="s">
        <v>3631</v>
      </c>
      <c r="D1107" s="1934"/>
      <c r="E1107" s="1934">
        <v>1</v>
      </c>
      <c r="F1107" s="1905"/>
      <c r="G1107" s="1963" t="s">
        <v>2578</v>
      </c>
      <c r="H1107" s="1964" t="s">
        <v>2814</v>
      </c>
      <c r="I1107" s="2310"/>
      <c r="J1107" s="2534">
        <v>0</v>
      </c>
      <c r="K1107" s="1615">
        <v>0</v>
      </c>
      <c r="L1107" s="1637">
        <v>0</v>
      </c>
      <c r="M1107" s="1636"/>
      <c r="N1107" s="1615"/>
      <c r="O1107" s="1635"/>
      <c r="P1107" s="1965">
        <v>36</v>
      </c>
      <c r="Q1107" s="1966" t="s">
        <v>2571</v>
      </c>
    </row>
    <row r="1108" spans="1:17" ht="12.75" customHeight="1">
      <c r="A1108" s="1962"/>
      <c r="B1108" s="1840"/>
      <c r="C1108" s="1850" t="s">
        <v>3632</v>
      </c>
      <c r="D1108" s="1934"/>
      <c r="E1108" s="1934">
        <v>1</v>
      </c>
      <c r="F1108" s="1905"/>
      <c r="G1108" s="1963" t="s">
        <v>2578</v>
      </c>
      <c r="H1108" s="1964" t="s">
        <v>2814</v>
      </c>
      <c r="I1108" s="2310"/>
      <c r="J1108" s="2534">
        <v>0</v>
      </c>
      <c r="K1108" s="1615">
        <v>0</v>
      </c>
      <c r="L1108" s="1637">
        <v>0</v>
      </c>
      <c r="M1108" s="1636"/>
      <c r="N1108" s="1615"/>
      <c r="O1108" s="1635"/>
      <c r="P1108" s="1965">
        <v>2</v>
      </c>
      <c r="Q1108" s="1966" t="s">
        <v>2571</v>
      </c>
    </row>
    <row r="1109" spans="1:17" ht="12.75" customHeight="1">
      <c r="A1109" s="1962"/>
      <c r="B1109" s="1840"/>
      <c r="C1109" s="1850" t="s">
        <v>3633</v>
      </c>
      <c r="D1109" s="1934"/>
      <c r="E1109" s="1934">
        <v>1</v>
      </c>
      <c r="F1109" s="1905"/>
      <c r="G1109" s="1963" t="s">
        <v>2578</v>
      </c>
      <c r="H1109" s="1964" t="s">
        <v>2814</v>
      </c>
      <c r="I1109" s="2310"/>
      <c r="J1109" s="2534">
        <v>0</v>
      </c>
      <c r="K1109" s="1615">
        <v>0</v>
      </c>
      <c r="L1109" s="1637">
        <v>0</v>
      </c>
      <c r="M1109" s="1636"/>
      <c r="N1109" s="1615"/>
      <c r="O1109" s="1635"/>
      <c r="P1109" s="1965">
        <v>2</v>
      </c>
      <c r="Q1109" s="1966" t="s">
        <v>2571</v>
      </c>
    </row>
    <row r="1110" spans="1:17" ht="12.75" customHeight="1">
      <c r="A1110" s="1962"/>
      <c r="B1110" s="1840"/>
      <c r="C1110" s="1850" t="s">
        <v>3634</v>
      </c>
      <c r="D1110" s="1934"/>
      <c r="E1110" s="1934">
        <v>1</v>
      </c>
      <c r="F1110" s="1905"/>
      <c r="G1110" s="1963" t="s">
        <v>2578</v>
      </c>
      <c r="H1110" s="1964" t="s">
        <v>2814</v>
      </c>
      <c r="I1110" s="2310"/>
      <c r="J1110" s="2534">
        <v>0</v>
      </c>
      <c r="K1110" s="1615">
        <v>0</v>
      </c>
      <c r="L1110" s="1637">
        <v>0</v>
      </c>
      <c r="M1110" s="1636"/>
      <c r="N1110" s="1615"/>
      <c r="O1110" s="1635"/>
      <c r="P1110" s="1965">
        <v>1</v>
      </c>
      <c r="Q1110" s="1966" t="s">
        <v>2571</v>
      </c>
    </row>
    <row r="1111" spans="1:17" ht="12.75" customHeight="1">
      <c r="A1111" s="1962"/>
      <c r="B1111" s="1840"/>
      <c r="C1111" s="1850" t="s">
        <v>3635</v>
      </c>
      <c r="D1111" s="1934"/>
      <c r="E1111" s="1934">
        <v>1</v>
      </c>
      <c r="F1111" s="1905"/>
      <c r="G1111" s="1963" t="s">
        <v>2578</v>
      </c>
      <c r="H1111" s="1964" t="s">
        <v>2814</v>
      </c>
      <c r="I1111" s="2310"/>
      <c r="J1111" s="2534">
        <v>0</v>
      </c>
      <c r="K1111" s="1615">
        <v>0</v>
      </c>
      <c r="L1111" s="1637">
        <v>0</v>
      </c>
      <c r="M1111" s="1636"/>
      <c r="N1111" s="1615"/>
      <c r="O1111" s="1635"/>
      <c r="P1111" s="1965">
        <v>19</v>
      </c>
      <c r="Q1111" s="1966" t="s">
        <v>2571</v>
      </c>
    </row>
    <row r="1112" spans="1:17" ht="12.75" customHeight="1">
      <c r="A1112" s="1962"/>
      <c r="B1112" s="1840"/>
      <c r="C1112" s="1850" t="s">
        <v>3636</v>
      </c>
      <c r="D1112" s="1934"/>
      <c r="E1112" s="1934">
        <v>1</v>
      </c>
      <c r="F1112" s="1905"/>
      <c r="G1112" s="1963" t="s">
        <v>2578</v>
      </c>
      <c r="H1112" s="1964" t="s">
        <v>2814</v>
      </c>
      <c r="I1112" s="2310"/>
      <c r="J1112" s="2534">
        <v>0</v>
      </c>
      <c r="K1112" s="1615">
        <v>0</v>
      </c>
      <c r="L1112" s="1637">
        <v>0</v>
      </c>
      <c r="M1112" s="1636"/>
      <c r="N1112" s="1615"/>
      <c r="O1112" s="1635"/>
      <c r="P1112" s="1965">
        <v>22</v>
      </c>
      <c r="Q1112" s="1966" t="s">
        <v>2571</v>
      </c>
    </row>
    <row r="1113" spans="1:17" ht="12.75" customHeight="1">
      <c r="A1113" s="1962"/>
      <c r="B1113" s="1840"/>
      <c r="C1113" s="1850" t="s">
        <v>3637</v>
      </c>
      <c r="D1113" s="1934"/>
      <c r="E1113" s="1934">
        <v>1</v>
      </c>
      <c r="F1113" s="1905"/>
      <c r="G1113" s="1963" t="s">
        <v>2578</v>
      </c>
      <c r="H1113" s="1964" t="s">
        <v>2814</v>
      </c>
      <c r="I1113" s="2310"/>
      <c r="J1113" s="2534">
        <v>0</v>
      </c>
      <c r="K1113" s="1615">
        <v>0</v>
      </c>
      <c r="L1113" s="1637">
        <v>0</v>
      </c>
      <c r="M1113" s="1636"/>
      <c r="N1113" s="1615"/>
      <c r="O1113" s="1635"/>
      <c r="P1113" s="1965" t="s">
        <v>3638</v>
      </c>
      <c r="Q1113" s="1966" t="s">
        <v>2571</v>
      </c>
    </row>
    <row r="1114" spans="1:17" ht="12.75" customHeight="1">
      <c r="A1114" s="1962"/>
      <c r="B1114" s="1840"/>
      <c r="C1114" s="1850" t="s">
        <v>3639</v>
      </c>
      <c r="D1114" s="1934"/>
      <c r="E1114" s="1934">
        <v>1</v>
      </c>
      <c r="F1114" s="1905"/>
      <c r="G1114" s="1963" t="s">
        <v>2578</v>
      </c>
      <c r="H1114" s="1964" t="s">
        <v>2814</v>
      </c>
      <c r="I1114" s="2310"/>
      <c r="J1114" s="2534">
        <v>0</v>
      </c>
      <c r="K1114" s="1615">
        <v>0</v>
      </c>
      <c r="L1114" s="1637">
        <v>0</v>
      </c>
      <c r="M1114" s="1636"/>
      <c r="N1114" s="1615"/>
      <c r="O1114" s="1635"/>
      <c r="P1114" s="1965">
        <v>29</v>
      </c>
      <c r="Q1114" s="1966" t="s">
        <v>2571</v>
      </c>
    </row>
    <row r="1115" spans="1:17" ht="12.75" customHeight="1">
      <c r="A1115" s="1962"/>
      <c r="B1115" s="1840"/>
      <c r="C1115" s="1850" t="s">
        <v>3640</v>
      </c>
      <c r="D1115" s="1934"/>
      <c r="E1115" s="1934">
        <v>1</v>
      </c>
      <c r="F1115" s="1905"/>
      <c r="G1115" s="1963" t="s">
        <v>2578</v>
      </c>
      <c r="H1115" s="1964" t="s">
        <v>2814</v>
      </c>
      <c r="I1115" s="2310"/>
      <c r="J1115" s="2534">
        <v>0</v>
      </c>
      <c r="K1115" s="1615">
        <v>0</v>
      </c>
      <c r="L1115" s="1637">
        <v>0</v>
      </c>
      <c r="M1115" s="1636"/>
      <c r="N1115" s="1615"/>
      <c r="O1115" s="1635"/>
      <c r="P1115" s="1965">
        <v>29</v>
      </c>
      <c r="Q1115" s="1966" t="s">
        <v>2571</v>
      </c>
    </row>
    <row r="1116" spans="1:17" ht="12.75" customHeight="1">
      <c r="A1116" s="1962"/>
      <c r="B1116" s="1840"/>
      <c r="C1116" s="1850" t="s">
        <v>3641</v>
      </c>
      <c r="D1116" s="1934"/>
      <c r="E1116" s="1934">
        <v>1</v>
      </c>
      <c r="F1116" s="1905"/>
      <c r="G1116" s="1963" t="s">
        <v>2578</v>
      </c>
      <c r="H1116" s="1964" t="s">
        <v>2814</v>
      </c>
      <c r="I1116" s="2310"/>
      <c r="J1116" s="2534">
        <v>0</v>
      </c>
      <c r="K1116" s="1615">
        <v>0</v>
      </c>
      <c r="L1116" s="1637">
        <v>0</v>
      </c>
      <c r="M1116" s="1636"/>
      <c r="N1116" s="1615"/>
      <c r="O1116" s="1635"/>
      <c r="P1116" s="1965">
        <v>31</v>
      </c>
      <c r="Q1116" s="1966" t="s">
        <v>2571</v>
      </c>
    </row>
    <row r="1117" spans="1:17" ht="12.75" customHeight="1">
      <c r="A1117" s="1962"/>
      <c r="B1117" s="1840"/>
      <c r="C1117" s="1850" t="s">
        <v>3642</v>
      </c>
      <c r="D1117" s="1934"/>
      <c r="E1117" s="1934">
        <v>1</v>
      </c>
      <c r="F1117" s="1905"/>
      <c r="G1117" s="1963" t="s">
        <v>2578</v>
      </c>
      <c r="H1117" s="1964" t="s">
        <v>2814</v>
      </c>
      <c r="I1117" s="2310"/>
      <c r="J1117" s="2534">
        <v>0</v>
      </c>
      <c r="K1117" s="1615">
        <v>0</v>
      </c>
      <c r="L1117" s="1637">
        <v>0</v>
      </c>
      <c r="M1117" s="1636"/>
      <c r="N1117" s="1615"/>
      <c r="O1117" s="1635"/>
      <c r="P1117" s="1965">
        <v>33</v>
      </c>
      <c r="Q1117" s="1966" t="s">
        <v>2571</v>
      </c>
    </row>
    <row r="1118" spans="1:17" ht="12.75" customHeight="1">
      <c r="A1118" s="1962"/>
      <c r="B1118" s="1840"/>
      <c r="C1118" s="1850" t="s">
        <v>3643</v>
      </c>
      <c r="D1118" s="1934"/>
      <c r="E1118" s="1934">
        <v>1</v>
      </c>
      <c r="F1118" s="1905"/>
      <c r="G1118" s="1963" t="s">
        <v>2578</v>
      </c>
      <c r="H1118" s="1964" t="s">
        <v>2814</v>
      </c>
      <c r="I1118" s="2310"/>
      <c r="J1118" s="2534">
        <v>0</v>
      </c>
      <c r="K1118" s="1615">
        <v>0</v>
      </c>
      <c r="L1118" s="1637">
        <v>2000000</v>
      </c>
      <c r="M1118" s="1636"/>
      <c r="N1118" s="1615"/>
      <c r="O1118" s="1635"/>
      <c r="P1118" s="1965">
        <v>18</v>
      </c>
      <c r="Q1118" s="1966" t="s">
        <v>2587</v>
      </c>
    </row>
    <row r="1119" spans="1:17" ht="12.75" customHeight="1">
      <c r="A1119" s="1962"/>
      <c r="B1119" s="1840"/>
      <c r="C1119" s="1850" t="s">
        <v>3644</v>
      </c>
      <c r="D1119" s="1934"/>
      <c r="E1119" s="1934">
        <v>1</v>
      </c>
      <c r="F1119" s="1905"/>
      <c r="G1119" s="1963" t="s">
        <v>2578</v>
      </c>
      <c r="H1119" s="1964" t="s">
        <v>2814</v>
      </c>
      <c r="I1119" s="2310"/>
      <c r="J1119" s="2534">
        <v>0</v>
      </c>
      <c r="K1119" s="1615">
        <v>0</v>
      </c>
      <c r="L1119" s="1637">
        <v>0</v>
      </c>
      <c r="M1119" s="1636"/>
      <c r="N1119" s="1615"/>
      <c r="O1119" s="1635"/>
      <c r="P1119" s="1965">
        <v>30</v>
      </c>
      <c r="Q1119" s="1966" t="s">
        <v>2571</v>
      </c>
    </row>
    <row r="1120" spans="1:17" ht="12.75" customHeight="1">
      <c r="A1120" s="1962"/>
      <c r="B1120" s="1840"/>
      <c r="C1120" s="1850" t="s">
        <v>3645</v>
      </c>
      <c r="D1120" s="1934"/>
      <c r="E1120" s="1934">
        <v>1</v>
      </c>
      <c r="F1120" s="1905"/>
      <c r="G1120" s="1963" t="s">
        <v>2578</v>
      </c>
      <c r="H1120" s="1964" t="s">
        <v>2814</v>
      </c>
      <c r="I1120" s="2310"/>
      <c r="J1120" s="2534">
        <v>0</v>
      </c>
      <c r="K1120" s="1615">
        <v>0</v>
      </c>
      <c r="L1120" s="1637">
        <v>0</v>
      </c>
      <c r="M1120" s="1636"/>
      <c r="N1120" s="1615"/>
      <c r="O1120" s="1635"/>
      <c r="P1120" s="1965" t="s">
        <v>3596</v>
      </c>
      <c r="Q1120" s="1966" t="s">
        <v>2571</v>
      </c>
    </row>
    <row r="1121" spans="1:17" ht="12.75" customHeight="1">
      <c r="A1121" s="1962"/>
      <c r="B1121" s="1840"/>
      <c r="C1121" s="1850" t="s">
        <v>3612</v>
      </c>
      <c r="D1121" s="1934"/>
      <c r="E1121" s="1934">
        <v>1</v>
      </c>
      <c r="F1121" s="1905"/>
      <c r="G1121" s="1963" t="s">
        <v>2578</v>
      </c>
      <c r="H1121" s="1964" t="s">
        <v>2814</v>
      </c>
      <c r="I1121" s="2310"/>
      <c r="J1121" s="2534">
        <v>0</v>
      </c>
      <c r="K1121" s="1615">
        <v>0</v>
      </c>
      <c r="L1121" s="1637">
        <v>0</v>
      </c>
      <c r="M1121" s="1636"/>
      <c r="N1121" s="1615"/>
      <c r="O1121" s="1635"/>
      <c r="P1121" s="1965" t="s">
        <v>3596</v>
      </c>
      <c r="Q1121" s="1966" t="s">
        <v>2571</v>
      </c>
    </row>
    <row r="1122" spans="1:17" ht="12.75" customHeight="1">
      <c r="A1122" s="1962"/>
      <c r="B1122" s="1840"/>
      <c r="C1122" s="1850" t="s">
        <v>3646</v>
      </c>
      <c r="D1122" s="1934"/>
      <c r="E1122" s="1934">
        <v>1</v>
      </c>
      <c r="F1122" s="1905"/>
      <c r="G1122" s="1963" t="s">
        <v>2578</v>
      </c>
      <c r="H1122" s="1964" t="s">
        <v>2814</v>
      </c>
      <c r="I1122" s="2310"/>
      <c r="J1122" s="2534">
        <v>0</v>
      </c>
      <c r="K1122" s="1615">
        <v>0</v>
      </c>
      <c r="L1122" s="1637">
        <v>0</v>
      </c>
      <c r="M1122" s="1636"/>
      <c r="N1122" s="1615"/>
      <c r="O1122" s="1635"/>
      <c r="P1122" s="1965" t="s">
        <v>3647</v>
      </c>
      <c r="Q1122" s="1966" t="s">
        <v>2571</v>
      </c>
    </row>
    <row r="1123" spans="1:17" ht="12.75" customHeight="1">
      <c r="A1123" s="1962"/>
      <c r="B1123" s="1840"/>
      <c r="C1123" s="1850" t="s">
        <v>3648</v>
      </c>
      <c r="D1123" s="1934"/>
      <c r="E1123" s="1934">
        <v>1</v>
      </c>
      <c r="F1123" s="1905"/>
      <c r="G1123" s="1963" t="s">
        <v>2578</v>
      </c>
      <c r="H1123" s="1964" t="s">
        <v>2814</v>
      </c>
      <c r="I1123" s="2310"/>
      <c r="J1123" s="2534">
        <v>0</v>
      </c>
      <c r="K1123" s="1615">
        <v>0</v>
      </c>
      <c r="L1123" s="1637">
        <v>0</v>
      </c>
      <c r="M1123" s="1636"/>
      <c r="N1123" s="1615"/>
      <c r="O1123" s="1635"/>
      <c r="P1123" s="1965">
        <v>24</v>
      </c>
      <c r="Q1123" s="1966" t="s">
        <v>2571</v>
      </c>
    </row>
    <row r="1124" spans="1:17" ht="12.75" customHeight="1">
      <c r="A1124" s="1962"/>
      <c r="B1124" s="1840"/>
      <c r="C1124" s="1850" t="s">
        <v>3649</v>
      </c>
      <c r="D1124" s="1934"/>
      <c r="E1124" s="1934">
        <v>1</v>
      </c>
      <c r="F1124" s="1905"/>
      <c r="G1124" s="1963" t="s">
        <v>2578</v>
      </c>
      <c r="H1124" s="1964" t="s">
        <v>2814</v>
      </c>
      <c r="I1124" s="2310"/>
      <c r="J1124" s="2534">
        <v>0</v>
      </c>
      <c r="K1124" s="1615">
        <v>0</v>
      </c>
      <c r="L1124" s="1637">
        <v>0</v>
      </c>
      <c r="M1124" s="1636"/>
      <c r="N1124" s="1615"/>
      <c r="O1124" s="1635"/>
      <c r="P1124" s="1965">
        <v>29</v>
      </c>
      <c r="Q1124" s="1966" t="s">
        <v>2571</v>
      </c>
    </row>
    <row r="1125" spans="1:17" ht="12.75" customHeight="1">
      <c r="A1125" s="1962"/>
      <c r="B1125" s="1840"/>
      <c r="C1125" s="1850" t="s">
        <v>4280</v>
      </c>
      <c r="D1125" s="1934"/>
      <c r="E1125" s="1934">
        <v>1</v>
      </c>
      <c r="F1125" s="1905"/>
      <c r="G1125" s="1963" t="s">
        <v>2578</v>
      </c>
      <c r="H1125" s="1964" t="s">
        <v>2814</v>
      </c>
      <c r="I1125" s="2310"/>
      <c r="J1125" s="2534">
        <v>0</v>
      </c>
      <c r="K1125" s="1615">
        <v>0</v>
      </c>
      <c r="L1125" s="1637">
        <v>0</v>
      </c>
      <c r="M1125" s="1636"/>
      <c r="N1125" s="1615"/>
      <c r="O1125" s="1635"/>
      <c r="P1125" s="1965">
        <v>34</v>
      </c>
      <c r="Q1125" s="1966" t="s">
        <v>2571</v>
      </c>
    </row>
    <row r="1126" spans="1:17" ht="12.75" customHeight="1">
      <c r="A1126" s="1962"/>
      <c r="B1126" s="1840"/>
      <c r="C1126" s="1850" t="s">
        <v>3650</v>
      </c>
      <c r="D1126" s="1934"/>
      <c r="E1126" s="1934">
        <v>1</v>
      </c>
      <c r="F1126" s="1905"/>
      <c r="G1126" s="1963" t="s">
        <v>2578</v>
      </c>
      <c r="H1126" s="1964" t="s">
        <v>2814</v>
      </c>
      <c r="I1126" s="2310"/>
      <c r="J1126" s="2534">
        <v>0</v>
      </c>
      <c r="K1126" s="1615">
        <v>0</v>
      </c>
      <c r="L1126" s="1637">
        <v>0</v>
      </c>
      <c r="M1126" s="1636"/>
      <c r="N1126" s="1615"/>
      <c r="O1126" s="1635"/>
      <c r="P1126" s="1965">
        <v>26</v>
      </c>
      <c r="Q1126" s="1966" t="s">
        <v>2571</v>
      </c>
    </row>
    <row r="1127" spans="1:17" ht="12.75" customHeight="1">
      <c r="A1127" s="1962"/>
      <c r="B1127" s="1840"/>
      <c r="C1127" s="1850" t="s">
        <v>3651</v>
      </c>
      <c r="D1127" s="1934"/>
      <c r="E1127" s="1934">
        <v>1</v>
      </c>
      <c r="F1127" s="1905"/>
      <c r="G1127" s="1963" t="s">
        <v>2578</v>
      </c>
      <c r="H1127" s="1964" t="s">
        <v>2814</v>
      </c>
      <c r="I1127" s="2310"/>
      <c r="J1127" s="2534">
        <v>0</v>
      </c>
      <c r="K1127" s="1615">
        <v>0</v>
      </c>
      <c r="L1127" s="1637">
        <v>0</v>
      </c>
      <c r="M1127" s="1636"/>
      <c r="N1127" s="1615"/>
      <c r="O1127" s="1635"/>
      <c r="P1127" s="1965" t="s">
        <v>3160</v>
      </c>
      <c r="Q1127" s="1966" t="s">
        <v>2571</v>
      </c>
    </row>
    <row r="1128" spans="1:17" ht="12.75" customHeight="1">
      <c r="A1128" s="1962"/>
      <c r="B1128" s="1840"/>
      <c r="C1128" s="1850" t="s">
        <v>3652</v>
      </c>
      <c r="D1128" s="1934"/>
      <c r="E1128" s="1934">
        <v>1</v>
      </c>
      <c r="F1128" s="1905"/>
      <c r="G1128" s="1963" t="s">
        <v>2578</v>
      </c>
      <c r="H1128" s="1964" t="s">
        <v>2814</v>
      </c>
      <c r="I1128" s="2310"/>
      <c r="J1128" s="2534">
        <v>0</v>
      </c>
      <c r="K1128" s="1615">
        <v>0</v>
      </c>
      <c r="L1128" s="1637">
        <v>0</v>
      </c>
      <c r="M1128" s="1636"/>
      <c r="N1128" s="1615"/>
      <c r="O1128" s="1635"/>
      <c r="P1128" s="1965">
        <v>29</v>
      </c>
      <c r="Q1128" s="1966" t="s">
        <v>2571</v>
      </c>
    </row>
    <row r="1129" spans="1:17" ht="12.75" customHeight="1">
      <c r="A1129" s="1962"/>
      <c r="B1129" s="1840"/>
      <c r="C1129" s="1850" t="s">
        <v>3653</v>
      </c>
      <c r="D1129" s="1934"/>
      <c r="E1129" s="1934">
        <v>1</v>
      </c>
      <c r="F1129" s="1905"/>
      <c r="G1129" s="1963" t="s">
        <v>2578</v>
      </c>
      <c r="H1129" s="1964" t="s">
        <v>2814</v>
      </c>
      <c r="I1129" s="2310"/>
      <c r="J1129" s="2534">
        <v>0</v>
      </c>
      <c r="K1129" s="1615">
        <v>0</v>
      </c>
      <c r="L1129" s="1637">
        <v>0</v>
      </c>
      <c r="M1129" s="1636"/>
      <c r="N1129" s="1615"/>
      <c r="O1129" s="1635"/>
      <c r="P1129" s="1965" t="s">
        <v>3596</v>
      </c>
      <c r="Q1129" s="1966" t="s">
        <v>2571</v>
      </c>
    </row>
    <row r="1130" spans="1:17" ht="12.75" customHeight="1">
      <c r="A1130" s="1962"/>
      <c r="B1130" s="1840"/>
      <c r="C1130" s="1850" t="s">
        <v>3654</v>
      </c>
      <c r="D1130" s="1934"/>
      <c r="E1130" s="1934">
        <v>1</v>
      </c>
      <c r="F1130" s="1905"/>
      <c r="G1130" s="1963" t="s">
        <v>2578</v>
      </c>
      <c r="H1130" s="1964" t="s">
        <v>2814</v>
      </c>
      <c r="I1130" s="2310"/>
      <c r="J1130" s="2534">
        <v>0</v>
      </c>
      <c r="K1130" s="1615">
        <v>0</v>
      </c>
      <c r="L1130" s="1637">
        <v>0</v>
      </c>
      <c r="M1130" s="1636"/>
      <c r="N1130" s="1615"/>
      <c r="O1130" s="1635"/>
      <c r="P1130" s="1965" t="s">
        <v>2566</v>
      </c>
      <c r="Q1130" s="1966" t="s">
        <v>2571</v>
      </c>
    </row>
    <row r="1131" spans="1:17" ht="12.75" customHeight="1">
      <c r="A1131" s="1962"/>
      <c r="B1131" s="1840"/>
      <c r="C1131" s="1850" t="s">
        <v>3655</v>
      </c>
      <c r="D1131" s="1934"/>
      <c r="E1131" s="1934">
        <v>1</v>
      </c>
      <c r="F1131" s="1905"/>
      <c r="G1131" s="1963" t="s">
        <v>2578</v>
      </c>
      <c r="H1131" s="1964" t="s">
        <v>2814</v>
      </c>
      <c r="I1131" s="2310"/>
      <c r="J1131" s="2534">
        <v>0</v>
      </c>
      <c r="K1131" s="1615">
        <v>0</v>
      </c>
      <c r="L1131" s="1637">
        <v>0</v>
      </c>
      <c r="M1131" s="1636"/>
      <c r="N1131" s="1615"/>
      <c r="O1131" s="1635"/>
      <c r="P1131" s="1965">
        <v>18</v>
      </c>
      <c r="Q1131" s="1966" t="s">
        <v>2571</v>
      </c>
    </row>
    <row r="1132" spans="1:17" ht="12.75" customHeight="1">
      <c r="A1132" s="1962"/>
      <c r="B1132" s="1840"/>
      <c r="C1132" s="1850" t="s">
        <v>3656</v>
      </c>
      <c r="D1132" s="1934"/>
      <c r="E1132" s="1934">
        <v>1</v>
      </c>
      <c r="F1132" s="1905"/>
      <c r="G1132" s="1963" t="s">
        <v>2578</v>
      </c>
      <c r="H1132" s="1964" t="s">
        <v>2814</v>
      </c>
      <c r="I1132" s="2310"/>
      <c r="J1132" s="2534">
        <v>0</v>
      </c>
      <c r="K1132" s="1615">
        <v>0</v>
      </c>
      <c r="L1132" s="1637">
        <v>0</v>
      </c>
      <c r="M1132" s="1636"/>
      <c r="N1132" s="1615"/>
      <c r="O1132" s="1635"/>
      <c r="P1132" s="1965">
        <v>37</v>
      </c>
      <c r="Q1132" s="1966" t="s">
        <v>2571</v>
      </c>
    </row>
    <row r="1133" spans="1:17" ht="12.75" customHeight="1">
      <c r="A1133" s="1962"/>
      <c r="B1133" s="1840"/>
      <c r="C1133" s="1850" t="s">
        <v>3657</v>
      </c>
      <c r="D1133" s="1934"/>
      <c r="E1133" s="1934">
        <v>1</v>
      </c>
      <c r="F1133" s="1905"/>
      <c r="G1133" s="1963" t="s">
        <v>2578</v>
      </c>
      <c r="H1133" s="1964" t="s">
        <v>2814</v>
      </c>
      <c r="I1133" s="2310"/>
      <c r="J1133" s="2534">
        <v>0</v>
      </c>
      <c r="K1133" s="1615">
        <v>0</v>
      </c>
      <c r="L1133" s="1637">
        <v>0</v>
      </c>
      <c r="M1133" s="1636"/>
      <c r="N1133" s="1615"/>
      <c r="O1133" s="1635"/>
      <c r="P1133" s="1965" t="s">
        <v>3658</v>
      </c>
      <c r="Q1133" s="1966" t="s">
        <v>2571</v>
      </c>
    </row>
    <row r="1134" spans="1:17" ht="12.75" customHeight="1">
      <c r="A1134" s="1962"/>
      <c r="B1134" s="1840"/>
      <c r="C1134" s="1850" t="s">
        <v>3659</v>
      </c>
      <c r="D1134" s="1934"/>
      <c r="E1134" s="1934">
        <v>1</v>
      </c>
      <c r="F1134" s="1905"/>
      <c r="G1134" s="1963" t="s">
        <v>2578</v>
      </c>
      <c r="H1134" s="1964" t="s">
        <v>2814</v>
      </c>
      <c r="I1134" s="2310"/>
      <c r="J1134" s="2534">
        <v>0</v>
      </c>
      <c r="K1134" s="1615">
        <v>0</v>
      </c>
      <c r="L1134" s="1637">
        <v>0</v>
      </c>
      <c r="M1134" s="1636"/>
      <c r="N1134" s="1615"/>
      <c r="O1134" s="1635"/>
      <c r="P1134" s="1965" t="s">
        <v>2920</v>
      </c>
      <c r="Q1134" s="1966" t="s">
        <v>2571</v>
      </c>
    </row>
    <row r="1135" spans="1:17" ht="12.75" customHeight="1">
      <c r="A1135" s="1962"/>
      <c r="B1135" s="1840"/>
      <c r="C1135" s="1850" t="s">
        <v>3660</v>
      </c>
      <c r="D1135" s="1934"/>
      <c r="E1135" s="1934">
        <v>1</v>
      </c>
      <c r="F1135" s="1905"/>
      <c r="G1135" s="1963" t="s">
        <v>2578</v>
      </c>
      <c r="H1135" s="1964" t="s">
        <v>2814</v>
      </c>
      <c r="I1135" s="2310"/>
      <c r="J1135" s="2534">
        <v>0</v>
      </c>
      <c r="K1135" s="1615">
        <v>0</v>
      </c>
      <c r="L1135" s="1637">
        <v>0</v>
      </c>
      <c r="M1135" s="1636"/>
      <c r="N1135" s="1615"/>
      <c r="O1135" s="1635"/>
      <c r="P1135" s="1965" t="s">
        <v>2920</v>
      </c>
      <c r="Q1135" s="1966" t="s">
        <v>2571</v>
      </c>
    </row>
    <row r="1136" spans="1:17" ht="12.75" customHeight="1">
      <c r="A1136" s="1962"/>
      <c r="B1136" s="1840"/>
      <c r="C1136" s="1850" t="s">
        <v>3661</v>
      </c>
      <c r="D1136" s="1934"/>
      <c r="E1136" s="1934">
        <v>1</v>
      </c>
      <c r="F1136" s="1905"/>
      <c r="G1136" s="1963" t="s">
        <v>2578</v>
      </c>
      <c r="H1136" s="1964" t="s">
        <v>2814</v>
      </c>
      <c r="I1136" s="2310"/>
      <c r="J1136" s="2534">
        <v>0</v>
      </c>
      <c r="K1136" s="1615">
        <v>0</v>
      </c>
      <c r="L1136" s="1637">
        <v>0</v>
      </c>
      <c r="M1136" s="1636"/>
      <c r="N1136" s="1615"/>
      <c r="O1136" s="1635"/>
      <c r="P1136" s="1965">
        <v>33</v>
      </c>
      <c r="Q1136" s="1966" t="s">
        <v>2571</v>
      </c>
    </row>
    <row r="1137" spans="1:17" ht="12.75" customHeight="1">
      <c r="A1137" s="1962"/>
      <c r="B1137" s="1840"/>
      <c r="C1137" s="1850" t="s">
        <v>3662</v>
      </c>
      <c r="D1137" s="1934"/>
      <c r="E1137" s="1934">
        <v>1</v>
      </c>
      <c r="F1137" s="1905"/>
      <c r="G1137" s="1963" t="s">
        <v>2578</v>
      </c>
      <c r="H1137" s="1964" t="s">
        <v>2814</v>
      </c>
      <c r="I1137" s="2310"/>
      <c r="J1137" s="2534">
        <v>0</v>
      </c>
      <c r="K1137" s="1615">
        <v>0</v>
      </c>
      <c r="L1137" s="1637">
        <v>0</v>
      </c>
      <c r="M1137" s="1636"/>
      <c r="N1137" s="1615"/>
      <c r="O1137" s="1635"/>
      <c r="P1137" s="1965">
        <v>34</v>
      </c>
      <c r="Q1137" s="1966" t="s">
        <v>2571</v>
      </c>
    </row>
    <row r="1138" spans="1:17" ht="12.75" customHeight="1">
      <c r="A1138" s="1962"/>
      <c r="B1138" s="1840"/>
      <c r="C1138" s="1850" t="s">
        <v>3663</v>
      </c>
      <c r="D1138" s="1934"/>
      <c r="E1138" s="1934">
        <v>1</v>
      </c>
      <c r="F1138" s="1905"/>
      <c r="G1138" s="1963" t="s">
        <v>2578</v>
      </c>
      <c r="H1138" s="1964" t="s">
        <v>2814</v>
      </c>
      <c r="I1138" s="2310"/>
      <c r="J1138" s="2534">
        <v>0</v>
      </c>
      <c r="K1138" s="1615">
        <v>0</v>
      </c>
      <c r="L1138" s="1637">
        <v>0</v>
      </c>
      <c r="M1138" s="1636"/>
      <c r="N1138" s="1615"/>
      <c r="O1138" s="1635"/>
      <c r="P1138" s="1965">
        <v>36</v>
      </c>
      <c r="Q1138" s="1966" t="s">
        <v>2571</v>
      </c>
    </row>
    <row r="1139" spans="1:17" ht="12.75" customHeight="1">
      <c r="A1139" s="1962"/>
      <c r="B1139" s="1840"/>
      <c r="C1139" s="1850" t="s">
        <v>3664</v>
      </c>
      <c r="D1139" s="1934"/>
      <c r="E1139" s="1934">
        <v>1</v>
      </c>
      <c r="F1139" s="1905"/>
      <c r="G1139" s="1963" t="s">
        <v>2578</v>
      </c>
      <c r="H1139" s="1964" t="s">
        <v>2814</v>
      </c>
      <c r="I1139" s="2310"/>
      <c r="J1139" s="2534">
        <v>0</v>
      </c>
      <c r="K1139" s="1615">
        <v>0</v>
      </c>
      <c r="L1139" s="1637">
        <v>0</v>
      </c>
      <c r="M1139" s="1636"/>
      <c r="N1139" s="1615"/>
      <c r="O1139" s="1635"/>
      <c r="P1139" s="1965">
        <v>36</v>
      </c>
      <c r="Q1139" s="1966" t="s">
        <v>2571</v>
      </c>
    </row>
    <row r="1140" spans="1:17" ht="12.75" customHeight="1">
      <c r="A1140" s="1962"/>
      <c r="B1140" s="1840"/>
      <c r="C1140" s="1850" t="s">
        <v>3665</v>
      </c>
      <c r="D1140" s="1934"/>
      <c r="E1140" s="1934">
        <v>1</v>
      </c>
      <c r="F1140" s="1905"/>
      <c r="G1140" s="1963" t="s">
        <v>2578</v>
      </c>
      <c r="H1140" s="1964" t="s">
        <v>2814</v>
      </c>
      <c r="I1140" s="2310"/>
      <c r="J1140" s="2534">
        <v>0</v>
      </c>
      <c r="K1140" s="1615">
        <v>0</v>
      </c>
      <c r="L1140" s="1637">
        <v>0</v>
      </c>
      <c r="M1140" s="1636"/>
      <c r="N1140" s="1615"/>
      <c r="O1140" s="1635"/>
      <c r="P1140" s="1965">
        <v>36</v>
      </c>
      <c r="Q1140" s="1966" t="s">
        <v>2571</v>
      </c>
    </row>
    <row r="1141" spans="1:17" ht="12.75" customHeight="1">
      <c r="A1141" s="1962"/>
      <c r="B1141" s="1840"/>
      <c r="C1141" s="1850" t="s">
        <v>3666</v>
      </c>
      <c r="D1141" s="1934"/>
      <c r="E1141" s="1934">
        <v>1</v>
      </c>
      <c r="F1141" s="1905"/>
      <c r="G1141" s="1963" t="s">
        <v>2578</v>
      </c>
      <c r="H1141" s="1964" t="s">
        <v>2814</v>
      </c>
      <c r="I1141" s="2310"/>
      <c r="J1141" s="2534">
        <v>0</v>
      </c>
      <c r="K1141" s="1615">
        <v>0</v>
      </c>
      <c r="L1141" s="1637">
        <v>0</v>
      </c>
      <c r="M1141" s="1636"/>
      <c r="N1141" s="1615"/>
      <c r="O1141" s="1635"/>
      <c r="P1141" s="1965">
        <v>36</v>
      </c>
      <c r="Q1141" s="1966" t="s">
        <v>2571</v>
      </c>
    </row>
    <row r="1142" spans="1:17" ht="12.75" customHeight="1">
      <c r="A1142" s="1962"/>
      <c r="B1142" s="1840"/>
      <c r="C1142" s="1850" t="s">
        <v>3667</v>
      </c>
      <c r="D1142" s="1934"/>
      <c r="E1142" s="1934">
        <v>1</v>
      </c>
      <c r="F1142" s="1905"/>
      <c r="G1142" s="1963" t="s">
        <v>2578</v>
      </c>
      <c r="H1142" s="1964" t="s">
        <v>2814</v>
      </c>
      <c r="I1142" s="2310"/>
      <c r="J1142" s="2534">
        <v>0</v>
      </c>
      <c r="K1142" s="1615">
        <v>0</v>
      </c>
      <c r="L1142" s="1637">
        <v>0</v>
      </c>
      <c r="M1142" s="1636"/>
      <c r="N1142" s="1615"/>
      <c r="O1142" s="1635"/>
      <c r="P1142" s="1965" t="s">
        <v>3668</v>
      </c>
      <c r="Q1142" s="1966" t="s">
        <v>2571</v>
      </c>
    </row>
    <row r="1143" spans="1:17" ht="12.75" customHeight="1">
      <c r="A1143" s="1962"/>
      <c r="B1143" s="1840"/>
      <c r="C1143" s="1850" t="s">
        <v>3669</v>
      </c>
      <c r="D1143" s="1934"/>
      <c r="E1143" s="1934">
        <v>1</v>
      </c>
      <c r="F1143" s="1905"/>
      <c r="G1143" s="1963" t="s">
        <v>2578</v>
      </c>
      <c r="H1143" s="1964" t="s">
        <v>2814</v>
      </c>
      <c r="I1143" s="2310"/>
      <c r="J1143" s="2534">
        <v>0</v>
      </c>
      <c r="K1143" s="1615">
        <v>0</v>
      </c>
      <c r="L1143" s="1637">
        <v>0</v>
      </c>
      <c r="M1143" s="1636"/>
      <c r="N1143" s="1615"/>
      <c r="O1143" s="1635"/>
      <c r="P1143" s="1965">
        <v>36</v>
      </c>
      <c r="Q1143" s="1966" t="s">
        <v>2571</v>
      </c>
    </row>
    <row r="1144" spans="1:17" ht="12.75" customHeight="1">
      <c r="A1144" s="1962"/>
      <c r="B1144" s="1840"/>
      <c r="C1144" s="1850" t="s">
        <v>3670</v>
      </c>
      <c r="D1144" s="1934"/>
      <c r="E1144" s="1934">
        <v>1</v>
      </c>
      <c r="F1144" s="1905"/>
      <c r="G1144" s="1963" t="s">
        <v>2578</v>
      </c>
      <c r="H1144" s="1964" t="s">
        <v>2814</v>
      </c>
      <c r="I1144" s="2310"/>
      <c r="J1144" s="2534">
        <v>0</v>
      </c>
      <c r="K1144" s="1615">
        <v>0</v>
      </c>
      <c r="L1144" s="1637">
        <v>0</v>
      </c>
      <c r="M1144" s="1636"/>
      <c r="N1144" s="1615"/>
      <c r="O1144" s="1635"/>
      <c r="P1144" s="1965" t="s">
        <v>3671</v>
      </c>
      <c r="Q1144" s="1966" t="s">
        <v>2571</v>
      </c>
    </row>
    <row r="1145" spans="1:17" ht="12.75" customHeight="1">
      <c r="A1145" s="1962"/>
      <c r="B1145" s="1840"/>
      <c r="C1145" s="1850" t="s">
        <v>4281</v>
      </c>
      <c r="D1145" s="1934"/>
      <c r="E1145" s="1934">
        <v>1</v>
      </c>
      <c r="F1145" s="1905"/>
      <c r="G1145" s="1963" t="s">
        <v>2578</v>
      </c>
      <c r="H1145" s="1964" t="s">
        <v>2814</v>
      </c>
      <c r="I1145" s="2310"/>
      <c r="J1145" s="2534"/>
      <c r="K1145" s="1615"/>
      <c r="L1145" s="1637"/>
      <c r="M1145" s="1636">
        <v>10000000</v>
      </c>
      <c r="N1145" s="1615">
        <v>16000000</v>
      </c>
      <c r="O1145" s="1635"/>
      <c r="P1145" s="1965" t="s">
        <v>4282</v>
      </c>
      <c r="Q1145" s="1966" t="s">
        <v>2587</v>
      </c>
    </row>
    <row r="1146" spans="1:17" ht="12.75" customHeight="1">
      <c r="A1146" s="1962"/>
      <c r="B1146" s="1840"/>
      <c r="C1146" s="1850" t="s">
        <v>4283</v>
      </c>
      <c r="D1146" s="1934"/>
      <c r="E1146" s="1934">
        <v>1</v>
      </c>
      <c r="F1146" s="1905"/>
      <c r="G1146" s="1963" t="s">
        <v>2578</v>
      </c>
      <c r="H1146" s="1964" t="s">
        <v>2814</v>
      </c>
      <c r="I1146" s="2310"/>
      <c r="J1146" s="2534"/>
      <c r="K1146" s="1615"/>
      <c r="L1146" s="1637"/>
      <c r="M1146" s="1636">
        <v>1000000</v>
      </c>
      <c r="N1146" s="1615"/>
      <c r="O1146" s="1635"/>
      <c r="P1146" s="1965" t="s">
        <v>2566</v>
      </c>
      <c r="Q1146" s="1966" t="s">
        <v>2587</v>
      </c>
    </row>
    <row r="1147" spans="1:17" ht="12.75" customHeight="1">
      <c r="A1147" s="1962"/>
      <c r="B1147" s="1840"/>
      <c r="C1147" s="1850" t="s">
        <v>4284</v>
      </c>
      <c r="D1147" s="1934"/>
      <c r="E1147" s="1934">
        <v>1</v>
      </c>
      <c r="F1147" s="1905"/>
      <c r="G1147" s="1963" t="s">
        <v>2578</v>
      </c>
      <c r="H1147" s="1964" t="s">
        <v>2814</v>
      </c>
      <c r="I1147" s="2310"/>
      <c r="J1147" s="2534"/>
      <c r="K1147" s="1615"/>
      <c r="L1147" s="1637"/>
      <c r="M1147" s="1636">
        <v>1500000</v>
      </c>
      <c r="N1147" s="1615"/>
      <c r="O1147" s="1635"/>
      <c r="P1147" s="1965" t="s">
        <v>2566</v>
      </c>
      <c r="Q1147" s="1966" t="s">
        <v>2571</v>
      </c>
    </row>
    <row r="1148" spans="1:17" ht="12.75" customHeight="1">
      <c r="A1148" s="1962"/>
      <c r="B1148" s="1840"/>
      <c r="C1148" s="1850" t="s">
        <v>4285</v>
      </c>
      <c r="D1148" s="1934"/>
      <c r="E1148" s="1934">
        <v>1</v>
      </c>
      <c r="F1148" s="1905"/>
      <c r="G1148" s="1963" t="s">
        <v>2578</v>
      </c>
      <c r="H1148" s="1964" t="s">
        <v>2814</v>
      </c>
      <c r="I1148" s="2310"/>
      <c r="J1148" s="2534"/>
      <c r="K1148" s="1615"/>
      <c r="L1148" s="1637"/>
      <c r="M1148" s="1636">
        <v>2000000</v>
      </c>
      <c r="N1148" s="1615"/>
      <c r="O1148" s="1635"/>
      <c r="P1148" s="1965">
        <v>1</v>
      </c>
      <c r="Q1148" s="1966" t="s">
        <v>2587</v>
      </c>
    </row>
    <row r="1149" spans="1:17" ht="12.75" customHeight="1">
      <c r="A1149" s="1962"/>
      <c r="B1149" s="1840"/>
      <c r="C1149" s="1850"/>
      <c r="D1149" s="1934"/>
      <c r="E1149" s="1934"/>
      <c r="F1149" s="1905"/>
      <c r="G1149" s="1963"/>
      <c r="H1149" s="1964"/>
      <c r="I1149" s="2310"/>
      <c r="J1149" s="2534"/>
      <c r="K1149" s="1615"/>
      <c r="L1149" s="1637"/>
      <c r="M1149" s="1636"/>
      <c r="N1149" s="1615"/>
      <c r="O1149" s="1635"/>
      <c r="P1149" s="1965"/>
      <c r="Q1149" s="1966"/>
    </row>
    <row r="1150" spans="1:17" ht="12.75" customHeight="1">
      <c r="A1150" s="1962"/>
      <c r="B1150" s="1840"/>
      <c r="C1150" s="1850"/>
      <c r="D1150" s="1934"/>
      <c r="E1150" s="1934"/>
      <c r="F1150" s="1905"/>
      <c r="G1150" s="1963"/>
      <c r="H1150" s="1964"/>
      <c r="I1150" s="2310"/>
      <c r="J1150" s="2534"/>
      <c r="K1150" s="1615"/>
      <c r="L1150" s="1637"/>
      <c r="M1150" s="1636"/>
      <c r="N1150" s="1615"/>
      <c r="O1150" s="1635"/>
      <c r="P1150" s="1965"/>
      <c r="Q1150" s="1966"/>
    </row>
    <row r="1151" spans="1:17" ht="12.75" customHeight="1">
      <c r="A1151" s="1962"/>
      <c r="B1151" s="1840"/>
      <c r="C1151" s="1850"/>
      <c r="D1151" s="1934"/>
      <c r="E1151" s="1934"/>
      <c r="F1151" s="1905"/>
      <c r="G1151" s="1963"/>
      <c r="H1151" s="1964"/>
      <c r="I1151" s="2310"/>
      <c r="J1151" s="2534"/>
      <c r="K1151" s="1615"/>
      <c r="L1151" s="1637"/>
      <c r="M1151" s="1636"/>
      <c r="N1151" s="1615"/>
      <c r="O1151" s="1635"/>
      <c r="P1151" s="1965"/>
      <c r="Q1151" s="1966"/>
    </row>
    <row r="1152" spans="1:17" ht="12.75" customHeight="1">
      <c r="A1152" s="1962"/>
      <c r="B1152" s="1840"/>
      <c r="C1152" s="1850"/>
      <c r="D1152" s="1934"/>
      <c r="E1152" s="1934"/>
      <c r="F1152" s="1905"/>
      <c r="G1152" s="1963"/>
      <c r="H1152" s="1964"/>
      <c r="I1152" s="2310"/>
      <c r="J1152" s="2534"/>
      <c r="K1152" s="1615"/>
      <c r="L1152" s="1637"/>
      <c r="M1152" s="1636"/>
      <c r="N1152" s="1615"/>
      <c r="O1152" s="1635"/>
      <c r="P1152" s="1965"/>
      <c r="Q1152" s="1966"/>
    </row>
    <row r="1153" spans="1:17" ht="12.75" customHeight="1">
      <c r="A1153" s="1962"/>
      <c r="B1153" s="1840"/>
      <c r="C1153" s="1850"/>
      <c r="D1153" s="1934"/>
      <c r="E1153" s="1934"/>
      <c r="F1153" s="1905"/>
      <c r="G1153" s="1963"/>
      <c r="H1153" s="1964"/>
      <c r="I1153" s="2310"/>
      <c r="J1153" s="2534"/>
      <c r="K1153" s="1615"/>
      <c r="L1153" s="1637"/>
      <c r="M1153" s="1636"/>
      <c r="N1153" s="1615"/>
      <c r="O1153" s="1635"/>
      <c r="P1153" s="1965"/>
      <c r="Q1153" s="1966"/>
    </row>
    <row r="1154" spans="1:17" ht="12.75" customHeight="1">
      <c r="A1154" s="1962" t="s">
        <v>3672</v>
      </c>
      <c r="B1154" s="1840"/>
      <c r="C1154" s="1850" t="s">
        <v>3673</v>
      </c>
      <c r="D1154" s="1934"/>
      <c r="E1154" s="1934">
        <v>1</v>
      </c>
      <c r="F1154" s="1905"/>
      <c r="G1154" s="1963" t="s">
        <v>2578</v>
      </c>
      <c r="H1154" s="1964" t="s">
        <v>2894</v>
      </c>
      <c r="I1154" s="2310"/>
      <c r="J1154" s="2534">
        <v>0</v>
      </c>
      <c r="K1154" s="1615">
        <v>0</v>
      </c>
      <c r="L1154" s="1637">
        <v>8200000</v>
      </c>
      <c r="M1154" s="1636">
        <v>10000000</v>
      </c>
      <c r="N1154" s="1615"/>
      <c r="O1154" s="1635"/>
      <c r="P1154" s="1965" t="s">
        <v>3674</v>
      </c>
      <c r="Q1154" s="1966" t="s">
        <v>2587</v>
      </c>
    </row>
    <row r="1155" spans="1:17" ht="12.75" customHeight="1">
      <c r="A1155" s="1962"/>
      <c r="B1155" s="1840"/>
      <c r="C1155" s="1850" t="s">
        <v>3673</v>
      </c>
      <c r="D1155" s="1934"/>
      <c r="E1155" s="1934">
        <v>1</v>
      </c>
      <c r="F1155" s="1905"/>
      <c r="G1155" s="1963" t="s">
        <v>2578</v>
      </c>
      <c r="H1155" s="1964" t="s">
        <v>2894</v>
      </c>
      <c r="I1155" s="2310"/>
      <c r="J1155" s="2534"/>
      <c r="K1155" s="1615"/>
      <c r="L1155" s="1637"/>
      <c r="M1155" s="1636"/>
      <c r="N1155" s="1615">
        <v>15000000</v>
      </c>
      <c r="O1155" s="1635">
        <v>20000000</v>
      </c>
      <c r="P1155" s="1965" t="s">
        <v>2566</v>
      </c>
      <c r="Q1155" s="1966" t="s">
        <v>2587</v>
      </c>
    </row>
    <row r="1156" spans="1:17" ht="12.75" customHeight="1">
      <c r="A1156" s="1962"/>
      <c r="B1156" s="1840"/>
      <c r="C1156" s="1850" t="s">
        <v>3988</v>
      </c>
      <c r="D1156" s="1934"/>
      <c r="E1156" s="1934"/>
      <c r="F1156" s="1905"/>
      <c r="G1156" s="1963" t="s">
        <v>2578</v>
      </c>
      <c r="H1156" s="1964" t="s">
        <v>2894</v>
      </c>
      <c r="I1156" s="2310"/>
      <c r="J1156" s="2534">
        <v>0</v>
      </c>
      <c r="K1156" s="1615">
        <v>0</v>
      </c>
      <c r="L1156" s="1637">
        <v>4000000</v>
      </c>
      <c r="M1156" s="1636"/>
      <c r="N1156" s="1615"/>
      <c r="O1156" s="1635"/>
      <c r="P1156" s="1965" t="s">
        <v>3989</v>
      </c>
      <c r="Q1156" s="1966" t="s">
        <v>2571</v>
      </c>
    </row>
    <row r="1157" spans="1:17" ht="12.75" customHeight="1">
      <c r="A1157" s="1962"/>
      <c r="B1157" s="1840"/>
      <c r="C1157" s="1850" t="s">
        <v>3675</v>
      </c>
      <c r="D1157" s="1934"/>
      <c r="E1157" s="1934"/>
      <c r="F1157" s="1905"/>
      <c r="G1157" s="1963" t="s">
        <v>2578</v>
      </c>
      <c r="H1157" s="1964" t="s">
        <v>2894</v>
      </c>
      <c r="I1157" s="2310"/>
      <c r="J1157" s="2534">
        <v>0</v>
      </c>
      <c r="K1157" s="1615">
        <v>0</v>
      </c>
      <c r="L1157" s="1637">
        <v>0</v>
      </c>
      <c r="M1157" s="1636"/>
      <c r="N1157" s="1615"/>
      <c r="O1157" s="1635"/>
      <c r="P1157" s="1965"/>
      <c r="Q1157" s="1966" t="s">
        <v>2571</v>
      </c>
    </row>
    <row r="1158" spans="1:17" ht="12.75" customHeight="1">
      <c r="A1158" s="1962"/>
      <c r="B1158" s="1840"/>
      <c r="C1158" s="1850" t="s">
        <v>4286</v>
      </c>
      <c r="D1158" s="1934"/>
      <c r="E1158" s="1934">
        <v>1</v>
      </c>
      <c r="F1158" s="1905"/>
      <c r="G1158" s="1963" t="s">
        <v>2578</v>
      </c>
      <c r="H1158" s="1964" t="s">
        <v>2894</v>
      </c>
      <c r="I1158" s="2310"/>
      <c r="J1158" s="2534">
        <v>0</v>
      </c>
      <c r="K1158" s="1615">
        <v>0</v>
      </c>
      <c r="L1158" s="1637">
        <v>0</v>
      </c>
      <c r="M1158" s="1636">
        <v>5000000</v>
      </c>
      <c r="N1158" s="1615"/>
      <c r="O1158" s="1635"/>
      <c r="P1158" s="1965">
        <v>16</v>
      </c>
      <c r="Q1158" s="1966" t="s">
        <v>2571</v>
      </c>
    </row>
    <row r="1159" spans="1:17" ht="12.75" customHeight="1">
      <c r="A1159" s="1962"/>
      <c r="B1159" s="1840"/>
      <c r="C1159" s="1850" t="s">
        <v>3676</v>
      </c>
      <c r="D1159" s="1934"/>
      <c r="E1159" s="1934">
        <v>1</v>
      </c>
      <c r="F1159" s="1905"/>
      <c r="G1159" s="1963" t="s">
        <v>2578</v>
      </c>
      <c r="H1159" s="1964" t="s">
        <v>2894</v>
      </c>
      <c r="I1159" s="2310"/>
      <c r="J1159" s="2534">
        <v>0</v>
      </c>
      <c r="K1159" s="1615">
        <v>0</v>
      </c>
      <c r="L1159" s="1637">
        <v>0</v>
      </c>
      <c r="M1159" s="1636"/>
      <c r="N1159" s="1615"/>
      <c r="O1159" s="1635"/>
      <c r="P1159" s="1965"/>
      <c r="Q1159" s="1966" t="s">
        <v>2571</v>
      </c>
    </row>
    <row r="1160" spans="1:17" ht="12.75" customHeight="1">
      <c r="A1160" s="1962"/>
      <c r="B1160" s="1840"/>
      <c r="C1160" s="1850" t="s">
        <v>3677</v>
      </c>
      <c r="D1160" s="1934"/>
      <c r="E1160" s="1934">
        <v>1</v>
      </c>
      <c r="F1160" s="1905"/>
      <c r="G1160" s="1963" t="s">
        <v>2578</v>
      </c>
      <c r="H1160" s="1964" t="s">
        <v>2894</v>
      </c>
      <c r="I1160" s="2310"/>
      <c r="J1160" s="2534">
        <v>0</v>
      </c>
      <c r="K1160" s="1615">
        <v>0</v>
      </c>
      <c r="L1160" s="1637">
        <v>8000000</v>
      </c>
      <c r="M1160" s="1636">
        <v>2000000</v>
      </c>
      <c r="N1160" s="1615">
        <v>2000000</v>
      </c>
      <c r="O1160" s="1635"/>
      <c r="P1160" s="1965"/>
      <c r="Q1160" s="1966" t="s">
        <v>2587</v>
      </c>
    </row>
    <row r="1161" spans="1:17" ht="12.75" customHeight="1">
      <c r="A1161" s="1962"/>
      <c r="B1161" s="1840"/>
      <c r="C1161" s="1850" t="s">
        <v>3678</v>
      </c>
      <c r="D1161" s="1934"/>
      <c r="E1161" s="1934">
        <v>1</v>
      </c>
      <c r="F1161" s="1905"/>
      <c r="G1161" s="1963" t="s">
        <v>2578</v>
      </c>
      <c r="H1161" s="1964" t="s">
        <v>2894</v>
      </c>
      <c r="I1161" s="2310"/>
      <c r="J1161" s="2534">
        <v>0</v>
      </c>
      <c r="K1161" s="1615">
        <v>0</v>
      </c>
      <c r="L1161" s="1637">
        <v>0</v>
      </c>
      <c r="M1161" s="1636"/>
      <c r="N1161" s="1615"/>
      <c r="O1161" s="1635"/>
      <c r="P1161" s="1965">
        <v>12</v>
      </c>
      <c r="Q1161" s="1966" t="s">
        <v>2571</v>
      </c>
    </row>
    <row r="1162" spans="1:17" ht="12.75" customHeight="1">
      <c r="A1162" s="1962"/>
      <c r="B1162" s="1840"/>
      <c r="C1162" s="1850" t="s">
        <v>3679</v>
      </c>
      <c r="D1162" s="1934"/>
      <c r="E1162" s="1934">
        <v>1</v>
      </c>
      <c r="F1162" s="1905"/>
      <c r="G1162" s="1963" t="s">
        <v>2573</v>
      </c>
      <c r="H1162" s="1964" t="s">
        <v>3086</v>
      </c>
      <c r="I1162" s="2310"/>
      <c r="J1162" s="2534">
        <v>0</v>
      </c>
      <c r="K1162" s="1615">
        <v>0</v>
      </c>
      <c r="L1162" s="1637">
        <v>100000</v>
      </c>
      <c r="M1162" s="1636"/>
      <c r="N1162" s="1615"/>
      <c r="O1162" s="1635"/>
      <c r="P1162" s="1965" t="s">
        <v>2566</v>
      </c>
      <c r="Q1162" s="1966" t="s">
        <v>2587</v>
      </c>
    </row>
    <row r="1163" spans="1:17" ht="12.75" customHeight="1">
      <c r="A1163" s="1962"/>
      <c r="B1163" s="1840"/>
      <c r="C1163" s="1850" t="s">
        <v>3680</v>
      </c>
      <c r="D1163" s="1934"/>
      <c r="E1163" s="1934">
        <v>1</v>
      </c>
      <c r="F1163" s="1905"/>
      <c r="G1163" s="1963" t="s">
        <v>2578</v>
      </c>
      <c r="H1163" s="1964" t="s">
        <v>2894</v>
      </c>
      <c r="I1163" s="2310"/>
      <c r="J1163" s="2534">
        <v>0</v>
      </c>
      <c r="K1163" s="1615">
        <v>0</v>
      </c>
      <c r="L1163" s="1637">
        <v>700000</v>
      </c>
      <c r="M1163" s="1636"/>
      <c r="N1163" s="1615"/>
      <c r="O1163" s="1635"/>
      <c r="P1163" s="1965">
        <v>11</v>
      </c>
      <c r="Q1163" s="1966" t="s">
        <v>2587</v>
      </c>
    </row>
    <row r="1164" spans="1:17" ht="12.75" customHeight="1">
      <c r="A1164" s="1962"/>
      <c r="B1164" s="1840"/>
      <c r="C1164" s="1850" t="s">
        <v>3681</v>
      </c>
      <c r="D1164" s="1934"/>
      <c r="E1164" s="1934">
        <v>1</v>
      </c>
      <c r="F1164" s="1905"/>
      <c r="G1164" s="1963" t="s">
        <v>2578</v>
      </c>
      <c r="H1164" s="1964" t="s">
        <v>2894</v>
      </c>
      <c r="I1164" s="2310"/>
      <c r="J1164" s="2534">
        <v>0</v>
      </c>
      <c r="K1164" s="1615">
        <v>0</v>
      </c>
      <c r="L1164" s="1637">
        <v>250000</v>
      </c>
      <c r="M1164" s="1636"/>
      <c r="N1164" s="1615"/>
      <c r="O1164" s="1635"/>
      <c r="P1164" s="1965" t="s">
        <v>2566</v>
      </c>
      <c r="Q1164" s="1966" t="s">
        <v>2587</v>
      </c>
    </row>
    <row r="1165" spans="1:17" ht="12.75" customHeight="1">
      <c r="A1165" s="1962"/>
      <c r="B1165" s="1840"/>
      <c r="C1165" s="1850" t="s">
        <v>3682</v>
      </c>
      <c r="D1165" s="1934"/>
      <c r="E1165" s="1934">
        <v>1</v>
      </c>
      <c r="F1165" s="1905"/>
      <c r="G1165" s="1963" t="s">
        <v>2578</v>
      </c>
      <c r="H1165" s="1964" t="s">
        <v>2894</v>
      </c>
      <c r="I1165" s="2310"/>
      <c r="J1165" s="2534">
        <v>0</v>
      </c>
      <c r="K1165" s="1615">
        <v>0</v>
      </c>
      <c r="L1165" s="1637">
        <v>20000</v>
      </c>
      <c r="M1165" s="1636">
        <v>20000</v>
      </c>
      <c r="N1165" s="1615">
        <v>20000</v>
      </c>
      <c r="O1165" s="1635">
        <v>20000</v>
      </c>
      <c r="P1165" s="1965">
        <v>8</v>
      </c>
      <c r="Q1165" s="1966" t="s">
        <v>2587</v>
      </c>
    </row>
    <row r="1166" spans="1:17" ht="12.75" customHeight="1">
      <c r="A1166" s="1962"/>
      <c r="B1166" s="1840"/>
      <c r="C1166" s="1850" t="s">
        <v>3683</v>
      </c>
      <c r="D1166" s="1934"/>
      <c r="E1166" s="1934">
        <v>1</v>
      </c>
      <c r="F1166" s="1905"/>
      <c r="G1166" s="1963" t="s">
        <v>2578</v>
      </c>
      <c r="H1166" s="1964" t="s">
        <v>2894</v>
      </c>
      <c r="I1166" s="2310"/>
      <c r="J1166" s="2534">
        <v>0</v>
      </c>
      <c r="K1166" s="1615">
        <v>0</v>
      </c>
      <c r="L1166" s="1637">
        <v>20000</v>
      </c>
      <c r="M1166" s="1636">
        <v>20000</v>
      </c>
      <c r="N1166" s="1615">
        <v>20000</v>
      </c>
      <c r="O1166" s="1635">
        <v>20000</v>
      </c>
      <c r="P1166" s="1965">
        <v>12</v>
      </c>
      <c r="Q1166" s="1966" t="s">
        <v>2587</v>
      </c>
    </row>
    <row r="1167" spans="1:17" ht="12.75" customHeight="1">
      <c r="A1167" s="1962"/>
      <c r="B1167" s="1840"/>
      <c r="C1167" s="1850" t="s">
        <v>3684</v>
      </c>
      <c r="D1167" s="1934"/>
      <c r="E1167" s="1934">
        <v>1</v>
      </c>
      <c r="F1167" s="1905"/>
      <c r="G1167" s="1963" t="s">
        <v>2578</v>
      </c>
      <c r="H1167" s="1964" t="s">
        <v>2894</v>
      </c>
      <c r="I1167" s="2310"/>
      <c r="J1167" s="2534">
        <v>0</v>
      </c>
      <c r="K1167" s="1615">
        <v>0</v>
      </c>
      <c r="L1167" s="1637">
        <v>200000</v>
      </c>
      <c r="M1167" s="1636">
        <v>300000</v>
      </c>
      <c r="N1167" s="1615">
        <v>350000</v>
      </c>
      <c r="O1167" s="1635">
        <v>400000</v>
      </c>
      <c r="P1167" s="1965" t="s">
        <v>4287</v>
      </c>
      <c r="Q1167" s="1966" t="s">
        <v>2571</v>
      </c>
    </row>
    <row r="1168" spans="1:17" ht="12.75" customHeight="1">
      <c r="A1168" s="1962"/>
      <c r="B1168" s="1840"/>
      <c r="C1168" s="1850" t="s">
        <v>3686</v>
      </c>
      <c r="D1168" s="1934"/>
      <c r="E1168" s="1934">
        <v>1</v>
      </c>
      <c r="F1168" s="1905"/>
      <c r="G1168" s="1963" t="s">
        <v>2578</v>
      </c>
      <c r="H1168" s="1964" t="s">
        <v>2894</v>
      </c>
      <c r="I1168" s="2310"/>
      <c r="J1168" s="2534">
        <v>0</v>
      </c>
      <c r="K1168" s="1615">
        <v>0</v>
      </c>
      <c r="L1168" s="1637">
        <v>100000</v>
      </c>
      <c r="M1168" s="1636">
        <v>200000</v>
      </c>
      <c r="N1168" s="1615">
        <v>200000</v>
      </c>
      <c r="O1168" s="1635">
        <v>200000</v>
      </c>
      <c r="P1168" s="1965" t="s">
        <v>2566</v>
      </c>
      <c r="Q1168" s="1966" t="s">
        <v>2587</v>
      </c>
    </row>
    <row r="1169" spans="1:17" ht="12.75" customHeight="1">
      <c r="A1169" s="1962"/>
      <c r="B1169" s="1840"/>
      <c r="C1169" s="1850" t="s">
        <v>3687</v>
      </c>
      <c r="D1169" s="1934"/>
      <c r="E1169" s="1934">
        <v>1</v>
      </c>
      <c r="F1169" s="1905"/>
      <c r="G1169" s="1963" t="s">
        <v>2578</v>
      </c>
      <c r="H1169" s="1964" t="s">
        <v>2894</v>
      </c>
      <c r="I1169" s="2310"/>
      <c r="J1169" s="2534">
        <v>0</v>
      </c>
      <c r="K1169" s="1615">
        <v>0</v>
      </c>
      <c r="L1169" s="1637">
        <v>150000</v>
      </c>
      <c r="M1169" s="1636">
        <v>500000</v>
      </c>
      <c r="N1169" s="1615">
        <v>550000</v>
      </c>
      <c r="O1169" s="1635">
        <v>600000</v>
      </c>
      <c r="P1169" s="1965" t="s">
        <v>2566</v>
      </c>
      <c r="Q1169" s="1966" t="s">
        <v>2571</v>
      </c>
    </row>
    <row r="1170" spans="1:17" ht="12.75" customHeight="1">
      <c r="A1170" s="1962"/>
      <c r="B1170" s="1840"/>
      <c r="C1170" s="1850" t="s">
        <v>3688</v>
      </c>
      <c r="D1170" s="1934"/>
      <c r="E1170" s="1934">
        <v>1</v>
      </c>
      <c r="F1170" s="1905"/>
      <c r="G1170" s="1963" t="s">
        <v>2564</v>
      </c>
      <c r="H1170" s="1964" t="s">
        <v>2592</v>
      </c>
      <c r="I1170" s="2310"/>
      <c r="J1170" s="2534">
        <v>0</v>
      </c>
      <c r="K1170" s="1615">
        <v>0</v>
      </c>
      <c r="L1170" s="1637">
        <v>40000</v>
      </c>
      <c r="M1170" s="1636"/>
      <c r="N1170" s="1615"/>
      <c r="O1170" s="1635"/>
      <c r="P1170" s="1965" t="s">
        <v>2566</v>
      </c>
      <c r="Q1170" s="1966" t="s">
        <v>2587</v>
      </c>
    </row>
    <row r="1171" spans="1:17" ht="12.75" customHeight="1">
      <c r="A1171" s="1962"/>
      <c r="B1171" s="1840"/>
      <c r="C1171" s="1850" t="s">
        <v>3093</v>
      </c>
      <c r="D1171" s="1934"/>
      <c r="E1171" s="1934">
        <v>1</v>
      </c>
      <c r="F1171" s="1905"/>
      <c r="G1171" s="1963" t="s">
        <v>2573</v>
      </c>
      <c r="H1171" s="1964" t="s">
        <v>3689</v>
      </c>
      <c r="I1171" s="2310"/>
      <c r="J1171" s="2534">
        <v>0</v>
      </c>
      <c r="K1171" s="1615">
        <v>0</v>
      </c>
      <c r="L1171" s="1637">
        <v>100000</v>
      </c>
      <c r="M1171" s="1636"/>
      <c r="N1171" s="1615">
        <v>200000</v>
      </c>
      <c r="O1171" s="1635">
        <v>300000</v>
      </c>
      <c r="P1171" s="1965" t="s">
        <v>2566</v>
      </c>
      <c r="Q1171" s="1966" t="s">
        <v>2571</v>
      </c>
    </row>
    <row r="1172" spans="1:17" ht="12.75" customHeight="1">
      <c r="A1172" s="1962"/>
      <c r="B1172" s="1840"/>
      <c r="C1172" s="1850" t="s">
        <v>3690</v>
      </c>
      <c r="D1172" s="1934"/>
      <c r="E1172" s="1934">
        <v>1</v>
      </c>
      <c r="F1172" s="1905"/>
      <c r="G1172" s="1963" t="s">
        <v>2569</v>
      </c>
      <c r="H1172" s="1964" t="s">
        <v>2697</v>
      </c>
      <c r="I1172" s="2310"/>
      <c r="J1172" s="2534">
        <v>0</v>
      </c>
      <c r="K1172" s="1615">
        <v>0</v>
      </c>
      <c r="L1172" s="1637">
        <v>200000</v>
      </c>
      <c r="M1172" s="1636">
        <v>200000</v>
      </c>
      <c r="N1172" s="1615">
        <v>200000</v>
      </c>
      <c r="O1172" s="1635">
        <v>200000</v>
      </c>
      <c r="P1172" s="1965" t="s">
        <v>2566</v>
      </c>
      <c r="Q1172" s="1966" t="s">
        <v>2587</v>
      </c>
    </row>
    <row r="1173" spans="1:17" ht="12.75" customHeight="1">
      <c r="A1173" s="1962"/>
      <c r="B1173" s="1840"/>
      <c r="C1173" s="1850" t="s">
        <v>3691</v>
      </c>
      <c r="D1173" s="1934"/>
      <c r="E1173" s="1934">
        <v>1</v>
      </c>
      <c r="F1173" s="1905"/>
      <c r="G1173" s="1963" t="s">
        <v>2578</v>
      </c>
      <c r="H1173" s="1964" t="s">
        <v>2894</v>
      </c>
      <c r="I1173" s="2310"/>
      <c r="J1173" s="2534">
        <v>0</v>
      </c>
      <c r="K1173" s="1615">
        <v>0</v>
      </c>
      <c r="L1173" s="1637">
        <v>100000</v>
      </c>
      <c r="M1173" s="1636">
        <v>200000</v>
      </c>
      <c r="N1173" s="1615">
        <v>200000</v>
      </c>
      <c r="O1173" s="1635">
        <v>200000</v>
      </c>
      <c r="P1173" s="1965" t="s">
        <v>2566</v>
      </c>
      <c r="Q1173" s="1966" t="s">
        <v>2587</v>
      </c>
    </row>
    <row r="1174" spans="1:17" ht="12.75" customHeight="1">
      <c r="A1174" s="1962"/>
      <c r="B1174" s="1840"/>
      <c r="C1174" s="1850" t="s">
        <v>3692</v>
      </c>
      <c r="D1174" s="1934"/>
      <c r="E1174" s="1934">
        <v>1</v>
      </c>
      <c r="F1174" s="1905"/>
      <c r="G1174" s="1963" t="s">
        <v>2573</v>
      </c>
      <c r="H1174" s="1964" t="s">
        <v>3693</v>
      </c>
      <c r="I1174" s="2310"/>
      <c r="J1174" s="2534">
        <v>0</v>
      </c>
      <c r="K1174" s="1615">
        <v>0</v>
      </c>
      <c r="L1174" s="1637">
        <v>50000</v>
      </c>
      <c r="M1174" s="1636">
        <v>55000</v>
      </c>
      <c r="N1174" s="1615">
        <v>55000</v>
      </c>
      <c r="O1174" s="1635">
        <v>55000</v>
      </c>
      <c r="P1174" s="1965" t="s">
        <v>2566</v>
      </c>
      <c r="Q1174" s="1966" t="s">
        <v>2587</v>
      </c>
    </row>
    <row r="1175" spans="1:17" ht="12.75" customHeight="1">
      <c r="A1175" s="1962"/>
      <c r="B1175" s="1840"/>
      <c r="C1175" s="1850" t="s">
        <v>3694</v>
      </c>
      <c r="D1175" s="1934"/>
      <c r="E1175" s="1934">
        <v>1</v>
      </c>
      <c r="F1175" s="1905"/>
      <c r="G1175" s="1963" t="s">
        <v>2578</v>
      </c>
      <c r="H1175" s="1964" t="s">
        <v>3695</v>
      </c>
      <c r="I1175" s="2310"/>
      <c r="J1175" s="2534">
        <v>0</v>
      </c>
      <c r="K1175" s="1615">
        <v>0</v>
      </c>
      <c r="L1175" s="1637">
        <v>50000</v>
      </c>
      <c r="M1175" s="1636">
        <v>50000</v>
      </c>
      <c r="N1175" s="1615">
        <v>100000</v>
      </c>
      <c r="O1175" s="1635">
        <v>100000</v>
      </c>
      <c r="P1175" s="1965" t="s">
        <v>2566</v>
      </c>
      <c r="Q1175" s="1966" t="s">
        <v>2587</v>
      </c>
    </row>
    <row r="1176" spans="1:17" ht="12.75" customHeight="1">
      <c r="A1176" s="1962"/>
      <c r="B1176" s="1840"/>
      <c r="C1176" s="1850" t="s">
        <v>4288</v>
      </c>
      <c r="D1176" s="1934"/>
      <c r="E1176" s="1934">
        <v>1</v>
      </c>
      <c r="F1176" s="1905"/>
      <c r="G1176" s="1963" t="s">
        <v>2578</v>
      </c>
      <c r="H1176" s="1964" t="s">
        <v>2894</v>
      </c>
      <c r="I1176" s="2310"/>
      <c r="J1176" s="2534">
        <v>0</v>
      </c>
      <c r="K1176" s="1615">
        <v>0</v>
      </c>
      <c r="L1176" s="1637">
        <v>10000000</v>
      </c>
      <c r="M1176" s="1636">
        <v>5000000</v>
      </c>
      <c r="N1176" s="1615">
        <v>5000000</v>
      </c>
      <c r="O1176" s="1635">
        <v>5000000</v>
      </c>
      <c r="P1176" s="1965">
        <v>17</v>
      </c>
      <c r="Q1176" s="1966" t="s">
        <v>2587</v>
      </c>
    </row>
    <row r="1177" spans="1:17" ht="12.75" customHeight="1">
      <c r="A1177" s="1962"/>
      <c r="B1177" s="1840"/>
      <c r="C1177" s="1850" t="s">
        <v>3094</v>
      </c>
      <c r="D1177" s="1934"/>
      <c r="E1177" s="1934">
        <v>1</v>
      </c>
      <c r="F1177" s="1905"/>
      <c r="G1177" s="1963" t="s">
        <v>2578</v>
      </c>
      <c r="H1177" s="1964" t="s">
        <v>2894</v>
      </c>
      <c r="I1177" s="2310"/>
      <c r="J1177" s="2534">
        <v>0</v>
      </c>
      <c r="K1177" s="1615">
        <v>0</v>
      </c>
      <c r="L1177" s="1637">
        <v>2150000</v>
      </c>
      <c r="M1177" s="1636"/>
      <c r="N1177" s="1615"/>
      <c r="O1177" s="1635"/>
      <c r="P1177" s="1965" t="s">
        <v>2566</v>
      </c>
      <c r="Q1177" s="1966" t="s">
        <v>2587</v>
      </c>
    </row>
    <row r="1178" spans="1:17" ht="12.75" customHeight="1">
      <c r="A1178" s="1962"/>
      <c r="B1178" s="1840"/>
      <c r="C1178" s="1850" t="s">
        <v>3696</v>
      </c>
      <c r="D1178" s="1934"/>
      <c r="E1178" s="1934">
        <v>1</v>
      </c>
      <c r="F1178" s="1905"/>
      <c r="G1178" s="1963" t="s">
        <v>2578</v>
      </c>
      <c r="H1178" s="1964" t="s">
        <v>2894</v>
      </c>
      <c r="I1178" s="2310"/>
      <c r="J1178" s="2534">
        <v>0</v>
      </c>
      <c r="K1178" s="1615">
        <v>0</v>
      </c>
      <c r="L1178" s="1637">
        <v>5000000</v>
      </c>
      <c r="M1178" s="1636"/>
      <c r="N1178" s="1615"/>
      <c r="O1178" s="1635"/>
      <c r="P1178" s="1965"/>
      <c r="Q1178" s="1966" t="s">
        <v>2571</v>
      </c>
    </row>
    <row r="1179" spans="1:17" ht="12.75" customHeight="1">
      <c r="A1179" s="1962"/>
      <c r="B1179" s="1840"/>
      <c r="C1179" s="1850" t="s">
        <v>3113</v>
      </c>
      <c r="D1179" s="1934"/>
      <c r="E1179" s="1934">
        <v>1</v>
      </c>
      <c r="F1179" s="1905"/>
      <c r="G1179" s="1963" t="s">
        <v>2578</v>
      </c>
      <c r="H1179" s="1964" t="s">
        <v>2894</v>
      </c>
      <c r="I1179" s="2310"/>
      <c r="J1179" s="2534">
        <v>0</v>
      </c>
      <c r="K1179" s="1615">
        <v>0</v>
      </c>
      <c r="L1179" s="1637">
        <v>500000</v>
      </c>
      <c r="M1179" s="1636"/>
      <c r="N1179" s="1615"/>
      <c r="O1179" s="1635"/>
      <c r="P1179" s="1965"/>
      <c r="Q1179" s="1966" t="s">
        <v>2571</v>
      </c>
    </row>
    <row r="1180" spans="1:17" ht="12.75" customHeight="1">
      <c r="A1180" s="1962"/>
      <c r="B1180" s="1840"/>
      <c r="C1180" s="1850" t="s">
        <v>3111</v>
      </c>
      <c r="D1180" s="1934"/>
      <c r="E1180" s="1934">
        <v>1</v>
      </c>
      <c r="F1180" s="1905"/>
      <c r="G1180" s="1963" t="s">
        <v>2578</v>
      </c>
      <c r="H1180" s="1964" t="s">
        <v>2894</v>
      </c>
      <c r="I1180" s="2310"/>
      <c r="J1180" s="2534">
        <v>0</v>
      </c>
      <c r="K1180" s="1615">
        <v>0</v>
      </c>
      <c r="L1180" s="1637">
        <v>500000</v>
      </c>
      <c r="M1180" s="1636"/>
      <c r="N1180" s="1615"/>
      <c r="O1180" s="1635"/>
      <c r="P1180" s="1965"/>
      <c r="Q1180" s="1966" t="s">
        <v>2571</v>
      </c>
    </row>
    <row r="1181" spans="1:17" ht="12.75" customHeight="1">
      <c r="A1181" s="1962"/>
      <c r="B1181" s="1840"/>
      <c r="C1181" s="1850" t="s">
        <v>3697</v>
      </c>
      <c r="D1181" s="1934"/>
      <c r="E1181" s="1934">
        <v>1</v>
      </c>
      <c r="F1181" s="1905"/>
      <c r="G1181" s="1963" t="s">
        <v>2578</v>
      </c>
      <c r="H1181" s="1964" t="s">
        <v>2894</v>
      </c>
      <c r="I1181" s="2310"/>
      <c r="J1181" s="2534">
        <v>0</v>
      </c>
      <c r="K1181" s="1615">
        <v>0</v>
      </c>
      <c r="L1181" s="1637">
        <v>13500000</v>
      </c>
      <c r="M1181" s="1636"/>
      <c r="N1181" s="1615"/>
      <c r="O1181" s="1635"/>
      <c r="P1181" s="1965">
        <v>17</v>
      </c>
      <c r="Q1181" s="1966" t="s">
        <v>2571</v>
      </c>
    </row>
    <row r="1182" spans="1:17" ht="12.75" customHeight="1">
      <c r="A1182" s="1962"/>
      <c r="B1182" s="1840"/>
      <c r="C1182" s="1850" t="s">
        <v>2857</v>
      </c>
      <c r="D1182" s="1934"/>
      <c r="E1182" s="1934">
        <v>1</v>
      </c>
      <c r="F1182" s="1905"/>
      <c r="G1182" s="1963" t="s">
        <v>2578</v>
      </c>
      <c r="H1182" s="1964" t="s">
        <v>2894</v>
      </c>
      <c r="I1182" s="2310"/>
      <c r="J1182" s="2534">
        <v>0</v>
      </c>
      <c r="K1182" s="1615">
        <v>0</v>
      </c>
      <c r="L1182" s="1637">
        <v>200000</v>
      </c>
      <c r="M1182" s="1636">
        <v>200000</v>
      </c>
      <c r="N1182" s="1615">
        <v>200000</v>
      </c>
      <c r="O1182" s="1635">
        <v>200000</v>
      </c>
      <c r="P1182" s="1965" t="s">
        <v>2566</v>
      </c>
      <c r="Q1182" s="1966" t="s">
        <v>2587</v>
      </c>
    </row>
    <row r="1183" spans="1:17" ht="12.75" customHeight="1">
      <c r="A1183" s="1962"/>
      <c r="B1183" s="1840"/>
      <c r="C1183" s="1850" t="s">
        <v>4289</v>
      </c>
      <c r="D1183" s="1934"/>
      <c r="E1183" s="1934">
        <v>1</v>
      </c>
      <c r="F1183" s="1905"/>
      <c r="G1183" s="1963" t="s">
        <v>2573</v>
      </c>
      <c r="H1183" s="1964" t="s">
        <v>3698</v>
      </c>
      <c r="I1183" s="2310"/>
      <c r="J1183" s="2534">
        <v>0</v>
      </c>
      <c r="K1183" s="1615">
        <v>0</v>
      </c>
      <c r="L1183" s="1637">
        <v>5000</v>
      </c>
      <c r="M1183" s="1636">
        <v>5000</v>
      </c>
      <c r="N1183" s="1615">
        <v>5000</v>
      </c>
      <c r="O1183" s="1635">
        <v>5000</v>
      </c>
      <c r="P1183" s="1965" t="s">
        <v>2566</v>
      </c>
      <c r="Q1183" s="1966" t="s">
        <v>2587</v>
      </c>
    </row>
    <row r="1184" spans="1:17" ht="12.75" customHeight="1">
      <c r="A1184" s="1962"/>
      <c r="B1184" s="1840"/>
      <c r="C1184" s="1850" t="s">
        <v>3103</v>
      </c>
      <c r="D1184" s="1934"/>
      <c r="E1184" s="1934">
        <v>1</v>
      </c>
      <c r="F1184" s="1905"/>
      <c r="G1184" s="1963" t="s">
        <v>2578</v>
      </c>
      <c r="H1184" s="1964" t="s">
        <v>2894</v>
      </c>
      <c r="I1184" s="2310"/>
      <c r="J1184" s="2534">
        <v>0</v>
      </c>
      <c r="K1184" s="1615">
        <v>0</v>
      </c>
      <c r="L1184" s="1637">
        <v>500000</v>
      </c>
      <c r="M1184" s="1636">
        <v>500000</v>
      </c>
      <c r="N1184" s="1615">
        <v>500000</v>
      </c>
      <c r="O1184" s="1635">
        <v>500000</v>
      </c>
      <c r="P1184" s="1965" t="s">
        <v>2566</v>
      </c>
      <c r="Q1184" s="1966" t="s">
        <v>2587</v>
      </c>
    </row>
    <row r="1185" spans="1:17" ht="12.75" customHeight="1">
      <c r="A1185" s="1962"/>
      <c r="B1185" s="1840"/>
      <c r="C1185" s="1850" t="s">
        <v>3699</v>
      </c>
      <c r="D1185" s="1934"/>
      <c r="E1185" s="1934">
        <v>1</v>
      </c>
      <c r="F1185" s="1905"/>
      <c r="G1185" s="1963" t="s">
        <v>2578</v>
      </c>
      <c r="H1185" s="1964" t="s">
        <v>2894</v>
      </c>
      <c r="I1185" s="2310"/>
      <c r="J1185" s="2534">
        <v>0</v>
      </c>
      <c r="K1185" s="1615">
        <v>0</v>
      </c>
      <c r="L1185" s="1637">
        <v>200000</v>
      </c>
      <c r="M1185" s="1636">
        <v>60000</v>
      </c>
      <c r="N1185" s="1615">
        <v>80000</v>
      </c>
      <c r="O1185" s="1635">
        <v>100000</v>
      </c>
      <c r="P1185" s="1965" t="s">
        <v>2566</v>
      </c>
      <c r="Q1185" s="1966" t="s">
        <v>2587</v>
      </c>
    </row>
    <row r="1186" spans="1:17" ht="12.75" customHeight="1">
      <c r="A1186" s="1962"/>
      <c r="B1186" s="1840"/>
      <c r="C1186" s="1850" t="s">
        <v>3700</v>
      </c>
      <c r="D1186" s="1934"/>
      <c r="E1186" s="1934">
        <v>1</v>
      </c>
      <c r="F1186" s="1905"/>
      <c r="G1186" s="1963" t="s">
        <v>2578</v>
      </c>
      <c r="H1186" s="1964" t="s">
        <v>2894</v>
      </c>
      <c r="I1186" s="2310"/>
      <c r="J1186" s="2534">
        <v>0</v>
      </c>
      <c r="K1186" s="1615">
        <v>0</v>
      </c>
      <c r="L1186" s="1637">
        <v>60000</v>
      </c>
      <c r="M1186" s="1636">
        <v>30000</v>
      </c>
      <c r="N1186" s="1615">
        <v>30000</v>
      </c>
      <c r="O1186" s="1635">
        <v>30000</v>
      </c>
      <c r="P1186" s="1965" t="s">
        <v>2566</v>
      </c>
      <c r="Q1186" s="1966" t="s">
        <v>2587</v>
      </c>
    </row>
    <row r="1187" spans="1:17" ht="12.75" customHeight="1">
      <c r="A1187" s="1962"/>
      <c r="B1187" s="1840"/>
      <c r="C1187" s="1850" t="s">
        <v>2866</v>
      </c>
      <c r="D1187" s="1934"/>
      <c r="E1187" s="1934">
        <v>1</v>
      </c>
      <c r="F1187" s="1905"/>
      <c r="G1187" s="1963" t="s">
        <v>2578</v>
      </c>
      <c r="H1187" s="1964" t="s">
        <v>2894</v>
      </c>
      <c r="I1187" s="2310"/>
      <c r="J1187" s="2534">
        <v>0</v>
      </c>
      <c r="K1187" s="1615">
        <v>0</v>
      </c>
      <c r="L1187" s="1637">
        <v>160000</v>
      </c>
      <c r="M1187" s="1636">
        <v>220000</v>
      </c>
      <c r="N1187" s="1615">
        <v>260000</v>
      </c>
      <c r="O1187" s="1635">
        <v>300000</v>
      </c>
      <c r="P1187" s="1965" t="s">
        <v>2566</v>
      </c>
      <c r="Q1187" s="1966" t="s">
        <v>2587</v>
      </c>
    </row>
    <row r="1188" spans="1:17" ht="12.75" customHeight="1">
      <c r="A1188" s="1962"/>
      <c r="B1188" s="1840"/>
      <c r="C1188" s="1850" t="s">
        <v>3701</v>
      </c>
      <c r="D1188" s="1934"/>
      <c r="E1188" s="1934">
        <v>1</v>
      </c>
      <c r="F1188" s="1905"/>
      <c r="G1188" s="1963" t="s">
        <v>2578</v>
      </c>
      <c r="H1188" s="1964" t="s">
        <v>2894</v>
      </c>
      <c r="I1188" s="2310"/>
      <c r="J1188" s="2534">
        <v>0</v>
      </c>
      <c r="K1188" s="1615">
        <v>0</v>
      </c>
      <c r="L1188" s="1637">
        <v>200000</v>
      </c>
      <c r="M1188" s="1636">
        <v>280000</v>
      </c>
      <c r="N1188" s="1615">
        <v>320000</v>
      </c>
      <c r="O1188" s="1635">
        <v>350000</v>
      </c>
      <c r="P1188" s="1965" t="s">
        <v>2566</v>
      </c>
      <c r="Q1188" s="1966" t="s">
        <v>2587</v>
      </c>
    </row>
    <row r="1189" spans="1:17" ht="12.75" customHeight="1">
      <c r="A1189" s="1962"/>
      <c r="B1189" s="1840"/>
      <c r="C1189" s="1850" t="s">
        <v>3702</v>
      </c>
      <c r="D1189" s="1934"/>
      <c r="E1189" s="1934">
        <v>1</v>
      </c>
      <c r="F1189" s="1905"/>
      <c r="G1189" s="1963" t="s">
        <v>2578</v>
      </c>
      <c r="H1189" s="1964" t="s">
        <v>2894</v>
      </c>
      <c r="I1189" s="2310"/>
      <c r="J1189" s="2534">
        <v>0</v>
      </c>
      <c r="K1189" s="1615">
        <v>0</v>
      </c>
      <c r="L1189" s="1637">
        <v>200000</v>
      </c>
      <c r="M1189" s="1636"/>
      <c r="N1189" s="1615"/>
      <c r="O1189" s="1635"/>
      <c r="P1189" s="1965" t="s">
        <v>2566</v>
      </c>
      <c r="Q1189" s="1966" t="s">
        <v>2587</v>
      </c>
    </row>
    <row r="1190" spans="1:17" ht="12.75" customHeight="1">
      <c r="A1190" s="1962"/>
      <c r="B1190" s="1840"/>
      <c r="C1190" s="1850" t="s">
        <v>3703</v>
      </c>
      <c r="D1190" s="1934"/>
      <c r="E1190" s="1934">
        <v>1</v>
      </c>
      <c r="F1190" s="1905"/>
      <c r="G1190" s="1963" t="s">
        <v>2573</v>
      </c>
      <c r="H1190" s="1964" t="s">
        <v>3229</v>
      </c>
      <c r="I1190" s="2310"/>
      <c r="J1190" s="2534">
        <v>0</v>
      </c>
      <c r="K1190" s="1615">
        <v>0</v>
      </c>
      <c r="L1190" s="1637">
        <v>2000</v>
      </c>
      <c r="M1190" s="1636"/>
      <c r="N1190" s="1615"/>
      <c r="O1190" s="1635"/>
      <c r="P1190" s="1965" t="s">
        <v>2566</v>
      </c>
      <c r="Q1190" s="1966" t="s">
        <v>2587</v>
      </c>
    </row>
    <row r="1191" spans="1:17" ht="12.75" customHeight="1">
      <c r="A1191" s="1962"/>
      <c r="B1191" s="1840"/>
      <c r="C1191" s="1850" t="s">
        <v>3704</v>
      </c>
      <c r="D1191" s="1934"/>
      <c r="E1191" s="1934">
        <v>1</v>
      </c>
      <c r="F1191" s="1905"/>
      <c r="G1191" s="1963" t="s">
        <v>2578</v>
      </c>
      <c r="H1191" s="1964" t="s">
        <v>2894</v>
      </c>
      <c r="I1191" s="2310"/>
      <c r="J1191" s="2534">
        <v>0</v>
      </c>
      <c r="K1191" s="1615">
        <v>0</v>
      </c>
      <c r="L1191" s="1637">
        <v>0</v>
      </c>
      <c r="M1191" s="1636">
        <v>400000</v>
      </c>
      <c r="N1191" s="1615"/>
      <c r="O1191" s="1635"/>
      <c r="P1191" s="1965">
        <v>14</v>
      </c>
      <c r="Q1191" s="1966" t="s">
        <v>2587</v>
      </c>
    </row>
    <row r="1192" spans="1:17" ht="12.75" customHeight="1">
      <c r="A1192" s="1962"/>
      <c r="B1192" s="1840"/>
      <c r="C1192" s="1850" t="s">
        <v>3705</v>
      </c>
      <c r="D1192" s="1934"/>
      <c r="E1192" s="1934">
        <v>1</v>
      </c>
      <c r="F1192" s="1905"/>
      <c r="G1192" s="1963" t="s">
        <v>2578</v>
      </c>
      <c r="H1192" s="1964" t="s">
        <v>2894</v>
      </c>
      <c r="I1192" s="2310"/>
      <c r="J1192" s="2534">
        <v>0</v>
      </c>
      <c r="K1192" s="1615">
        <v>0</v>
      </c>
      <c r="L1192" s="1637">
        <v>0</v>
      </c>
      <c r="M1192" s="1636"/>
      <c r="N1192" s="1615"/>
      <c r="O1192" s="1635"/>
      <c r="P1192" s="1965">
        <v>13</v>
      </c>
      <c r="Q1192" s="1966" t="s">
        <v>2587</v>
      </c>
    </row>
    <row r="1193" spans="1:17" ht="12.75" customHeight="1">
      <c r="A1193" s="1962"/>
      <c r="B1193" s="1840"/>
      <c r="C1193" s="1850" t="s">
        <v>3706</v>
      </c>
      <c r="D1193" s="1934"/>
      <c r="E1193" s="1934">
        <v>1</v>
      </c>
      <c r="F1193" s="1905"/>
      <c r="G1193" s="1963" t="s">
        <v>2578</v>
      </c>
      <c r="H1193" s="1964" t="s">
        <v>2894</v>
      </c>
      <c r="I1193" s="2310"/>
      <c r="J1193" s="2534">
        <v>0</v>
      </c>
      <c r="K1193" s="1615">
        <v>0</v>
      </c>
      <c r="L1193" s="1637">
        <v>0</v>
      </c>
      <c r="M1193" s="1636">
        <v>400000</v>
      </c>
      <c r="N1193" s="1615"/>
      <c r="O1193" s="1635"/>
      <c r="P1193" s="1965">
        <v>14</v>
      </c>
      <c r="Q1193" s="1966" t="s">
        <v>2587</v>
      </c>
    </row>
    <row r="1194" spans="1:17" ht="12.75" customHeight="1">
      <c r="A1194" s="1962"/>
      <c r="B1194" s="1840"/>
      <c r="C1194" s="1850" t="s">
        <v>3707</v>
      </c>
      <c r="D1194" s="1934"/>
      <c r="E1194" s="1934">
        <v>1</v>
      </c>
      <c r="F1194" s="1905"/>
      <c r="G1194" s="1963" t="s">
        <v>2578</v>
      </c>
      <c r="H1194" s="1964" t="s">
        <v>2894</v>
      </c>
      <c r="I1194" s="2310"/>
      <c r="J1194" s="2534">
        <v>0</v>
      </c>
      <c r="K1194" s="1615">
        <v>0</v>
      </c>
      <c r="L1194" s="1637">
        <v>0</v>
      </c>
      <c r="M1194" s="1636">
        <v>2000000</v>
      </c>
      <c r="N1194" s="1615"/>
      <c r="O1194" s="1635"/>
      <c r="P1194" s="1965">
        <v>14</v>
      </c>
      <c r="Q1194" s="1966" t="s">
        <v>2587</v>
      </c>
    </row>
    <row r="1195" spans="1:17" ht="12.75" customHeight="1">
      <c r="A1195" s="1962"/>
      <c r="B1195" s="1840"/>
      <c r="C1195" s="1850" t="s">
        <v>3708</v>
      </c>
      <c r="D1195" s="1934"/>
      <c r="E1195" s="1934">
        <v>1</v>
      </c>
      <c r="F1195" s="1905"/>
      <c r="G1195" s="1963" t="s">
        <v>2578</v>
      </c>
      <c r="H1195" s="1964" t="s">
        <v>2894</v>
      </c>
      <c r="I1195" s="2310"/>
      <c r="J1195" s="2534">
        <v>0</v>
      </c>
      <c r="K1195" s="1615">
        <v>0</v>
      </c>
      <c r="L1195" s="1637">
        <v>0</v>
      </c>
      <c r="M1195" s="1636"/>
      <c r="N1195" s="1615"/>
      <c r="O1195" s="1635"/>
      <c r="P1195" s="1965" t="s">
        <v>2566</v>
      </c>
      <c r="Q1195" s="1966" t="s">
        <v>2571</v>
      </c>
    </row>
    <row r="1196" spans="1:17" ht="12.75" customHeight="1">
      <c r="A1196" s="1962"/>
      <c r="B1196" s="1840"/>
      <c r="C1196" s="1850" t="s">
        <v>3709</v>
      </c>
      <c r="D1196" s="1934"/>
      <c r="E1196" s="1934">
        <v>1</v>
      </c>
      <c r="F1196" s="1905"/>
      <c r="G1196" s="1963" t="s">
        <v>2578</v>
      </c>
      <c r="H1196" s="1964" t="s">
        <v>2894</v>
      </c>
      <c r="I1196" s="2310"/>
      <c r="J1196" s="2534">
        <v>0</v>
      </c>
      <c r="K1196" s="1615">
        <v>0</v>
      </c>
      <c r="L1196" s="1637">
        <v>0</v>
      </c>
      <c r="M1196" s="1636"/>
      <c r="N1196" s="1615"/>
      <c r="O1196" s="1635"/>
      <c r="P1196" s="1965">
        <v>17</v>
      </c>
      <c r="Q1196" s="1966" t="s">
        <v>2571</v>
      </c>
    </row>
    <row r="1197" spans="1:17" ht="12.75" customHeight="1">
      <c r="A1197" s="1962"/>
      <c r="B1197" s="1840"/>
      <c r="C1197" s="1850" t="s">
        <v>3710</v>
      </c>
      <c r="D1197" s="1934"/>
      <c r="E1197" s="1934">
        <v>1</v>
      </c>
      <c r="F1197" s="1905"/>
      <c r="G1197" s="1963" t="s">
        <v>2578</v>
      </c>
      <c r="H1197" s="1964" t="s">
        <v>2894</v>
      </c>
      <c r="I1197" s="2310"/>
      <c r="J1197" s="2534">
        <v>0</v>
      </c>
      <c r="K1197" s="1615">
        <v>0</v>
      </c>
      <c r="L1197" s="1637">
        <v>0</v>
      </c>
      <c r="M1197" s="1636"/>
      <c r="N1197" s="1615"/>
      <c r="O1197" s="1635"/>
      <c r="P1197" s="1965" t="s">
        <v>2566</v>
      </c>
      <c r="Q1197" s="1966" t="s">
        <v>2571</v>
      </c>
    </row>
    <row r="1198" spans="1:17" ht="12.75" customHeight="1">
      <c r="A1198" s="1962"/>
      <c r="B1198" s="1840"/>
      <c r="C1198" s="1850" t="s">
        <v>3711</v>
      </c>
      <c r="D1198" s="1934"/>
      <c r="E1198" s="1934">
        <v>1</v>
      </c>
      <c r="F1198" s="1905"/>
      <c r="G1198" s="1963" t="s">
        <v>2578</v>
      </c>
      <c r="H1198" s="1964" t="s">
        <v>2894</v>
      </c>
      <c r="I1198" s="2310"/>
      <c r="J1198" s="2534">
        <v>0</v>
      </c>
      <c r="K1198" s="1615">
        <v>0</v>
      </c>
      <c r="L1198" s="1637">
        <v>5840000</v>
      </c>
      <c r="M1198" s="1636"/>
      <c r="N1198" s="1615"/>
      <c r="O1198" s="1635"/>
      <c r="P1198" s="1965">
        <v>29</v>
      </c>
      <c r="Q1198" s="1966" t="s">
        <v>2587</v>
      </c>
    </row>
    <row r="1199" spans="1:17" ht="12.75" customHeight="1">
      <c r="A1199" s="1962"/>
      <c r="B1199" s="1840"/>
      <c r="C1199" s="1850" t="s">
        <v>3712</v>
      </c>
      <c r="D1199" s="1934"/>
      <c r="E1199" s="1934">
        <v>1</v>
      </c>
      <c r="F1199" s="1905"/>
      <c r="G1199" s="1963" t="s">
        <v>2578</v>
      </c>
      <c r="H1199" s="1964" t="s">
        <v>2894</v>
      </c>
      <c r="I1199" s="2310"/>
      <c r="J1199" s="2534">
        <v>0</v>
      </c>
      <c r="K1199" s="1615">
        <v>0</v>
      </c>
      <c r="L1199" s="1637">
        <v>10660000</v>
      </c>
      <c r="M1199" s="1636"/>
      <c r="N1199" s="1615"/>
      <c r="O1199" s="1635"/>
      <c r="P1199" s="1965">
        <v>29</v>
      </c>
      <c r="Q1199" s="1966" t="s">
        <v>2587</v>
      </c>
    </row>
    <row r="1200" spans="1:17" ht="12.75" customHeight="1">
      <c r="A1200" s="1962"/>
      <c r="B1200" s="1840"/>
      <c r="C1200" s="1850" t="s">
        <v>3713</v>
      </c>
      <c r="D1200" s="1934"/>
      <c r="E1200" s="1934">
        <v>1</v>
      </c>
      <c r="F1200" s="1905"/>
      <c r="G1200" s="1963" t="s">
        <v>2578</v>
      </c>
      <c r="H1200" s="1964" t="s">
        <v>2894</v>
      </c>
      <c r="I1200" s="2310"/>
      <c r="J1200" s="2534">
        <v>0</v>
      </c>
      <c r="K1200" s="1615">
        <v>0</v>
      </c>
      <c r="L1200" s="1637">
        <v>5000000</v>
      </c>
      <c r="M1200" s="1636"/>
      <c r="N1200" s="1615"/>
      <c r="O1200" s="1635"/>
      <c r="P1200" s="1965" t="s">
        <v>2566</v>
      </c>
      <c r="Q1200" s="1966" t="s">
        <v>2587</v>
      </c>
    </row>
    <row r="1201" spans="1:17" ht="12.75" customHeight="1">
      <c r="A1201" s="1962"/>
      <c r="B1201" s="1840"/>
      <c r="C1201" s="1850" t="s">
        <v>4290</v>
      </c>
      <c r="D1201" s="1934"/>
      <c r="E1201" s="1934">
        <v>1</v>
      </c>
      <c r="F1201" s="1905"/>
      <c r="G1201" s="1963" t="s">
        <v>2578</v>
      </c>
      <c r="H1201" s="1964" t="s">
        <v>2894</v>
      </c>
      <c r="I1201" s="2310"/>
      <c r="J1201" s="2534">
        <v>0</v>
      </c>
      <c r="K1201" s="1615">
        <v>0</v>
      </c>
      <c r="L1201" s="1637">
        <v>7000000</v>
      </c>
      <c r="M1201" s="1636">
        <v>5000000</v>
      </c>
      <c r="N1201" s="1615"/>
      <c r="O1201" s="1635"/>
      <c r="P1201" s="1965" t="s">
        <v>2566</v>
      </c>
      <c r="Q1201" s="1966" t="s">
        <v>2587</v>
      </c>
    </row>
    <row r="1202" spans="1:17" ht="12.75" customHeight="1">
      <c r="A1202" s="1962"/>
      <c r="B1202" s="1840"/>
      <c r="C1202" s="1850" t="s">
        <v>3714</v>
      </c>
      <c r="D1202" s="1934"/>
      <c r="E1202" s="1934">
        <v>1</v>
      </c>
      <c r="F1202" s="1905"/>
      <c r="G1202" s="1963" t="s">
        <v>2578</v>
      </c>
      <c r="H1202" s="1964" t="s">
        <v>2894</v>
      </c>
      <c r="I1202" s="2310"/>
      <c r="J1202" s="2534">
        <v>0</v>
      </c>
      <c r="K1202" s="1615">
        <v>0</v>
      </c>
      <c r="L1202" s="1637">
        <v>0</v>
      </c>
      <c r="M1202" s="1636">
        <v>3000000</v>
      </c>
      <c r="N1202" s="1615">
        <v>3000000</v>
      </c>
      <c r="O1202" s="1635">
        <v>2000000</v>
      </c>
      <c r="P1202" s="1965" t="s">
        <v>2566</v>
      </c>
      <c r="Q1202" s="1966" t="s">
        <v>2571</v>
      </c>
    </row>
    <row r="1203" spans="1:17" ht="12.75" customHeight="1">
      <c r="A1203" s="1962"/>
      <c r="B1203" s="1840"/>
      <c r="C1203" s="1850" t="s">
        <v>4291</v>
      </c>
      <c r="D1203" s="1934"/>
      <c r="E1203" s="1934">
        <v>1</v>
      </c>
      <c r="F1203" s="1905"/>
      <c r="G1203" s="1963" t="s">
        <v>2564</v>
      </c>
      <c r="H1203" s="1964" t="s">
        <v>2623</v>
      </c>
      <c r="I1203" s="2310"/>
      <c r="J1203" s="2534"/>
      <c r="K1203" s="1615"/>
      <c r="L1203" s="1637">
        <v>0</v>
      </c>
      <c r="M1203" s="1636">
        <v>10000</v>
      </c>
      <c r="N1203" s="1615"/>
      <c r="O1203" s="1635"/>
      <c r="P1203" s="1965" t="s">
        <v>2566</v>
      </c>
      <c r="Q1203" s="1966" t="s">
        <v>2587</v>
      </c>
    </row>
    <row r="1204" spans="1:17" ht="12.75" customHeight="1">
      <c r="A1204" s="1962"/>
      <c r="B1204" s="1840"/>
      <c r="C1204" s="1850" t="s">
        <v>4112</v>
      </c>
      <c r="D1204" s="1934"/>
      <c r="E1204" s="1934">
        <v>1</v>
      </c>
      <c r="F1204" s="1905"/>
      <c r="G1204" s="1963" t="s">
        <v>2564</v>
      </c>
      <c r="H1204" s="1964" t="s">
        <v>2591</v>
      </c>
      <c r="I1204" s="2310"/>
      <c r="J1204" s="2534"/>
      <c r="K1204" s="1615"/>
      <c r="L1204" s="1637"/>
      <c r="M1204" s="1636">
        <v>100000</v>
      </c>
      <c r="N1204" s="1615">
        <v>100000</v>
      </c>
      <c r="O1204" s="1635">
        <v>100000</v>
      </c>
      <c r="P1204" s="1965" t="s">
        <v>2566</v>
      </c>
      <c r="Q1204" s="1966" t="s">
        <v>2587</v>
      </c>
    </row>
    <row r="1205" spans="1:17" ht="12.75" customHeight="1">
      <c r="A1205" s="1962"/>
      <c r="B1205" s="1840"/>
      <c r="C1205" s="1850" t="s">
        <v>4292</v>
      </c>
      <c r="D1205" s="1934"/>
      <c r="E1205" s="1934">
        <v>1</v>
      </c>
      <c r="F1205" s="1905"/>
      <c r="G1205" s="1963" t="s">
        <v>2573</v>
      </c>
      <c r="H1205" s="1964" t="s">
        <v>4292</v>
      </c>
      <c r="I1205" s="2310"/>
      <c r="J1205" s="2534"/>
      <c r="K1205" s="1615"/>
      <c r="L1205" s="1637"/>
      <c r="M1205" s="1636">
        <v>60000</v>
      </c>
      <c r="N1205" s="1615"/>
      <c r="O1205" s="1635"/>
      <c r="P1205" s="1965" t="s">
        <v>2566</v>
      </c>
      <c r="Q1205" s="1966" t="s">
        <v>2571</v>
      </c>
    </row>
    <row r="1206" spans="1:17" ht="12.75" customHeight="1">
      <c r="A1206" s="1962"/>
      <c r="B1206" s="1840"/>
      <c r="C1206" s="1850" t="s">
        <v>4293</v>
      </c>
      <c r="D1206" s="1934"/>
      <c r="E1206" s="1934">
        <v>1</v>
      </c>
      <c r="F1206" s="1905"/>
      <c r="G1206" s="1963" t="s">
        <v>2573</v>
      </c>
      <c r="H1206" s="1964" t="s">
        <v>4294</v>
      </c>
      <c r="I1206" s="2310"/>
      <c r="J1206" s="2534"/>
      <c r="K1206" s="1615"/>
      <c r="L1206" s="1637"/>
      <c r="M1206" s="1636">
        <v>35000</v>
      </c>
      <c r="N1206" s="1615"/>
      <c r="O1206" s="1635"/>
      <c r="P1206" s="1965" t="s">
        <v>2566</v>
      </c>
      <c r="Q1206" s="1966" t="s">
        <v>2571</v>
      </c>
    </row>
    <row r="1207" spans="1:17" ht="12.75" customHeight="1">
      <c r="A1207" s="1962"/>
      <c r="B1207" s="1840"/>
      <c r="C1207" s="1850" t="s">
        <v>4295</v>
      </c>
      <c r="D1207" s="1934"/>
      <c r="E1207" s="1934">
        <v>1</v>
      </c>
      <c r="F1207" s="1905"/>
      <c r="G1207" s="1963" t="s">
        <v>2573</v>
      </c>
      <c r="H1207" s="1964" t="s">
        <v>4296</v>
      </c>
      <c r="I1207" s="2310"/>
      <c r="J1207" s="2534"/>
      <c r="K1207" s="1615"/>
      <c r="L1207" s="1637"/>
      <c r="M1207" s="1636">
        <v>800000</v>
      </c>
      <c r="N1207" s="1615"/>
      <c r="O1207" s="1635"/>
      <c r="P1207" s="1965" t="s">
        <v>2566</v>
      </c>
      <c r="Q1207" s="1966" t="s">
        <v>2571</v>
      </c>
    </row>
    <row r="1208" spans="1:17" ht="12.75" customHeight="1">
      <c r="A1208" s="1962"/>
      <c r="B1208" s="1840"/>
      <c r="C1208" s="1850" t="s">
        <v>4297</v>
      </c>
      <c r="D1208" s="1934"/>
      <c r="E1208" s="1934">
        <v>1</v>
      </c>
      <c r="F1208" s="1905"/>
      <c r="G1208" s="1963" t="s">
        <v>2573</v>
      </c>
      <c r="H1208" s="1964" t="s">
        <v>4298</v>
      </c>
      <c r="I1208" s="2310"/>
      <c r="J1208" s="2534"/>
      <c r="K1208" s="1615"/>
      <c r="L1208" s="1637"/>
      <c r="M1208" s="1636">
        <v>1000000</v>
      </c>
      <c r="N1208" s="1615">
        <v>1200000</v>
      </c>
      <c r="O1208" s="1635">
        <v>1500000</v>
      </c>
      <c r="P1208" s="1965" t="s">
        <v>2566</v>
      </c>
      <c r="Q1208" s="1966" t="s">
        <v>2571</v>
      </c>
    </row>
    <row r="1209" spans="1:17" ht="12.75" customHeight="1">
      <c r="A1209" s="1962"/>
      <c r="B1209" s="1840"/>
      <c r="C1209" s="1850" t="s">
        <v>4299</v>
      </c>
      <c r="D1209" s="1934"/>
      <c r="E1209" s="1934">
        <v>1</v>
      </c>
      <c r="F1209" s="1905"/>
      <c r="G1209" s="1963" t="s">
        <v>2573</v>
      </c>
      <c r="H1209" s="1964" t="s">
        <v>3698</v>
      </c>
      <c r="I1209" s="2310"/>
      <c r="J1209" s="2534"/>
      <c r="K1209" s="1615"/>
      <c r="L1209" s="1637"/>
      <c r="M1209" s="1636">
        <v>50000</v>
      </c>
      <c r="N1209" s="1615">
        <v>60000</v>
      </c>
      <c r="O1209" s="1635">
        <v>80000</v>
      </c>
      <c r="P1209" s="1965" t="s">
        <v>2566</v>
      </c>
      <c r="Q1209" s="1966" t="s">
        <v>2587</v>
      </c>
    </row>
    <row r="1210" spans="1:17" ht="12.75" customHeight="1">
      <c r="A1210" s="1962"/>
      <c r="B1210" s="1840"/>
      <c r="C1210" s="1850" t="s">
        <v>4300</v>
      </c>
      <c r="D1210" s="1934"/>
      <c r="E1210" s="1934">
        <v>1</v>
      </c>
      <c r="F1210" s="1905"/>
      <c r="G1210" s="1963" t="s">
        <v>2573</v>
      </c>
      <c r="H1210" s="1964" t="s">
        <v>4301</v>
      </c>
      <c r="I1210" s="2310"/>
      <c r="J1210" s="2534"/>
      <c r="K1210" s="1615"/>
      <c r="L1210" s="1637"/>
      <c r="M1210" s="1636">
        <v>60000</v>
      </c>
      <c r="N1210" s="1615">
        <v>65000</v>
      </c>
      <c r="O1210" s="1635"/>
      <c r="P1210" s="1965" t="s">
        <v>2566</v>
      </c>
      <c r="Q1210" s="1966" t="s">
        <v>2571</v>
      </c>
    </row>
    <row r="1211" spans="1:17" ht="12.75" customHeight="1">
      <c r="A1211" s="1962"/>
      <c r="B1211" s="1840"/>
      <c r="C1211" s="1850" t="s">
        <v>4302</v>
      </c>
      <c r="D1211" s="1934"/>
      <c r="E1211" s="1934">
        <v>1</v>
      </c>
      <c r="F1211" s="1905"/>
      <c r="G1211" s="1963" t="s">
        <v>2578</v>
      </c>
      <c r="H1211" s="1964" t="s">
        <v>2894</v>
      </c>
      <c r="I1211" s="2310"/>
      <c r="J1211" s="2534"/>
      <c r="K1211" s="1615"/>
      <c r="L1211" s="1637"/>
      <c r="M1211" s="1636">
        <v>500000</v>
      </c>
      <c r="N1211" s="1615">
        <v>750000</v>
      </c>
      <c r="O1211" s="1635">
        <v>1000000</v>
      </c>
      <c r="P1211" s="1965" t="s">
        <v>2566</v>
      </c>
      <c r="Q1211" s="1966" t="s">
        <v>2587</v>
      </c>
    </row>
    <row r="1212" spans="1:17" ht="12.75" customHeight="1">
      <c r="A1212" s="1962"/>
      <c r="B1212" s="1840"/>
      <c r="C1212" s="1850" t="s">
        <v>4303</v>
      </c>
      <c r="D1212" s="1934"/>
      <c r="E1212" s="1934">
        <v>1</v>
      </c>
      <c r="F1212" s="1905"/>
      <c r="G1212" s="1963" t="s">
        <v>2578</v>
      </c>
      <c r="H1212" s="1964" t="s">
        <v>2894</v>
      </c>
      <c r="I1212" s="2310"/>
      <c r="J1212" s="2534"/>
      <c r="K1212" s="1615"/>
      <c r="L1212" s="1637"/>
      <c r="M1212" s="1636">
        <v>3000000</v>
      </c>
      <c r="N1212" s="1615">
        <v>3000000</v>
      </c>
      <c r="O1212" s="1635">
        <v>3500000</v>
      </c>
      <c r="P1212" s="1965" t="s">
        <v>4304</v>
      </c>
      <c r="Q1212" s="1966" t="s">
        <v>2587</v>
      </c>
    </row>
    <row r="1213" spans="1:17" ht="12.75" customHeight="1">
      <c r="A1213" s="1962"/>
      <c r="B1213" s="1840"/>
      <c r="C1213" s="1850" t="s">
        <v>4305</v>
      </c>
      <c r="D1213" s="1934"/>
      <c r="E1213" s="1934">
        <v>1</v>
      </c>
      <c r="F1213" s="1905"/>
      <c r="G1213" s="1963" t="s">
        <v>2578</v>
      </c>
      <c r="H1213" s="1964" t="s">
        <v>2894</v>
      </c>
      <c r="I1213" s="2310"/>
      <c r="J1213" s="2534"/>
      <c r="K1213" s="1615"/>
      <c r="L1213" s="1637"/>
      <c r="M1213" s="1636">
        <v>1500000</v>
      </c>
      <c r="N1213" s="1615">
        <v>1500000</v>
      </c>
      <c r="O1213" s="1635">
        <v>2000000</v>
      </c>
      <c r="P1213" s="1965" t="s">
        <v>4306</v>
      </c>
      <c r="Q1213" s="1966" t="s">
        <v>2587</v>
      </c>
    </row>
    <row r="1214" spans="1:17" ht="12.75" customHeight="1">
      <c r="A1214" s="1962"/>
      <c r="B1214" s="1840"/>
      <c r="C1214" s="1850" t="s">
        <v>4307</v>
      </c>
      <c r="D1214" s="1934"/>
      <c r="E1214" s="1934">
        <v>1</v>
      </c>
      <c r="F1214" s="1905"/>
      <c r="G1214" s="1963" t="s">
        <v>2578</v>
      </c>
      <c r="H1214" s="1964" t="s">
        <v>2894</v>
      </c>
      <c r="I1214" s="2310"/>
      <c r="J1214" s="2534"/>
      <c r="K1214" s="1615"/>
      <c r="L1214" s="1637"/>
      <c r="M1214" s="1636">
        <v>1500000</v>
      </c>
      <c r="N1214" s="1615"/>
      <c r="O1214" s="1635"/>
      <c r="P1214" s="1965" t="s">
        <v>2566</v>
      </c>
      <c r="Q1214" s="1966" t="s">
        <v>2587</v>
      </c>
    </row>
    <row r="1215" spans="1:17" ht="12.75" customHeight="1">
      <c r="A1215" s="1962"/>
      <c r="B1215" s="1840"/>
      <c r="C1215" s="1850" t="s">
        <v>4308</v>
      </c>
      <c r="D1215" s="1934"/>
      <c r="E1215" s="1934">
        <v>1</v>
      </c>
      <c r="F1215" s="1905"/>
      <c r="G1215" s="1963" t="s">
        <v>2578</v>
      </c>
      <c r="H1215" s="1964" t="s">
        <v>2894</v>
      </c>
      <c r="I1215" s="2310"/>
      <c r="J1215" s="2534"/>
      <c r="K1215" s="1615"/>
      <c r="L1215" s="1637"/>
      <c r="M1215" s="1636">
        <v>10000000</v>
      </c>
      <c r="N1215" s="1615"/>
      <c r="O1215" s="1635"/>
      <c r="P1215" s="1965">
        <v>17</v>
      </c>
      <c r="Q1215" s="1966" t="s">
        <v>2571</v>
      </c>
    </row>
    <row r="1216" spans="1:17" ht="12.75" customHeight="1">
      <c r="A1216" s="1962"/>
      <c r="B1216" s="1840"/>
      <c r="C1216" s="1850" t="s">
        <v>4309</v>
      </c>
      <c r="D1216" s="1934"/>
      <c r="E1216" s="1934">
        <v>1</v>
      </c>
      <c r="F1216" s="1905"/>
      <c r="G1216" s="1963" t="s">
        <v>2578</v>
      </c>
      <c r="H1216" s="1964" t="s">
        <v>2894</v>
      </c>
      <c r="I1216" s="2310"/>
      <c r="J1216" s="2534"/>
      <c r="K1216" s="1615"/>
      <c r="L1216" s="1637"/>
      <c r="M1216" s="1636">
        <v>1500000</v>
      </c>
      <c r="N1216" s="1615"/>
      <c r="O1216" s="1635"/>
      <c r="P1216" s="1965" t="s">
        <v>2566</v>
      </c>
      <c r="Q1216" s="1966" t="s">
        <v>2587</v>
      </c>
    </row>
    <row r="1217" spans="1:17" ht="12.75" customHeight="1">
      <c r="A1217" s="1962"/>
      <c r="B1217" s="1840"/>
      <c r="C1217" s="1850" t="s">
        <v>4310</v>
      </c>
      <c r="D1217" s="1934"/>
      <c r="E1217" s="1934">
        <v>1</v>
      </c>
      <c r="F1217" s="1905"/>
      <c r="G1217" s="1963" t="s">
        <v>2578</v>
      </c>
      <c r="H1217" s="1964" t="s">
        <v>2894</v>
      </c>
      <c r="I1217" s="2310"/>
      <c r="J1217" s="2534"/>
      <c r="K1217" s="1615"/>
      <c r="L1217" s="1637"/>
      <c r="M1217" s="1636">
        <v>875000</v>
      </c>
      <c r="N1217" s="1615"/>
      <c r="O1217" s="1635"/>
      <c r="P1217" s="1965">
        <v>18</v>
      </c>
      <c r="Q1217" s="1966" t="s">
        <v>2587</v>
      </c>
    </row>
    <row r="1218" spans="1:17" ht="12.75" customHeight="1">
      <c r="A1218" s="1962"/>
      <c r="B1218" s="1840"/>
      <c r="C1218" s="1850" t="s">
        <v>4311</v>
      </c>
      <c r="D1218" s="1934"/>
      <c r="E1218" s="1934">
        <v>1</v>
      </c>
      <c r="F1218" s="1905"/>
      <c r="G1218" s="1963" t="s">
        <v>2578</v>
      </c>
      <c r="H1218" s="1964" t="s">
        <v>2894</v>
      </c>
      <c r="I1218" s="2310"/>
      <c r="J1218" s="2534"/>
      <c r="K1218" s="1615"/>
      <c r="L1218" s="1637"/>
      <c r="M1218" s="1636">
        <v>2000000</v>
      </c>
      <c r="N1218" s="1615"/>
      <c r="O1218" s="1635"/>
      <c r="P1218" s="1965">
        <v>18</v>
      </c>
      <c r="Q1218" s="1966" t="s">
        <v>2587</v>
      </c>
    </row>
    <row r="1219" spans="1:17" ht="12.75" customHeight="1">
      <c r="A1219" s="1962"/>
      <c r="B1219" s="1840"/>
      <c r="C1219" s="1850" t="s">
        <v>4312</v>
      </c>
      <c r="D1219" s="1934"/>
      <c r="E1219" s="1934">
        <v>1</v>
      </c>
      <c r="F1219" s="1905"/>
      <c r="G1219" s="1963" t="s">
        <v>2578</v>
      </c>
      <c r="H1219" s="1964" t="s">
        <v>2894</v>
      </c>
      <c r="I1219" s="2310"/>
      <c r="J1219" s="2534"/>
      <c r="K1219" s="1615"/>
      <c r="L1219" s="1637"/>
      <c r="M1219" s="1636">
        <v>2800000</v>
      </c>
      <c r="N1219" s="1615"/>
      <c r="O1219" s="1635"/>
      <c r="P1219" s="1965">
        <v>16</v>
      </c>
      <c r="Q1219" s="1966" t="s">
        <v>2587</v>
      </c>
    </row>
    <row r="1220" spans="1:17" ht="12.75" customHeight="1">
      <c r="A1220" s="1962"/>
      <c r="B1220" s="1840"/>
      <c r="C1220" s="1850" t="s">
        <v>4313</v>
      </c>
      <c r="D1220" s="1934"/>
      <c r="E1220" s="1934">
        <v>1</v>
      </c>
      <c r="F1220" s="1905"/>
      <c r="G1220" s="1963" t="s">
        <v>2578</v>
      </c>
      <c r="H1220" s="1964" t="s">
        <v>2894</v>
      </c>
      <c r="I1220" s="2310"/>
      <c r="J1220" s="2534"/>
      <c r="K1220" s="1615"/>
      <c r="L1220" s="1637"/>
      <c r="M1220" s="1636">
        <v>2800000</v>
      </c>
      <c r="N1220" s="1615"/>
      <c r="O1220" s="1635"/>
      <c r="P1220" s="1965">
        <v>16</v>
      </c>
      <c r="Q1220" s="1966" t="s">
        <v>2587</v>
      </c>
    </row>
    <row r="1221" spans="1:17" ht="12.75" customHeight="1">
      <c r="A1221" s="1962"/>
      <c r="B1221" s="1840"/>
      <c r="C1221" s="1850" t="s">
        <v>4314</v>
      </c>
      <c r="D1221" s="1934"/>
      <c r="E1221" s="1934">
        <v>1</v>
      </c>
      <c r="F1221" s="1905"/>
      <c r="G1221" s="1963" t="s">
        <v>2578</v>
      </c>
      <c r="H1221" s="1964" t="s">
        <v>2894</v>
      </c>
      <c r="I1221" s="2310"/>
      <c r="J1221" s="2534"/>
      <c r="K1221" s="1615"/>
      <c r="L1221" s="1637"/>
      <c r="M1221" s="1636">
        <v>2500000</v>
      </c>
      <c r="N1221" s="1615"/>
      <c r="O1221" s="1635"/>
      <c r="P1221" s="1965">
        <v>16</v>
      </c>
      <c r="Q1221" s="1966" t="s">
        <v>2587</v>
      </c>
    </row>
    <row r="1222" spans="1:17" ht="12.75" customHeight="1">
      <c r="A1222" s="1962"/>
      <c r="B1222" s="1840"/>
      <c r="C1222" s="1850" t="s">
        <v>4315</v>
      </c>
      <c r="D1222" s="1934"/>
      <c r="E1222" s="1934">
        <v>1</v>
      </c>
      <c r="F1222" s="1905"/>
      <c r="G1222" s="1963" t="s">
        <v>2578</v>
      </c>
      <c r="H1222" s="1964" t="s">
        <v>2894</v>
      </c>
      <c r="I1222" s="2310"/>
      <c r="J1222" s="2534"/>
      <c r="K1222" s="1615"/>
      <c r="L1222" s="1637"/>
      <c r="M1222" s="1636">
        <v>1000000</v>
      </c>
      <c r="N1222" s="1615"/>
      <c r="O1222" s="1635"/>
      <c r="P1222" s="1965" t="s">
        <v>4316</v>
      </c>
      <c r="Q1222" s="1966" t="s">
        <v>2587</v>
      </c>
    </row>
    <row r="1223" spans="1:17" ht="12.75" customHeight="1">
      <c r="A1223" s="1962"/>
      <c r="B1223" s="1840"/>
      <c r="C1223" s="1850" t="s">
        <v>4317</v>
      </c>
      <c r="D1223" s="1934"/>
      <c r="E1223" s="1934">
        <v>1</v>
      </c>
      <c r="F1223" s="1905"/>
      <c r="G1223" s="1963" t="s">
        <v>2578</v>
      </c>
      <c r="H1223" s="1964" t="s">
        <v>2894</v>
      </c>
      <c r="I1223" s="2310"/>
      <c r="J1223" s="2534"/>
      <c r="K1223" s="1615"/>
      <c r="L1223" s="1637"/>
      <c r="M1223" s="1636">
        <v>10000000</v>
      </c>
      <c r="N1223" s="1615"/>
      <c r="O1223" s="1635"/>
      <c r="P1223" s="1965" t="s">
        <v>2566</v>
      </c>
      <c r="Q1223" s="1966" t="s">
        <v>2571</v>
      </c>
    </row>
    <row r="1224" spans="1:17" ht="12.75" customHeight="1">
      <c r="A1224" s="1962"/>
      <c r="B1224" s="1840"/>
      <c r="C1224" s="1850" t="s">
        <v>4318</v>
      </c>
      <c r="D1224" s="1934"/>
      <c r="E1224" s="1934">
        <v>1</v>
      </c>
      <c r="F1224" s="1905"/>
      <c r="G1224" s="1963" t="s">
        <v>2578</v>
      </c>
      <c r="H1224" s="1964" t="s">
        <v>2894</v>
      </c>
      <c r="I1224" s="2310"/>
      <c r="J1224" s="2534"/>
      <c r="K1224" s="1615"/>
      <c r="L1224" s="1637"/>
      <c r="M1224" s="1636">
        <v>5000000</v>
      </c>
      <c r="N1224" s="1615"/>
      <c r="O1224" s="1635"/>
      <c r="P1224" s="1965" t="s">
        <v>2566</v>
      </c>
      <c r="Q1224" s="1966" t="s">
        <v>2571</v>
      </c>
    </row>
    <row r="1225" spans="1:17" ht="12.75" customHeight="1">
      <c r="A1225" s="1962"/>
      <c r="B1225" s="1840"/>
      <c r="C1225" s="1850" t="s">
        <v>4319</v>
      </c>
      <c r="D1225" s="1934"/>
      <c r="E1225" s="1934">
        <v>1</v>
      </c>
      <c r="F1225" s="1905"/>
      <c r="G1225" s="1963" t="s">
        <v>2578</v>
      </c>
      <c r="H1225" s="1964" t="s">
        <v>2894</v>
      </c>
      <c r="I1225" s="2310"/>
      <c r="J1225" s="2534"/>
      <c r="K1225" s="1615"/>
      <c r="L1225" s="1637"/>
      <c r="M1225" s="1636">
        <v>10000000</v>
      </c>
      <c r="N1225" s="1615">
        <v>6000000</v>
      </c>
      <c r="O1225" s="1635"/>
      <c r="P1225" s="1965" t="s">
        <v>2566</v>
      </c>
      <c r="Q1225" s="1966" t="s">
        <v>2571</v>
      </c>
    </row>
    <row r="1226" spans="1:17" ht="12.75" customHeight="1">
      <c r="A1226" s="1962"/>
      <c r="B1226" s="1840"/>
      <c r="C1226" s="1850" t="s">
        <v>4320</v>
      </c>
      <c r="D1226" s="1934"/>
      <c r="E1226" s="1934">
        <v>1</v>
      </c>
      <c r="F1226" s="1905"/>
      <c r="G1226" s="1963" t="s">
        <v>2578</v>
      </c>
      <c r="H1226" s="1964" t="s">
        <v>2894</v>
      </c>
      <c r="I1226" s="2310"/>
      <c r="J1226" s="2534"/>
      <c r="K1226" s="1615"/>
      <c r="L1226" s="1637"/>
      <c r="M1226" s="1636">
        <v>6000000</v>
      </c>
      <c r="N1226" s="1615"/>
      <c r="O1226" s="1635"/>
      <c r="P1226" s="1965" t="s">
        <v>2566</v>
      </c>
      <c r="Q1226" s="1966" t="s">
        <v>2571</v>
      </c>
    </row>
    <row r="1227" spans="1:17" ht="12.75" customHeight="1">
      <c r="A1227" s="1962"/>
      <c r="B1227" s="1840"/>
      <c r="C1227" s="1850" t="s">
        <v>4321</v>
      </c>
      <c r="D1227" s="1934"/>
      <c r="E1227" s="1934">
        <v>1</v>
      </c>
      <c r="F1227" s="1905"/>
      <c r="G1227" s="1963" t="s">
        <v>2578</v>
      </c>
      <c r="H1227" s="1964" t="s">
        <v>2894</v>
      </c>
      <c r="I1227" s="2310"/>
      <c r="J1227" s="2534"/>
      <c r="K1227" s="1615"/>
      <c r="L1227" s="1637"/>
      <c r="M1227" s="1636">
        <v>700000</v>
      </c>
      <c r="N1227" s="1615"/>
      <c r="O1227" s="1635"/>
      <c r="P1227" s="1965" t="s">
        <v>2566</v>
      </c>
      <c r="Q1227" s="1966" t="s">
        <v>2571</v>
      </c>
    </row>
    <row r="1228" spans="1:17" ht="12.75" customHeight="1">
      <c r="A1228" s="1962"/>
      <c r="B1228" s="1840"/>
      <c r="C1228" s="1850" t="s">
        <v>4322</v>
      </c>
      <c r="D1228" s="1934"/>
      <c r="E1228" s="1934">
        <v>1</v>
      </c>
      <c r="F1228" s="1905"/>
      <c r="G1228" s="1963" t="s">
        <v>2578</v>
      </c>
      <c r="H1228" s="1964" t="s">
        <v>2894</v>
      </c>
      <c r="I1228" s="2310"/>
      <c r="J1228" s="2534"/>
      <c r="K1228" s="1615"/>
      <c r="L1228" s="1637"/>
      <c r="M1228" s="1636"/>
      <c r="N1228" s="1615">
        <v>2000000</v>
      </c>
      <c r="O1228" s="1635"/>
      <c r="P1228" s="1965" t="s">
        <v>2566</v>
      </c>
      <c r="Q1228" s="1966" t="s">
        <v>2587</v>
      </c>
    </row>
    <row r="1229" spans="1:17" ht="12.75" customHeight="1">
      <c r="A1229" s="1962"/>
      <c r="B1229" s="1840"/>
      <c r="C1229" s="1850" t="s">
        <v>4323</v>
      </c>
      <c r="D1229" s="1934"/>
      <c r="E1229" s="1934">
        <v>1</v>
      </c>
      <c r="F1229" s="1905"/>
      <c r="G1229" s="1963" t="s">
        <v>2578</v>
      </c>
      <c r="H1229" s="1964" t="s">
        <v>2894</v>
      </c>
      <c r="I1229" s="2310"/>
      <c r="J1229" s="2534"/>
      <c r="K1229" s="1615"/>
      <c r="L1229" s="1637"/>
      <c r="M1229" s="1636">
        <v>99325000</v>
      </c>
      <c r="N1229" s="1615">
        <v>0</v>
      </c>
      <c r="O1229" s="1635">
        <v>0</v>
      </c>
      <c r="P1229" s="1965" t="s">
        <v>2566</v>
      </c>
      <c r="Q1229" s="1966" t="s">
        <v>2587</v>
      </c>
    </row>
    <row r="1230" spans="1:17" ht="12.75" customHeight="1">
      <c r="A1230" s="1962"/>
      <c r="B1230" s="1840"/>
      <c r="C1230" s="1850"/>
      <c r="D1230" s="1934"/>
      <c r="E1230" s="1934"/>
      <c r="F1230" s="1905"/>
      <c r="G1230" s="1963"/>
      <c r="H1230" s="1964"/>
      <c r="I1230" s="2310"/>
      <c r="J1230" s="2534"/>
      <c r="K1230" s="1615"/>
      <c r="L1230" s="1637"/>
      <c r="M1230" s="1636"/>
      <c r="N1230" s="1615"/>
      <c r="O1230" s="1635"/>
      <c r="P1230" s="1965"/>
      <c r="Q1230" s="1966"/>
    </row>
    <row r="1231" spans="1:17" ht="12.75" customHeight="1">
      <c r="A1231" s="1962"/>
      <c r="B1231" s="1840"/>
      <c r="C1231" s="1850"/>
      <c r="D1231" s="1934"/>
      <c r="E1231" s="1934"/>
      <c r="F1231" s="1905"/>
      <c r="G1231" s="1963"/>
      <c r="H1231" s="1964"/>
      <c r="I1231" s="2310"/>
      <c r="J1231" s="2534"/>
      <c r="K1231" s="1615"/>
      <c r="L1231" s="1637"/>
      <c r="M1231" s="1636"/>
      <c r="N1231" s="1615"/>
      <c r="O1231" s="1635"/>
      <c r="P1231" s="1965"/>
      <c r="Q1231" s="1966"/>
    </row>
    <row r="1232" spans="1:17" ht="12.75" customHeight="1">
      <c r="A1232" s="1962"/>
      <c r="B1232" s="1840"/>
      <c r="C1232" s="1850"/>
      <c r="D1232" s="1934"/>
      <c r="E1232" s="1934"/>
      <c r="F1232" s="1905"/>
      <c r="G1232" s="1963"/>
      <c r="H1232" s="1964"/>
      <c r="I1232" s="2310"/>
      <c r="J1232" s="2534"/>
      <c r="K1232" s="1615"/>
      <c r="L1232" s="1637"/>
      <c r="M1232" s="1636"/>
      <c r="N1232" s="1615"/>
      <c r="O1232" s="1635"/>
      <c r="P1232" s="1965"/>
      <c r="Q1232" s="1966"/>
    </row>
    <row r="1233" spans="1:17" ht="12.75" customHeight="1">
      <c r="A1233" s="1962"/>
      <c r="B1233" s="1840"/>
      <c r="C1233" s="1850"/>
      <c r="D1233" s="1934"/>
      <c r="E1233" s="1934"/>
      <c r="F1233" s="1905"/>
      <c r="G1233" s="1963"/>
      <c r="H1233" s="1964"/>
      <c r="I1233" s="2310"/>
      <c r="J1233" s="2534"/>
      <c r="K1233" s="1615"/>
      <c r="L1233" s="1637"/>
      <c r="M1233" s="1636"/>
      <c r="N1233" s="1615"/>
      <c r="O1233" s="1635"/>
      <c r="P1233" s="1965"/>
      <c r="Q1233" s="1966"/>
    </row>
    <row r="1234" spans="1:17" ht="12.75" customHeight="1">
      <c r="A1234" s="1962"/>
      <c r="B1234" s="1840"/>
      <c r="C1234" s="1850"/>
      <c r="D1234" s="1934"/>
      <c r="E1234" s="1934"/>
      <c r="F1234" s="1905"/>
      <c r="G1234" s="1963"/>
      <c r="H1234" s="1964"/>
      <c r="I1234" s="2310"/>
      <c r="J1234" s="2534"/>
      <c r="K1234" s="1615"/>
      <c r="L1234" s="1637"/>
      <c r="M1234" s="1636"/>
      <c r="N1234" s="1615"/>
      <c r="O1234" s="1635"/>
      <c r="P1234" s="1965"/>
      <c r="Q1234" s="1966"/>
    </row>
    <row r="1235" spans="1:17" ht="12.75" customHeight="1">
      <c r="A1235" s="1962" t="s">
        <v>3715</v>
      </c>
      <c r="B1235" s="1840"/>
      <c r="C1235" s="1850" t="s">
        <v>3716</v>
      </c>
      <c r="D1235" s="1934"/>
      <c r="E1235" s="1934">
        <v>1</v>
      </c>
      <c r="F1235" s="1905"/>
      <c r="G1235" s="1963" t="s">
        <v>2578</v>
      </c>
      <c r="H1235" s="1964" t="s">
        <v>2906</v>
      </c>
      <c r="I1235" s="2310"/>
      <c r="J1235" s="2534">
        <v>0</v>
      </c>
      <c r="K1235" s="1615">
        <v>0</v>
      </c>
      <c r="L1235" s="1637">
        <v>0</v>
      </c>
      <c r="M1235" s="1636"/>
      <c r="N1235" s="1615"/>
      <c r="O1235" s="1635"/>
      <c r="P1235" s="1965">
        <v>22</v>
      </c>
      <c r="Q1235" s="1966" t="s">
        <v>2571</v>
      </c>
    </row>
    <row r="1236" spans="1:17" ht="12.75" customHeight="1">
      <c r="A1236" s="1962"/>
      <c r="B1236" s="1840"/>
      <c r="C1236" s="1850" t="s">
        <v>3206</v>
      </c>
      <c r="D1236" s="1934"/>
      <c r="E1236" s="1934">
        <v>1</v>
      </c>
      <c r="F1236" s="1905"/>
      <c r="G1236" s="1963" t="s">
        <v>2578</v>
      </c>
      <c r="H1236" s="1964" t="s">
        <v>2906</v>
      </c>
      <c r="I1236" s="2310"/>
      <c r="J1236" s="2534">
        <v>0</v>
      </c>
      <c r="K1236" s="1615">
        <v>0</v>
      </c>
      <c r="L1236" s="1637">
        <v>300184947</v>
      </c>
      <c r="M1236" s="1636"/>
      <c r="N1236" s="1615"/>
      <c r="O1236" s="1635"/>
      <c r="P1236" s="1965"/>
      <c r="Q1236" s="1966" t="s">
        <v>2571</v>
      </c>
    </row>
    <row r="1237" spans="1:17" ht="12.75" customHeight="1">
      <c r="A1237" s="1962"/>
      <c r="B1237" s="1840"/>
      <c r="C1237" s="1850" t="s">
        <v>3717</v>
      </c>
      <c r="D1237" s="1934"/>
      <c r="E1237" s="1934">
        <v>1</v>
      </c>
      <c r="F1237" s="1905"/>
      <c r="G1237" s="1963" t="s">
        <v>2578</v>
      </c>
      <c r="H1237" s="1964" t="s">
        <v>2906</v>
      </c>
      <c r="I1237" s="2310"/>
      <c r="J1237" s="2534">
        <v>0</v>
      </c>
      <c r="K1237" s="1615">
        <v>0</v>
      </c>
      <c r="L1237" s="1637">
        <v>8000000</v>
      </c>
      <c r="M1237" s="1636"/>
      <c r="N1237" s="1615"/>
      <c r="O1237" s="1635"/>
      <c r="P1237" s="1965"/>
      <c r="Q1237" s="1966" t="s">
        <v>2571</v>
      </c>
    </row>
    <row r="1238" spans="1:17" ht="12.75" customHeight="1">
      <c r="A1238" s="1962"/>
      <c r="B1238" s="1840"/>
      <c r="C1238" s="1850" t="s">
        <v>3718</v>
      </c>
      <c r="D1238" s="1934"/>
      <c r="E1238" s="1934">
        <v>1</v>
      </c>
      <c r="F1238" s="1905"/>
      <c r="G1238" s="1963" t="s">
        <v>2578</v>
      </c>
      <c r="H1238" s="1964" t="s">
        <v>2906</v>
      </c>
      <c r="I1238" s="2310"/>
      <c r="J1238" s="2534">
        <v>0</v>
      </c>
      <c r="K1238" s="1615">
        <v>0</v>
      </c>
      <c r="L1238" s="1637">
        <v>10000000</v>
      </c>
      <c r="M1238" s="1636"/>
      <c r="N1238" s="1615"/>
      <c r="O1238" s="1635"/>
      <c r="P1238" s="1965"/>
      <c r="Q1238" s="1966" t="s">
        <v>2571</v>
      </c>
    </row>
    <row r="1239" spans="1:17" ht="12.75" customHeight="1">
      <c r="A1239" s="1962"/>
      <c r="B1239" s="1840"/>
      <c r="C1239" s="1850" t="s">
        <v>3719</v>
      </c>
      <c r="D1239" s="1934"/>
      <c r="E1239" s="1934">
        <v>1</v>
      </c>
      <c r="F1239" s="1905"/>
      <c r="G1239" s="1963" t="s">
        <v>2578</v>
      </c>
      <c r="H1239" s="1964" t="s">
        <v>2906</v>
      </c>
      <c r="I1239" s="2310"/>
      <c r="J1239" s="2534">
        <v>0</v>
      </c>
      <c r="K1239" s="1615">
        <v>0</v>
      </c>
      <c r="L1239" s="1637">
        <v>10000000</v>
      </c>
      <c r="M1239" s="1636"/>
      <c r="N1239" s="1615"/>
      <c r="O1239" s="1635"/>
      <c r="P1239" s="1965"/>
      <c r="Q1239" s="1966" t="s">
        <v>2571</v>
      </c>
    </row>
    <row r="1240" spans="1:17" ht="12.75" customHeight="1">
      <c r="A1240" s="1962"/>
      <c r="B1240" s="1840"/>
      <c r="C1240" s="1850" t="s">
        <v>3720</v>
      </c>
      <c r="D1240" s="1934"/>
      <c r="E1240" s="1934">
        <v>1</v>
      </c>
      <c r="F1240" s="1905"/>
      <c r="G1240" s="1963" t="s">
        <v>2578</v>
      </c>
      <c r="H1240" s="1964" t="s">
        <v>2906</v>
      </c>
      <c r="I1240" s="2310"/>
      <c r="J1240" s="2534">
        <v>0</v>
      </c>
      <c r="K1240" s="1615">
        <v>0</v>
      </c>
      <c r="L1240" s="1637">
        <v>15000000</v>
      </c>
      <c r="M1240" s="1636"/>
      <c r="N1240" s="1615"/>
      <c r="O1240" s="1635"/>
      <c r="P1240" s="1965"/>
      <c r="Q1240" s="1966" t="s">
        <v>2571</v>
      </c>
    </row>
    <row r="1241" spans="1:17" ht="12.75" customHeight="1">
      <c r="A1241" s="1962"/>
      <c r="B1241" s="1840"/>
      <c r="C1241" s="1850" t="s">
        <v>3721</v>
      </c>
      <c r="D1241" s="1934"/>
      <c r="E1241" s="1934">
        <v>1</v>
      </c>
      <c r="F1241" s="1905"/>
      <c r="G1241" s="1963" t="s">
        <v>2578</v>
      </c>
      <c r="H1241" s="1964" t="s">
        <v>2906</v>
      </c>
      <c r="I1241" s="2310"/>
      <c r="J1241" s="2534">
        <v>0</v>
      </c>
      <c r="K1241" s="1615">
        <v>0</v>
      </c>
      <c r="L1241" s="1637">
        <v>15000000</v>
      </c>
      <c r="M1241" s="1636"/>
      <c r="N1241" s="1615"/>
      <c r="O1241" s="1635"/>
      <c r="P1241" s="1965"/>
      <c r="Q1241" s="1966" t="s">
        <v>2571</v>
      </c>
    </row>
    <row r="1242" spans="1:17" ht="12.75" customHeight="1">
      <c r="A1242" s="1962"/>
      <c r="B1242" s="1840"/>
      <c r="C1242" s="1850" t="s">
        <v>3722</v>
      </c>
      <c r="D1242" s="1934"/>
      <c r="E1242" s="1934">
        <v>1</v>
      </c>
      <c r="F1242" s="1905"/>
      <c r="G1242" s="1963" t="s">
        <v>2578</v>
      </c>
      <c r="H1242" s="1964" t="s">
        <v>2906</v>
      </c>
      <c r="I1242" s="2310"/>
      <c r="J1242" s="2534">
        <v>0</v>
      </c>
      <c r="K1242" s="1615">
        <v>0</v>
      </c>
      <c r="L1242" s="1637">
        <v>3000000</v>
      </c>
      <c r="M1242" s="1636">
        <v>9000000</v>
      </c>
      <c r="N1242" s="1615">
        <v>10000000</v>
      </c>
      <c r="O1242" s="1635">
        <v>10000000</v>
      </c>
      <c r="P1242" s="1965" t="s">
        <v>3723</v>
      </c>
      <c r="Q1242" s="1966" t="s">
        <v>2571</v>
      </c>
    </row>
    <row r="1243" spans="1:17" ht="12.75" customHeight="1">
      <c r="A1243" s="1962"/>
      <c r="B1243" s="1840"/>
      <c r="C1243" s="1850" t="s">
        <v>3724</v>
      </c>
      <c r="D1243" s="1934"/>
      <c r="E1243" s="1934">
        <v>1</v>
      </c>
      <c r="F1243" s="1905"/>
      <c r="G1243" s="1963" t="s">
        <v>2578</v>
      </c>
      <c r="H1243" s="1964" t="s">
        <v>2906</v>
      </c>
      <c r="I1243" s="2310"/>
      <c r="J1243" s="2534">
        <v>0</v>
      </c>
      <c r="K1243" s="1615">
        <v>0</v>
      </c>
      <c r="L1243" s="1637">
        <v>0</v>
      </c>
      <c r="M1243" s="1636">
        <v>3500000</v>
      </c>
      <c r="N1243" s="1615">
        <v>3500000</v>
      </c>
      <c r="O1243" s="1635"/>
      <c r="P1243" s="1965" t="s">
        <v>2920</v>
      </c>
      <c r="Q1243" s="1966" t="s">
        <v>2571</v>
      </c>
    </row>
    <row r="1244" spans="1:17" ht="12.75" customHeight="1">
      <c r="A1244" s="1962"/>
      <c r="B1244" s="1840"/>
      <c r="C1244" s="1850" t="s">
        <v>3725</v>
      </c>
      <c r="D1244" s="1934"/>
      <c r="E1244" s="1934">
        <v>1</v>
      </c>
      <c r="F1244" s="1905"/>
      <c r="G1244" s="1963" t="s">
        <v>2578</v>
      </c>
      <c r="H1244" s="1964" t="s">
        <v>2906</v>
      </c>
      <c r="I1244" s="2310"/>
      <c r="J1244" s="2534">
        <v>0</v>
      </c>
      <c r="K1244" s="1615">
        <v>0</v>
      </c>
      <c r="L1244" s="1637">
        <v>0</v>
      </c>
      <c r="M1244" s="1636">
        <v>3500000</v>
      </c>
      <c r="N1244" s="1615">
        <v>3500000</v>
      </c>
      <c r="O1244" s="1635"/>
      <c r="P1244" s="1965">
        <v>8</v>
      </c>
      <c r="Q1244" s="1966" t="s">
        <v>2571</v>
      </c>
    </row>
    <row r="1245" spans="1:17" ht="12.75" customHeight="1">
      <c r="A1245" s="1962"/>
      <c r="B1245" s="1840"/>
      <c r="C1245" s="1850" t="s">
        <v>3726</v>
      </c>
      <c r="D1245" s="1934"/>
      <c r="E1245" s="1934">
        <v>1</v>
      </c>
      <c r="F1245" s="1905"/>
      <c r="G1245" s="1963" t="s">
        <v>2578</v>
      </c>
      <c r="H1245" s="1964" t="s">
        <v>2906</v>
      </c>
      <c r="I1245" s="2310"/>
      <c r="J1245" s="2534">
        <v>0</v>
      </c>
      <c r="K1245" s="1615">
        <v>0</v>
      </c>
      <c r="L1245" s="1637">
        <v>0</v>
      </c>
      <c r="M1245" s="1636">
        <v>3500000</v>
      </c>
      <c r="N1245" s="1615">
        <v>3500000</v>
      </c>
      <c r="O1245" s="1635"/>
      <c r="P1245" s="1965">
        <v>13</v>
      </c>
      <c r="Q1245" s="1966" t="s">
        <v>2571</v>
      </c>
    </row>
    <row r="1246" spans="1:17" ht="12.75" customHeight="1">
      <c r="A1246" s="1962"/>
      <c r="B1246" s="1840"/>
      <c r="C1246" s="1850" t="s">
        <v>3727</v>
      </c>
      <c r="D1246" s="1934"/>
      <c r="E1246" s="1934">
        <v>1</v>
      </c>
      <c r="F1246" s="1905"/>
      <c r="G1246" s="1963" t="s">
        <v>2578</v>
      </c>
      <c r="H1246" s="1964" t="s">
        <v>2906</v>
      </c>
      <c r="I1246" s="2310"/>
      <c r="J1246" s="2534">
        <v>0</v>
      </c>
      <c r="K1246" s="1615">
        <v>0</v>
      </c>
      <c r="L1246" s="1637">
        <v>0</v>
      </c>
      <c r="M1246" s="1636">
        <v>3000000</v>
      </c>
      <c r="N1246" s="1615">
        <v>4000000</v>
      </c>
      <c r="O1246" s="1635"/>
      <c r="P1246" s="1965">
        <v>36</v>
      </c>
      <c r="Q1246" s="1966" t="s">
        <v>2571</v>
      </c>
    </row>
    <row r="1247" spans="1:17" ht="12.75" customHeight="1">
      <c r="A1247" s="1962"/>
      <c r="B1247" s="1840"/>
      <c r="C1247" s="1850" t="s">
        <v>3728</v>
      </c>
      <c r="D1247" s="1934"/>
      <c r="E1247" s="1934">
        <v>1</v>
      </c>
      <c r="F1247" s="1905"/>
      <c r="G1247" s="1963" t="s">
        <v>2578</v>
      </c>
      <c r="H1247" s="1964" t="s">
        <v>2906</v>
      </c>
      <c r="I1247" s="2310"/>
      <c r="J1247" s="2534">
        <v>0</v>
      </c>
      <c r="K1247" s="1615">
        <v>0</v>
      </c>
      <c r="L1247" s="1637">
        <v>0</v>
      </c>
      <c r="M1247" s="1636">
        <v>3000000</v>
      </c>
      <c r="N1247" s="1615">
        <v>4000000</v>
      </c>
      <c r="O1247" s="1635"/>
      <c r="P1247" s="1965">
        <v>36</v>
      </c>
      <c r="Q1247" s="1966" t="s">
        <v>2571</v>
      </c>
    </row>
    <row r="1248" spans="1:17" ht="12.75" customHeight="1">
      <c r="A1248" s="1962"/>
      <c r="B1248" s="1840"/>
      <c r="C1248" s="1850" t="s">
        <v>3729</v>
      </c>
      <c r="D1248" s="1934"/>
      <c r="E1248" s="1934">
        <v>1</v>
      </c>
      <c r="F1248" s="1905"/>
      <c r="G1248" s="1963" t="s">
        <v>2578</v>
      </c>
      <c r="H1248" s="1964" t="s">
        <v>2906</v>
      </c>
      <c r="I1248" s="2310"/>
      <c r="J1248" s="2534">
        <v>0</v>
      </c>
      <c r="K1248" s="1615">
        <v>0</v>
      </c>
      <c r="L1248" s="1637">
        <v>0</v>
      </c>
      <c r="M1248" s="1636">
        <v>3000000</v>
      </c>
      <c r="N1248" s="1615">
        <v>4000000</v>
      </c>
      <c r="O1248" s="1635"/>
      <c r="P1248" s="1965">
        <v>36</v>
      </c>
      <c r="Q1248" s="1966" t="s">
        <v>2571</v>
      </c>
    </row>
    <row r="1249" spans="1:17" ht="12.75" customHeight="1">
      <c r="A1249" s="1962"/>
      <c r="B1249" s="1840"/>
      <c r="C1249" s="1850" t="s">
        <v>3730</v>
      </c>
      <c r="D1249" s="1934"/>
      <c r="E1249" s="1934">
        <v>1</v>
      </c>
      <c r="F1249" s="1905"/>
      <c r="G1249" s="1963" t="s">
        <v>2578</v>
      </c>
      <c r="H1249" s="1964" t="s">
        <v>2906</v>
      </c>
      <c r="I1249" s="2310"/>
      <c r="J1249" s="2534">
        <v>0</v>
      </c>
      <c r="K1249" s="1615">
        <v>0</v>
      </c>
      <c r="L1249" s="1637">
        <v>0</v>
      </c>
      <c r="M1249" s="1636">
        <v>7000000</v>
      </c>
      <c r="N1249" s="1615">
        <v>9000000</v>
      </c>
      <c r="O1249" s="1635"/>
      <c r="P1249" s="1965">
        <v>3</v>
      </c>
      <c r="Q1249" s="1966" t="s">
        <v>2571</v>
      </c>
    </row>
    <row r="1250" spans="1:17" ht="12.75" customHeight="1">
      <c r="A1250" s="1962"/>
      <c r="B1250" s="1840"/>
      <c r="C1250" s="1850" t="s">
        <v>3731</v>
      </c>
      <c r="D1250" s="1934"/>
      <c r="E1250" s="1934">
        <v>1</v>
      </c>
      <c r="F1250" s="1905"/>
      <c r="G1250" s="1963" t="s">
        <v>2578</v>
      </c>
      <c r="H1250" s="1964" t="s">
        <v>2906</v>
      </c>
      <c r="I1250" s="2310"/>
      <c r="J1250" s="2534">
        <v>0</v>
      </c>
      <c r="K1250" s="1615">
        <v>0</v>
      </c>
      <c r="L1250" s="1637">
        <v>210900</v>
      </c>
      <c r="M1250" s="1636"/>
      <c r="N1250" s="1615"/>
      <c r="O1250" s="1635"/>
      <c r="P1250" s="1965"/>
      <c r="Q1250" s="1966" t="s">
        <v>2571</v>
      </c>
    </row>
    <row r="1251" spans="1:17" ht="12.75" customHeight="1">
      <c r="A1251" s="1962"/>
      <c r="B1251" s="1840"/>
      <c r="C1251" s="1850" t="s">
        <v>3732</v>
      </c>
      <c r="D1251" s="1934"/>
      <c r="E1251" s="1934">
        <v>1</v>
      </c>
      <c r="F1251" s="1905"/>
      <c r="G1251" s="1963" t="s">
        <v>2578</v>
      </c>
      <c r="H1251" s="1964" t="s">
        <v>2906</v>
      </c>
      <c r="I1251" s="2310"/>
      <c r="J1251" s="2534">
        <v>0</v>
      </c>
      <c r="K1251" s="1615">
        <v>0</v>
      </c>
      <c r="L1251" s="1637">
        <v>85500</v>
      </c>
      <c r="M1251" s="1636"/>
      <c r="N1251" s="1615"/>
      <c r="O1251" s="1635"/>
      <c r="P1251" s="1965"/>
      <c r="Q1251" s="1966" t="s">
        <v>2571</v>
      </c>
    </row>
    <row r="1252" spans="1:17" ht="12.75" customHeight="1">
      <c r="A1252" s="1962"/>
      <c r="B1252" s="1840"/>
      <c r="C1252" s="1850" t="s">
        <v>3733</v>
      </c>
      <c r="D1252" s="1934"/>
      <c r="E1252" s="1934">
        <v>1</v>
      </c>
      <c r="F1252" s="1905"/>
      <c r="G1252" s="1963" t="s">
        <v>2578</v>
      </c>
      <c r="H1252" s="1964" t="s">
        <v>2906</v>
      </c>
      <c r="I1252" s="2310"/>
      <c r="J1252" s="2534">
        <v>0</v>
      </c>
      <c r="K1252" s="1615">
        <v>0</v>
      </c>
      <c r="L1252" s="1637">
        <v>228000</v>
      </c>
      <c r="M1252" s="1636"/>
      <c r="N1252" s="1615"/>
      <c r="O1252" s="1635"/>
      <c r="P1252" s="1965"/>
      <c r="Q1252" s="1966" t="s">
        <v>2571</v>
      </c>
    </row>
    <row r="1253" spans="1:17" ht="12.75" customHeight="1">
      <c r="A1253" s="1962"/>
      <c r="B1253" s="1840"/>
      <c r="C1253" s="1850" t="s">
        <v>3734</v>
      </c>
      <c r="D1253" s="1934"/>
      <c r="E1253" s="1934">
        <v>1</v>
      </c>
      <c r="F1253" s="1905"/>
      <c r="G1253" s="1963" t="s">
        <v>2578</v>
      </c>
      <c r="H1253" s="1964" t="s">
        <v>2906</v>
      </c>
      <c r="I1253" s="2310"/>
      <c r="J1253" s="2534">
        <v>0</v>
      </c>
      <c r="K1253" s="1615">
        <v>0</v>
      </c>
      <c r="L1253" s="1637">
        <v>1600000</v>
      </c>
      <c r="M1253" s="1636"/>
      <c r="N1253" s="1615"/>
      <c r="O1253" s="1635"/>
      <c r="P1253" s="1965" t="s">
        <v>3735</v>
      </c>
      <c r="Q1253" s="1966" t="s">
        <v>2571</v>
      </c>
    </row>
    <row r="1254" spans="1:17" ht="12.75" customHeight="1">
      <c r="A1254" s="1962"/>
      <c r="B1254" s="1840"/>
      <c r="C1254" s="1850" t="s">
        <v>3736</v>
      </c>
      <c r="D1254" s="1934"/>
      <c r="E1254" s="1934">
        <v>1</v>
      </c>
      <c r="F1254" s="1905"/>
      <c r="G1254" s="1963" t="s">
        <v>2578</v>
      </c>
      <c r="H1254" s="1964" t="s">
        <v>2906</v>
      </c>
      <c r="I1254" s="2310"/>
      <c r="J1254" s="2534">
        <v>0</v>
      </c>
      <c r="K1254" s="1615">
        <v>0</v>
      </c>
      <c r="L1254" s="1637">
        <v>10000000</v>
      </c>
      <c r="M1254" s="1636">
        <v>13500000</v>
      </c>
      <c r="N1254" s="1615">
        <v>15000000</v>
      </c>
      <c r="O1254" s="1635">
        <v>15000000</v>
      </c>
      <c r="P1254" s="1965">
        <v>18</v>
      </c>
      <c r="Q1254" s="1966" t="s">
        <v>2571</v>
      </c>
    </row>
    <row r="1255" spans="1:17" ht="12.75" customHeight="1">
      <c r="A1255" s="1962"/>
      <c r="B1255" s="1840"/>
      <c r="C1255" s="1850" t="s">
        <v>3737</v>
      </c>
      <c r="D1255" s="1934"/>
      <c r="E1255" s="1934">
        <v>1</v>
      </c>
      <c r="F1255" s="1905"/>
      <c r="G1255" s="1963" t="s">
        <v>2578</v>
      </c>
      <c r="H1255" s="1964" t="s">
        <v>2906</v>
      </c>
      <c r="I1255" s="2310"/>
      <c r="J1255" s="2534">
        <v>0</v>
      </c>
      <c r="K1255" s="1615">
        <v>0</v>
      </c>
      <c r="L1255" s="1637">
        <v>10000000</v>
      </c>
      <c r="M1255" s="1636">
        <v>10000000</v>
      </c>
      <c r="N1255" s="1615">
        <v>10000000</v>
      </c>
      <c r="O1255" s="1635">
        <v>10000000</v>
      </c>
      <c r="P1255" s="1965">
        <v>19</v>
      </c>
      <c r="Q1255" s="1966" t="s">
        <v>2571</v>
      </c>
    </row>
    <row r="1256" spans="1:17" ht="12.75" customHeight="1">
      <c r="A1256" s="1962"/>
      <c r="B1256" s="1840"/>
      <c r="C1256" s="1850" t="s">
        <v>3738</v>
      </c>
      <c r="D1256" s="1934"/>
      <c r="E1256" s="1934">
        <v>1</v>
      </c>
      <c r="F1256" s="1905"/>
      <c r="G1256" s="1963" t="s">
        <v>2578</v>
      </c>
      <c r="H1256" s="1964" t="s">
        <v>2906</v>
      </c>
      <c r="I1256" s="2310"/>
      <c r="J1256" s="2534">
        <v>0</v>
      </c>
      <c r="K1256" s="1615">
        <v>0</v>
      </c>
      <c r="L1256" s="1637">
        <v>10000000</v>
      </c>
      <c r="M1256" s="1636">
        <v>10000000</v>
      </c>
      <c r="N1256" s="1615">
        <v>10000000</v>
      </c>
      <c r="O1256" s="1635">
        <v>10000000</v>
      </c>
      <c r="P1256" s="1965">
        <v>20</v>
      </c>
      <c r="Q1256" s="1966" t="s">
        <v>2571</v>
      </c>
    </row>
    <row r="1257" spans="1:17" ht="12.75" customHeight="1">
      <c r="A1257" s="1962"/>
      <c r="B1257" s="1840"/>
      <c r="C1257" s="1850" t="s">
        <v>3739</v>
      </c>
      <c r="D1257" s="1934"/>
      <c r="E1257" s="1934">
        <v>1</v>
      </c>
      <c r="F1257" s="1905"/>
      <c r="G1257" s="1963" t="s">
        <v>2578</v>
      </c>
      <c r="H1257" s="1964" t="s">
        <v>2906</v>
      </c>
      <c r="I1257" s="2310"/>
      <c r="J1257" s="2534">
        <v>0</v>
      </c>
      <c r="K1257" s="1615">
        <v>0</v>
      </c>
      <c r="L1257" s="1637">
        <v>10000000</v>
      </c>
      <c r="M1257" s="1636">
        <v>10000000</v>
      </c>
      <c r="N1257" s="1615">
        <v>10000000</v>
      </c>
      <c r="O1257" s="1635">
        <v>10000000</v>
      </c>
      <c r="P1257" s="1965">
        <v>21</v>
      </c>
      <c r="Q1257" s="1966" t="s">
        <v>2587</v>
      </c>
    </row>
    <row r="1258" spans="1:17" ht="12.75" customHeight="1">
      <c r="A1258" s="1962"/>
      <c r="B1258" s="1840"/>
      <c r="C1258" s="1850" t="s">
        <v>3740</v>
      </c>
      <c r="D1258" s="1934"/>
      <c r="E1258" s="1934">
        <v>1</v>
      </c>
      <c r="F1258" s="1905"/>
      <c r="G1258" s="1963" t="s">
        <v>2578</v>
      </c>
      <c r="H1258" s="1964" t="s">
        <v>2906</v>
      </c>
      <c r="I1258" s="2310"/>
      <c r="J1258" s="2534">
        <v>0</v>
      </c>
      <c r="K1258" s="1615">
        <v>0</v>
      </c>
      <c r="L1258" s="1637">
        <v>10000000</v>
      </c>
      <c r="M1258" s="1636">
        <v>10000000</v>
      </c>
      <c r="N1258" s="1615">
        <v>10000000</v>
      </c>
      <c r="O1258" s="1635">
        <v>10000000</v>
      </c>
      <c r="P1258" s="1965">
        <v>22</v>
      </c>
      <c r="Q1258" s="1966" t="s">
        <v>2587</v>
      </c>
    </row>
    <row r="1259" spans="1:17" ht="12.75" customHeight="1">
      <c r="A1259" s="1962"/>
      <c r="B1259" s="1840"/>
      <c r="C1259" s="1850" t="s">
        <v>3741</v>
      </c>
      <c r="D1259" s="1934"/>
      <c r="E1259" s="1934">
        <v>1</v>
      </c>
      <c r="F1259" s="1905"/>
      <c r="G1259" s="1963" t="s">
        <v>2578</v>
      </c>
      <c r="H1259" s="1964" t="s">
        <v>2906</v>
      </c>
      <c r="I1259" s="2310"/>
      <c r="J1259" s="2534">
        <v>0</v>
      </c>
      <c r="K1259" s="1615">
        <v>0</v>
      </c>
      <c r="L1259" s="1637">
        <v>10000000</v>
      </c>
      <c r="M1259" s="1636">
        <v>10000000</v>
      </c>
      <c r="N1259" s="1615">
        <v>10000000</v>
      </c>
      <c r="O1259" s="1635">
        <v>10000000</v>
      </c>
      <c r="P1259" s="1965">
        <v>25</v>
      </c>
      <c r="Q1259" s="1966" t="s">
        <v>2587</v>
      </c>
    </row>
    <row r="1260" spans="1:17" ht="12.75" customHeight="1">
      <c r="A1260" s="1962"/>
      <c r="B1260" s="1840"/>
      <c r="C1260" s="1850" t="s">
        <v>3742</v>
      </c>
      <c r="D1260" s="1934"/>
      <c r="E1260" s="1934">
        <v>1</v>
      </c>
      <c r="F1260" s="1905"/>
      <c r="G1260" s="1963" t="s">
        <v>2578</v>
      </c>
      <c r="H1260" s="1964" t="s">
        <v>2906</v>
      </c>
      <c r="I1260" s="2310"/>
      <c r="J1260" s="2534">
        <v>0</v>
      </c>
      <c r="K1260" s="1615">
        <v>0</v>
      </c>
      <c r="L1260" s="1637">
        <v>10000000</v>
      </c>
      <c r="M1260" s="1636">
        <v>10000000</v>
      </c>
      <c r="N1260" s="1615">
        <v>10000000</v>
      </c>
      <c r="O1260" s="1635">
        <v>10000000</v>
      </c>
      <c r="P1260" s="1965">
        <v>27</v>
      </c>
      <c r="Q1260" s="1966" t="s">
        <v>2587</v>
      </c>
    </row>
    <row r="1261" spans="1:17" ht="12.75" customHeight="1">
      <c r="A1261" s="1962"/>
      <c r="B1261" s="1840"/>
      <c r="C1261" s="1850" t="s">
        <v>3743</v>
      </c>
      <c r="D1261" s="1934"/>
      <c r="E1261" s="1934">
        <v>1</v>
      </c>
      <c r="F1261" s="1905"/>
      <c r="G1261" s="1963" t="s">
        <v>2578</v>
      </c>
      <c r="H1261" s="1964" t="s">
        <v>2906</v>
      </c>
      <c r="I1261" s="2310"/>
      <c r="J1261" s="2534">
        <v>0</v>
      </c>
      <c r="K1261" s="1615">
        <v>0</v>
      </c>
      <c r="L1261" s="1637">
        <v>10000000</v>
      </c>
      <c r="M1261" s="1636">
        <v>10000000</v>
      </c>
      <c r="N1261" s="1615">
        <v>10000000</v>
      </c>
      <c r="O1261" s="1635">
        <v>10000000</v>
      </c>
      <c r="P1261" s="1965">
        <v>28</v>
      </c>
      <c r="Q1261" s="1966" t="s">
        <v>2587</v>
      </c>
    </row>
    <row r="1262" spans="1:17" ht="12.75" customHeight="1">
      <c r="A1262" s="1962"/>
      <c r="B1262" s="1840"/>
      <c r="C1262" s="1850" t="s">
        <v>3744</v>
      </c>
      <c r="D1262" s="1934"/>
      <c r="E1262" s="1934">
        <v>1</v>
      </c>
      <c r="F1262" s="1905"/>
      <c r="G1262" s="1963" t="s">
        <v>2578</v>
      </c>
      <c r="H1262" s="1964" t="s">
        <v>2906</v>
      </c>
      <c r="I1262" s="2310"/>
      <c r="J1262" s="2534">
        <v>0</v>
      </c>
      <c r="K1262" s="1615">
        <v>0</v>
      </c>
      <c r="L1262" s="1637">
        <v>10000000</v>
      </c>
      <c r="M1262" s="1636">
        <v>10000000</v>
      </c>
      <c r="N1262" s="1615">
        <v>10000000</v>
      </c>
      <c r="O1262" s="1635">
        <v>10000000</v>
      </c>
      <c r="P1262" s="1965">
        <v>18</v>
      </c>
      <c r="Q1262" s="1966" t="s">
        <v>2587</v>
      </c>
    </row>
    <row r="1263" spans="1:17" ht="12.75" customHeight="1">
      <c r="A1263" s="1962"/>
      <c r="B1263" s="1840"/>
      <c r="C1263" s="1850" t="s">
        <v>2905</v>
      </c>
      <c r="D1263" s="1934"/>
      <c r="E1263" s="1934">
        <v>1</v>
      </c>
      <c r="F1263" s="1905"/>
      <c r="G1263" s="1963" t="s">
        <v>2578</v>
      </c>
      <c r="H1263" s="1964" t="s">
        <v>2906</v>
      </c>
      <c r="I1263" s="2310"/>
      <c r="J1263" s="2534">
        <v>0</v>
      </c>
      <c r="K1263" s="1615">
        <v>0</v>
      </c>
      <c r="L1263" s="1637">
        <v>10000000</v>
      </c>
      <c r="M1263" s="1636">
        <v>10000000</v>
      </c>
      <c r="N1263" s="1615">
        <v>10000000</v>
      </c>
      <c r="O1263" s="1635">
        <v>10000000</v>
      </c>
      <c r="P1263" s="1965">
        <v>29</v>
      </c>
      <c r="Q1263" s="1966" t="s">
        <v>2587</v>
      </c>
    </row>
    <row r="1264" spans="1:17" ht="12.75" customHeight="1">
      <c r="A1264" s="1962"/>
      <c r="B1264" s="1840"/>
      <c r="C1264" s="1850" t="s">
        <v>3745</v>
      </c>
      <c r="D1264" s="1934"/>
      <c r="E1264" s="1934">
        <v>1</v>
      </c>
      <c r="F1264" s="1905"/>
      <c r="G1264" s="1963" t="s">
        <v>2578</v>
      </c>
      <c r="H1264" s="1964" t="s">
        <v>2906</v>
      </c>
      <c r="I1264" s="2310"/>
      <c r="J1264" s="2534">
        <v>0</v>
      </c>
      <c r="K1264" s="1615">
        <v>0</v>
      </c>
      <c r="L1264" s="1637">
        <v>0</v>
      </c>
      <c r="M1264" s="1636"/>
      <c r="N1264" s="1615"/>
      <c r="O1264" s="1635"/>
      <c r="P1264" s="1965">
        <v>31</v>
      </c>
      <c r="Q1264" s="1966" t="s">
        <v>2571</v>
      </c>
    </row>
    <row r="1265" spans="1:17" ht="12.75" customHeight="1">
      <c r="A1265" s="1962"/>
      <c r="B1265" s="1840"/>
      <c r="C1265" s="1850" t="s">
        <v>3746</v>
      </c>
      <c r="D1265" s="1934"/>
      <c r="E1265" s="1934">
        <v>1</v>
      </c>
      <c r="F1265" s="1905"/>
      <c r="G1265" s="1963" t="s">
        <v>2578</v>
      </c>
      <c r="H1265" s="1964" t="s">
        <v>2906</v>
      </c>
      <c r="I1265" s="2310"/>
      <c r="J1265" s="2534">
        <v>0</v>
      </c>
      <c r="K1265" s="1615">
        <v>0</v>
      </c>
      <c r="L1265" s="1637">
        <v>0</v>
      </c>
      <c r="M1265" s="1636"/>
      <c r="N1265" s="1615"/>
      <c r="O1265" s="1635"/>
      <c r="P1265" s="1965">
        <v>30</v>
      </c>
      <c r="Q1265" s="1966" t="s">
        <v>2571</v>
      </c>
    </row>
    <row r="1266" spans="1:17" ht="12.75" customHeight="1">
      <c r="A1266" s="1962"/>
      <c r="B1266" s="1840"/>
      <c r="C1266" s="1850" t="s">
        <v>3747</v>
      </c>
      <c r="D1266" s="1934"/>
      <c r="E1266" s="1934">
        <v>1</v>
      </c>
      <c r="F1266" s="1905"/>
      <c r="G1266" s="1963" t="s">
        <v>2578</v>
      </c>
      <c r="H1266" s="1964" t="s">
        <v>2906</v>
      </c>
      <c r="I1266" s="2310"/>
      <c r="J1266" s="2534">
        <v>0</v>
      </c>
      <c r="K1266" s="1615">
        <v>0</v>
      </c>
      <c r="L1266" s="1637">
        <v>0</v>
      </c>
      <c r="M1266" s="1636"/>
      <c r="N1266" s="1615"/>
      <c r="O1266" s="1635"/>
      <c r="P1266" s="1965">
        <v>29</v>
      </c>
      <c r="Q1266" s="1966" t="s">
        <v>2571</v>
      </c>
    </row>
    <row r="1267" spans="1:17" ht="12.75" customHeight="1">
      <c r="A1267" s="1962"/>
      <c r="B1267" s="1840"/>
      <c r="C1267" s="1850" t="s">
        <v>3748</v>
      </c>
      <c r="D1267" s="1934"/>
      <c r="E1267" s="1934">
        <v>1</v>
      </c>
      <c r="F1267" s="1905"/>
      <c r="G1267" s="1963" t="s">
        <v>2578</v>
      </c>
      <c r="H1267" s="1964" t="s">
        <v>2906</v>
      </c>
      <c r="I1267" s="2310"/>
      <c r="J1267" s="2534">
        <v>0</v>
      </c>
      <c r="K1267" s="1615">
        <v>0</v>
      </c>
      <c r="L1267" s="1637">
        <v>0</v>
      </c>
      <c r="M1267" s="1636"/>
      <c r="N1267" s="1615"/>
      <c r="O1267" s="1635"/>
      <c r="P1267" s="1965">
        <v>29</v>
      </c>
      <c r="Q1267" s="1966" t="s">
        <v>2571</v>
      </c>
    </row>
    <row r="1268" spans="1:17" ht="12.75" customHeight="1">
      <c r="A1268" s="1962"/>
      <c r="B1268" s="1840"/>
      <c r="C1268" s="1850" t="s">
        <v>3749</v>
      </c>
      <c r="D1268" s="1934"/>
      <c r="E1268" s="1934">
        <v>1</v>
      </c>
      <c r="F1268" s="1905"/>
      <c r="G1268" s="1963" t="s">
        <v>2578</v>
      </c>
      <c r="H1268" s="1964" t="s">
        <v>2906</v>
      </c>
      <c r="I1268" s="2310"/>
      <c r="J1268" s="2534">
        <v>0</v>
      </c>
      <c r="K1268" s="1615">
        <v>0</v>
      </c>
      <c r="L1268" s="1637">
        <v>0</v>
      </c>
      <c r="M1268" s="1636"/>
      <c r="N1268" s="1615"/>
      <c r="O1268" s="1635"/>
      <c r="P1268" s="1965">
        <v>37</v>
      </c>
      <c r="Q1268" s="1966" t="s">
        <v>2571</v>
      </c>
    </row>
    <row r="1269" spans="1:17" ht="12.75" customHeight="1">
      <c r="A1269" s="1962"/>
      <c r="B1269" s="1840"/>
      <c r="C1269" s="1850" t="s">
        <v>3750</v>
      </c>
      <c r="D1269" s="1934"/>
      <c r="E1269" s="1934">
        <v>1</v>
      </c>
      <c r="F1269" s="1905"/>
      <c r="G1269" s="1963" t="s">
        <v>2578</v>
      </c>
      <c r="H1269" s="1964" t="s">
        <v>2906</v>
      </c>
      <c r="I1269" s="2310"/>
      <c r="J1269" s="2534">
        <v>0</v>
      </c>
      <c r="K1269" s="1615">
        <v>0</v>
      </c>
      <c r="L1269" s="1637">
        <v>0</v>
      </c>
      <c r="M1269" s="1636"/>
      <c r="N1269" s="1615"/>
      <c r="O1269" s="1635"/>
      <c r="P1269" s="1965">
        <v>7</v>
      </c>
      <c r="Q1269" s="1966" t="s">
        <v>2571</v>
      </c>
    </row>
    <row r="1270" spans="1:17" ht="12.75" customHeight="1">
      <c r="A1270" s="1962"/>
      <c r="B1270" s="1840"/>
      <c r="C1270" s="1850" t="s">
        <v>3751</v>
      </c>
      <c r="D1270" s="1934"/>
      <c r="E1270" s="1934">
        <v>1</v>
      </c>
      <c r="F1270" s="1905"/>
      <c r="G1270" s="1963" t="s">
        <v>2578</v>
      </c>
      <c r="H1270" s="1964" t="s">
        <v>2906</v>
      </c>
      <c r="I1270" s="2310"/>
      <c r="J1270" s="2534">
        <v>0</v>
      </c>
      <c r="K1270" s="1615">
        <v>0</v>
      </c>
      <c r="L1270" s="1637">
        <v>0</v>
      </c>
      <c r="M1270" s="1636"/>
      <c r="N1270" s="1615"/>
      <c r="O1270" s="1635"/>
      <c r="P1270" s="1965"/>
      <c r="Q1270" s="1966" t="s">
        <v>2571</v>
      </c>
    </row>
    <row r="1271" spans="1:17" ht="12.75" customHeight="1">
      <c r="A1271" s="1962"/>
      <c r="B1271" s="1840"/>
      <c r="C1271" s="1850" t="s">
        <v>3752</v>
      </c>
      <c r="D1271" s="1934"/>
      <c r="E1271" s="1934">
        <v>1</v>
      </c>
      <c r="F1271" s="1905"/>
      <c r="G1271" s="1963" t="s">
        <v>2578</v>
      </c>
      <c r="H1271" s="1964" t="s">
        <v>2906</v>
      </c>
      <c r="I1271" s="2310"/>
      <c r="J1271" s="2534">
        <v>0</v>
      </c>
      <c r="K1271" s="1615">
        <v>0</v>
      </c>
      <c r="L1271" s="1637">
        <v>0</v>
      </c>
      <c r="M1271" s="1636"/>
      <c r="N1271" s="1615"/>
      <c r="O1271" s="1635"/>
      <c r="P1271" s="1965">
        <v>26</v>
      </c>
      <c r="Q1271" s="1966" t="s">
        <v>2571</v>
      </c>
    </row>
    <row r="1272" spans="1:17" ht="12.75" customHeight="1">
      <c r="A1272" s="1962"/>
      <c r="B1272" s="1840"/>
      <c r="C1272" s="1850" t="s">
        <v>3753</v>
      </c>
      <c r="D1272" s="1934"/>
      <c r="E1272" s="1934">
        <v>1</v>
      </c>
      <c r="F1272" s="1905"/>
      <c r="G1272" s="1963" t="s">
        <v>2578</v>
      </c>
      <c r="H1272" s="1964" t="s">
        <v>2906</v>
      </c>
      <c r="I1272" s="2310"/>
      <c r="J1272" s="2534">
        <v>0</v>
      </c>
      <c r="K1272" s="1615">
        <v>0</v>
      </c>
      <c r="L1272" s="1637">
        <v>0</v>
      </c>
      <c r="M1272" s="1636"/>
      <c r="N1272" s="1615"/>
      <c r="O1272" s="1635"/>
      <c r="P1272" s="1965">
        <v>24</v>
      </c>
      <c r="Q1272" s="1966" t="s">
        <v>2571</v>
      </c>
    </row>
    <row r="1273" spans="1:17" ht="12.75" customHeight="1">
      <c r="A1273" s="1962"/>
      <c r="B1273" s="1840"/>
      <c r="C1273" s="1850" t="s">
        <v>3754</v>
      </c>
      <c r="D1273" s="1934"/>
      <c r="E1273" s="1934">
        <v>1</v>
      </c>
      <c r="F1273" s="1905"/>
      <c r="G1273" s="1963" t="s">
        <v>2578</v>
      </c>
      <c r="H1273" s="1964" t="s">
        <v>2906</v>
      </c>
      <c r="I1273" s="2310"/>
      <c r="J1273" s="2534">
        <v>0</v>
      </c>
      <c r="K1273" s="1615">
        <v>0</v>
      </c>
      <c r="L1273" s="1637">
        <v>0</v>
      </c>
      <c r="M1273" s="1636"/>
      <c r="N1273" s="1615"/>
      <c r="O1273" s="1635"/>
      <c r="P1273" s="1965">
        <v>2</v>
      </c>
      <c r="Q1273" s="1966" t="s">
        <v>2571</v>
      </c>
    </row>
    <row r="1274" spans="1:17" ht="12.75" customHeight="1">
      <c r="A1274" s="1962"/>
      <c r="B1274" s="1840"/>
      <c r="C1274" s="1850" t="s">
        <v>3755</v>
      </c>
      <c r="D1274" s="1934"/>
      <c r="E1274" s="1934">
        <v>1</v>
      </c>
      <c r="F1274" s="1905"/>
      <c r="G1274" s="1963" t="s">
        <v>2578</v>
      </c>
      <c r="H1274" s="1964" t="s">
        <v>2906</v>
      </c>
      <c r="I1274" s="2310"/>
      <c r="J1274" s="2534">
        <v>0</v>
      </c>
      <c r="K1274" s="1615">
        <v>0</v>
      </c>
      <c r="L1274" s="1637">
        <v>0</v>
      </c>
      <c r="M1274" s="1636"/>
      <c r="N1274" s="1615"/>
      <c r="O1274" s="1635"/>
      <c r="P1274" s="1965">
        <v>23</v>
      </c>
      <c r="Q1274" s="1966" t="s">
        <v>2571</v>
      </c>
    </row>
    <row r="1275" spans="1:17" ht="12.75" customHeight="1">
      <c r="A1275" s="1962"/>
      <c r="B1275" s="1840"/>
      <c r="C1275" s="1850" t="s">
        <v>3756</v>
      </c>
      <c r="D1275" s="1934"/>
      <c r="E1275" s="1934">
        <v>1</v>
      </c>
      <c r="F1275" s="1905"/>
      <c r="G1275" s="1963" t="s">
        <v>2578</v>
      </c>
      <c r="H1275" s="1964" t="s">
        <v>2906</v>
      </c>
      <c r="I1275" s="2310"/>
      <c r="J1275" s="2534">
        <v>0</v>
      </c>
      <c r="K1275" s="1615">
        <v>0</v>
      </c>
      <c r="L1275" s="1637">
        <v>0</v>
      </c>
      <c r="M1275" s="1636"/>
      <c r="N1275" s="1615"/>
      <c r="O1275" s="1635"/>
      <c r="P1275" s="1965">
        <v>2</v>
      </c>
      <c r="Q1275" s="1966" t="s">
        <v>2571</v>
      </c>
    </row>
    <row r="1276" spans="1:17" ht="12.75" customHeight="1">
      <c r="A1276" s="1962"/>
      <c r="B1276" s="1840"/>
      <c r="C1276" s="1850" t="s">
        <v>3757</v>
      </c>
      <c r="D1276" s="1934"/>
      <c r="E1276" s="1934">
        <v>1</v>
      </c>
      <c r="F1276" s="1905"/>
      <c r="G1276" s="1963" t="s">
        <v>2578</v>
      </c>
      <c r="H1276" s="1964" t="s">
        <v>2906</v>
      </c>
      <c r="I1276" s="2310"/>
      <c r="J1276" s="2534">
        <v>0</v>
      </c>
      <c r="K1276" s="1615">
        <v>0</v>
      </c>
      <c r="L1276" s="1637">
        <v>0</v>
      </c>
      <c r="M1276" s="1636"/>
      <c r="N1276" s="1615"/>
      <c r="O1276" s="1635"/>
      <c r="P1276" s="1965">
        <v>26</v>
      </c>
      <c r="Q1276" s="1966" t="s">
        <v>2571</v>
      </c>
    </row>
    <row r="1277" spans="1:17" ht="12.75" customHeight="1">
      <c r="A1277" s="1962"/>
      <c r="B1277" s="1840"/>
      <c r="C1277" s="1850" t="s">
        <v>3758</v>
      </c>
      <c r="D1277" s="1934"/>
      <c r="E1277" s="1934">
        <v>1</v>
      </c>
      <c r="F1277" s="1905"/>
      <c r="G1277" s="1963" t="s">
        <v>2578</v>
      </c>
      <c r="H1277" s="1964" t="s">
        <v>2906</v>
      </c>
      <c r="I1277" s="2310"/>
      <c r="J1277" s="2534">
        <v>0</v>
      </c>
      <c r="K1277" s="1615">
        <v>0</v>
      </c>
      <c r="L1277" s="1637">
        <v>0</v>
      </c>
      <c r="M1277" s="1636"/>
      <c r="N1277" s="1615"/>
      <c r="O1277" s="1635"/>
      <c r="P1277" s="1965">
        <v>26</v>
      </c>
      <c r="Q1277" s="1966" t="s">
        <v>2571</v>
      </c>
    </row>
    <row r="1278" spans="1:17" ht="12.75" customHeight="1">
      <c r="A1278" s="1962"/>
      <c r="B1278" s="1840"/>
      <c r="C1278" s="1850" t="s">
        <v>3759</v>
      </c>
      <c r="D1278" s="1934"/>
      <c r="E1278" s="1934">
        <v>1</v>
      </c>
      <c r="F1278" s="1905"/>
      <c r="G1278" s="1963" t="s">
        <v>2578</v>
      </c>
      <c r="H1278" s="1964" t="s">
        <v>2906</v>
      </c>
      <c r="I1278" s="2310"/>
      <c r="J1278" s="2534">
        <v>0</v>
      </c>
      <c r="K1278" s="1615">
        <v>0</v>
      </c>
      <c r="L1278" s="1637">
        <v>0</v>
      </c>
      <c r="M1278" s="1636"/>
      <c r="N1278" s="1615"/>
      <c r="O1278" s="1635"/>
      <c r="P1278" s="1965">
        <v>1</v>
      </c>
      <c r="Q1278" s="1966" t="s">
        <v>2571</v>
      </c>
    </row>
    <row r="1279" spans="1:17" ht="12.75" customHeight="1">
      <c r="A1279" s="1962"/>
      <c r="B1279" s="1840"/>
      <c r="C1279" s="1850" t="s">
        <v>3760</v>
      </c>
      <c r="D1279" s="1934"/>
      <c r="E1279" s="1934">
        <v>1</v>
      </c>
      <c r="F1279" s="1905"/>
      <c r="G1279" s="1963" t="s">
        <v>2578</v>
      </c>
      <c r="H1279" s="1964" t="s">
        <v>2906</v>
      </c>
      <c r="I1279" s="2310"/>
      <c r="J1279" s="2534">
        <v>0</v>
      </c>
      <c r="K1279" s="1615">
        <v>0</v>
      </c>
      <c r="L1279" s="1637">
        <v>0</v>
      </c>
      <c r="M1279" s="1636"/>
      <c r="N1279" s="1615"/>
      <c r="O1279" s="1635"/>
      <c r="P1279" s="1965">
        <v>32</v>
      </c>
      <c r="Q1279" s="1966" t="s">
        <v>2571</v>
      </c>
    </row>
    <row r="1280" spans="1:17" ht="12.75" customHeight="1">
      <c r="A1280" s="1962"/>
      <c r="B1280" s="1840"/>
      <c r="C1280" s="1850" t="s">
        <v>3761</v>
      </c>
      <c r="D1280" s="1934"/>
      <c r="E1280" s="1934">
        <v>1</v>
      </c>
      <c r="F1280" s="1905"/>
      <c r="G1280" s="1963" t="s">
        <v>2578</v>
      </c>
      <c r="H1280" s="1964" t="s">
        <v>2906</v>
      </c>
      <c r="I1280" s="2310"/>
      <c r="J1280" s="2534">
        <v>0</v>
      </c>
      <c r="K1280" s="1615">
        <v>0</v>
      </c>
      <c r="L1280" s="1637">
        <v>0</v>
      </c>
      <c r="M1280" s="1636"/>
      <c r="N1280" s="1615"/>
      <c r="O1280" s="1635"/>
      <c r="P1280" s="1965">
        <v>32</v>
      </c>
      <c r="Q1280" s="1966" t="s">
        <v>2571</v>
      </c>
    </row>
    <row r="1281" spans="1:17" ht="12.75" customHeight="1">
      <c r="A1281" s="1962"/>
      <c r="B1281" s="1840"/>
      <c r="C1281" s="1850" t="s">
        <v>3762</v>
      </c>
      <c r="D1281" s="1934"/>
      <c r="E1281" s="1934">
        <v>1</v>
      </c>
      <c r="F1281" s="1905"/>
      <c r="G1281" s="1963" t="s">
        <v>2578</v>
      </c>
      <c r="H1281" s="1964" t="s">
        <v>2906</v>
      </c>
      <c r="I1281" s="2310"/>
      <c r="J1281" s="2534">
        <v>0</v>
      </c>
      <c r="K1281" s="1615">
        <v>0</v>
      </c>
      <c r="L1281" s="1637">
        <v>0</v>
      </c>
      <c r="M1281" s="1636"/>
      <c r="N1281" s="1615"/>
      <c r="O1281" s="1635"/>
      <c r="P1281" s="1965">
        <v>29</v>
      </c>
      <c r="Q1281" s="1966" t="s">
        <v>2571</v>
      </c>
    </row>
    <row r="1282" spans="1:17" ht="12.75" customHeight="1">
      <c r="A1282" s="1962"/>
      <c r="B1282" s="1840"/>
      <c r="C1282" s="1850" t="s">
        <v>4324</v>
      </c>
      <c r="D1282" s="1934"/>
      <c r="E1282" s="1934">
        <v>1</v>
      </c>
      <c r="F1282" s="1905"/>
      <c r="G1282" s="1963" t="s">
        <v>2564</v>
      </c>
      <c r="H1282" s="1964" t="s">
        <v>2592</v>
      </c>
      <c r="I1282" s="2310"/>
      <c r="J1282" s="2534"/>
      <c r="K1282" s="1615"/>
      <c r="L1282" s="1637"/>
      <c r="M1282" s="1636">
        <v>21000</v>
      </c>
      <c r="N1282" s="1615"/>
      <c r="O1282" s="1635"/>
      <c r="P1282" s="1965" t="s">
        <v>2566</v>
      </c>
      <c r="Q1282" s="1966" t="s">
        <v>2571</v>
      </c>
    </row>
    <row r="1283" spans="1:17" ht="12.75" customHeight="1">
      <c r="A1283" s="1962"/>
      <c r="B1283" s="1840"/>
      <c r="C1283" s="1850" t="s">
        <v>4325</v>
      </c>
      <c r="D1283" s="1934"/>
      <c r="E1283" s="1934">
        <v>1</v>
      </c>
      <c r="F1283" s="1905"/>
      <c r="G1283" s="1963" t="s">
        <v>2578</v>
      </c>
      <c r="H1283" s="1964" t="s">
        <v>2906</v>
      </c>
      <c r="I1283" s="2310"/>
      <c r="J1283" s="2534"/>
      <c r="K1283" s="1615"/>
      <c r="L1283" s="1637"/>
      <c r="M1283" s="1636">
        <v>9000000</v>
      </c>
      <c r="N1283" s="1615">
        <v>10000000</v>
      </c>
      <c r="O1283" s="1635">
        <v>15000000</v>
      </c>
      <c r="P1283" s="1965"/>
      <c r="Q1283" s="1966" t="s">
        <v>2571</v>
      </c>
    </row>
    <row r="1284" spans="1:17" ht="12.75" customHeight="1">
      <c r="A1284" s="1962"/>
      <c r="B1284" s="1840"/>
      <c r="C1284" s="1850" t="s">
        <v>4326</v>
      </c>
      <c r="D1284" s="1934"/>
      <c r="E1284" s="1934">
        <v>1</v>
      </c>
      <c r="F1284" s="1905"/>
      <c r="G1284" s="1963" t="s">
        <v>2578</v>
      </c>
      <c r="H1284" s="1964" t="s">
        <v>2906</v>
      </c>
      <c r="I1284" s="2310"/>
      <c r="J1284" s="2534"/>
      <c r="K1284" s="1615"/>
      <c r="L1284" s="1637"/>
      <c r="M1284" s="1636">
        <v>7000000</v>
      </c>
      <c r="N1284" s="1615">
        <v>8000000</v>
      </c>
      <c r="O1284" s="1635">
        <v>10000000</v>
      </c>
      <c r="P1284" s="1965"/>
      <c r="Q1284" s="1966" t="s">
        <v>2571</v>
      </c>
    </row>
    <row r="1285" spans="1:17" ht="12.75" customHeight="1">
      <c r="A1285" s="1962"/>
      <c r="B1285" s="1840"/>
      <c r="C1285" s="1850" t="s">
        <v>3206</v>
      </c>
      <c r="D1285" s="1934"/>
      <c r="E1285" s="1934">
        <v>1</v>
      </c>
      <c r="F1285" s="1905"/>
      <c r="G1285" s="1963" t="s">
        <v>2578</v>
      </c>
      <c r="H1285" s="1964" t="s">
        <v>2906</v>
      </c>
      <c r="I1285" s="2310"/>
      <c r="J1285" s="2534"/>
      <c r="K1285" s="1615"/>
      <c r="L1285" s="1637"/>
      <c r="M1285" s="1636">
        <v>500000000</v>
      </c>
      <c r="N1285" s="1615">
        <v>600000000</v>
      </c>
      <c r="O1285" s="1635">
        <v>650000000</v>
      </c>
      <c r="P1285" s="1965" t="s">
        <v>2566</v>
      </c>
      <c r="Q1285" s="1966" t="s">
        <v>2571</v>
      </c>
    </row>
    <row r="1286" spans="1:17" ht="12.75" customHeight="1">
      <c r="A1286" s="1962"/>
      <c r="B1286" s="1840"/>
      <c r="C1286" s="1850"/>
      <c r="D1286" s="1934"/>
      <c r="E1286" s="1934"/>
      <c r="F1286" s="1905"/>
      <c r="G1286" s="1963"/>
      <c r="H1286" s="1964"/>
      <c r="I1286" s="2310"/>
      <c r="J1286" s="2534"/>
      <c r="K1286" s="1615"/>
      <c r="L1286" s="1637"/>
      <c r="M1286" s="1636"/>
      <c r="N1286" s="1615"/>
      <c r="O1286" s="1635"/>
      <c r="P1286" s="1965"/>
      <c r="Q1286" s="1966"/>
    </row>
    <row r="1287" spans="1:17" ht="12.75" customHeight="1">
      <c r="A1287" s="1962"/>
      <c r="B1287" s="1840"/>
      <c r="C1287" s="1850"/>
      <c r="D1287" s="1934"/>
      <c r="E1287" s="1934"/>
      <c r="F1287" s="1905"/>
      <c r="G1287" s="1963"/>
      <c r="H1287" s="1964"/>
      <c r="I1287" s="2310"/>
      <c r="J1287" s="2534"/>
      <c r="K1287" s="1615"/>
      <c r="L1287" s="1637"/>
      <c r="M1287" s="1636"/>
      <c r="N1287" s="1615"/>
      <c r="O1287" s="1635"/>
      <c r="P1287" s="1965"/>
      <c r="Q1287" s="1966"/>
    </row>
    <row r="1288" spans="1:17" ht="12.75" customHeight="1">
      <c r="A1288" s="1962"/>
      <c r="B1288" s="1840"/>
      <c r="C1288" s="1850"/>
      <c r="D1288" s="1934"/>
      <c r="E1288" s="1934"/>
      <c r="F1288" s="1905"/>
      <c r="G1288" s="1963"/>
      <c r="H1288" s="1964"/>
      <c r="I1288" s="2310"/>
      <c r="J1288" s="2534"/>
      <c r="K1288" s="1615"/>
      <c r="L1288" s="1637"/>
      <c r="M1288" s="1636"/>
      <c r="N1288" s="1615"/>
      <c r="O1288" s="1635"/>
      <c r="P1288" s="1965"/>
      <c r="Q1288" s="1966"/>
    </row>
    <row r="1289" spans="1:17" ht="12.75" customHeight="1">
      <c r="A1289" s="1962"/>
      <c r="B1289" s="1840"/>
      <c r="C1289" s="1850"/>
      <c r="D1289" s="1934"/>
      <c r="E1289" s="1934"/>
      <c r="F1289" s="1905"/>
      <c r="G1289" s="1963"/>
      <c r="H1289" s="1964"/>
      <c r="I1289" s="2310"/>
      <c r="J1289" s="2534"/>
      <c r="K1289" s="1615"/>
      <c r="L1289" s="1637"/>
      <c r="M1289" s="1636"/>
      <c r="N1289" s="1615"/>
      <c r="O1289" s="1635"/>
      <c r="P1289" s="1965"/>
      <c r="Q1289" s="1966"/>
    </row>
    <row r="1290" spans="1:17" ht="12.75" customHeight="1">
      <c r="A1290" s="1962" t="s">
        <v>2933</v>
      </c>
      <c r="B1290" s="1840"/>
      <c r="C1290" s="1850" t="s">
        <v>3610</v>
      </c>
      <c r="D1290" s="1934"/>
      <c r="E1290" s="1934">
        <v>1</v>
      </c>
      <c r="F1290" s="1905"/>
      <c r="G1290" s="1963" t="s">
        <v>2573</v>
      </c>
      <c r="H1290" s="1964" t="s">
        <v>3611</v>
      </c>
      <c r="I1290" s="2310"/>
      <c r="J1290" s="2534">
        <v>0</v>
      </c>
      <c r="K1290" s="1615">
        <v>0</v>
      </c>
      <c r="L1290" s="1637">
        <v>0</v>
      </c>
      <c r="M1290" s="1636">
        <v>200000</v>
      </c>
      <c r="N1290" s="1615"/>
      <c r="O1290" s="1635"/>
      <c r="P1290" s="1965" t="s">
        <v>2566</v>
      </c>
      <c r="Q1290" s="1966" t="s">
        <v>2571</v>
      </c>
    </row>
    <row r="1291" spans="1:17" ht="12.75" customHeight="1">
      <c r="A1291" s="1962"/>
      <c r="B1291" s="1840"/>
      <c r="C1291" s="1850" t="s">
        <v>3763</v>
      </c>
      <c r="D1291" s="1934"/>
      <c r="E1291" s="1934">
        <v>1</v>
      </c>
      <c r="F1291" s="1905"/>
      <c r="G1291" s="1963" t="s">
        <v>2578</v>
      </c>
      <c r="H1291" s="1964" t="s">
        <v>2933</v>
      </c>
      <c r="I1291" s="2310"/>
      <c r="J1291" s="2534">
        <v>0</v>
      </c>
      <c r="K1291" s="1615">
        <v>0</v>
      </c>
      <c r="L1291" s="1637">
        <v>15000000</v>
      </c>
      <c r="M1291" s="1636"/>
      <c r="N1291" s="1615"/>
      <c r="O1291" s="1635"/>
      <c r="P1291" s="1965"/>
      <c r="Q1291" s="1966" t="s">
        <v>2571</v>
      </c>
    </row>
    <row r="1292" spans="1:17" ht="12.75" customHeight="1">
      <c r="A1292" s="1962"/>
      <c r="B1292" s="1840"/>
      <c r="C1292" s="1850" t="s">
        <v>3764</v>
      </c>
      <c r="D1292" s="1934"/>
      <c r="E1292" s="1934">
        <v>1</v>
      </c>
      <c r="F1292" s="1905"/>
      <c r="G1292" s="1963" t="s">
        <v>2578</v>
      </c>
      <c r="H1292" s="1964" t="s">
        <v>2933</v>
      </c>
      <c r="I1292" s="2310"/>
      <c r="J1292" s="2534">
        <v>0</v>
      </c>
      <c r="K1292" s="1615">
        <v>0</v>
      </c>
      <c r="L1292" s="1637">
        <v>4000000</v>
      </c>
      <c r="M1292" s="1636"/>
      <c r="N1292" s="1615"/>
      <c r="O1292" s="1635"/>
      <c r="P1292" s="1965"/>
      <c r="Q1292" s="1966" t="s">
        <v>2571</v>
      </c>
    </row>
    <row r="1293" spans="1:17" ht="12.75" customHeight="1">
      <c r="A1293" s="1962"/>
      <c r="B1293" s="1840"/>
      <c r="C1293" s="1850" t="s">
        <v>3765</v>
      </c>
      <c r="D1293" s="1934"/>
      <c r="E1293" s="1934">
        <v>1</v>
      </c>
      <c r="F1293" s="1905"/>
      <c r="G1293" s="1963" t="s">
        <v>2578</v>
      </c>
      <c r="H1293" s="1964" t="s">
        <v>2933</v>
      </c>
      <c r="I1293" s="2310"/>
      <c r="J1293" s="2534">
        <v>0</v>
      </c>
      <c r="K1293" s="1615">
        <v>0</v>
      </c>
      <c r="L1293" s="1637">
        <v>13000000</v>
      </c>
      <c r="M1293" s="1636"/>
      <c r="N1293" s="1615"/>
      <c r="O1293" s="1635"/>
      <c r="P1293" s="1965"/>
      <c r="Q1293" s="1966" t="s">
        <v>2571</v>
      </c>
    </row>
    <row r="1294" spans="1:17" ht="12.75" customHeight="1">
      <c r="A1294" s="1962"/>
      <c r="B1294" s="1840"/>
      <c r="C1294" s="1850" t="s">
        <v>3720</v>
      </c>
      <c r="D1294" s="1934"/>
      <c r="E1294" s="1934">
        <v>1</v>
      </c>
      <c r="F1294" s="1905"/>
      <c r="G1294" s="1963" t="s">
        <v>2578</v>
      </c>
      <c r="H1294" s="1964" t="s">
        <v>2933</v>
      </c>
      <c r="I1294" s="2310"/>
      <c r="J1294" s="2534">
        <v>0</v>
      </c>
      <c r="K1294" s="1615">
        <v>0</v>
      </c>
      <c r="L1294" s="1637">
        <v>10000000</v>
      </c>
      <c r="M1294" s="1636"/>
      <c r="N1294" s="1615"/>
      <c r="O1294" s="1635"/>
      <c r="P1294" s="1965"/>
      <c r="Q1294" s="1966" t="s">
        <v>2571</v>
      </c>
    </row>
    <row r="1295" spans="1:17" ht="12.75" customHeight="1">
      <c r="A1295" s="1962"/>
      <c r="B1295" s="1840"/>
      <c r="C1295" s="1850" t="s">
        <v>3766</v>
      </c>
      <c r="D1295" s="1934"/>
      <c r="E1295" s="1934">
        <v>1</v>
      </c>
      <c r="F1295" s="1905"/>
      <c r="G1295" s="1963" t="s">
        <v>2578</v>
      </c>
      <c r="H1295" s="1964" t="s">
        <v>2933</v>
      </c>
      <c r="I1295" s="2310"/>
      <c r="J1295" s="2534">
        <v>0</v>
      </c>
      <c r="K1295" s="1615">
        <v>0</v>
      </c>
      <c r="L1295" s="1637">
        <v>4000000</v>
      </c>
      <c r="M1295" s="1636"/>
      <c r="N1295" s="1615"/>
      <c r="O1295" s="1635"/>
      <c r="P1295" s="1965"/>
      <c r="Q1295" s="1966" t="s">
        <v>2571</v>
      </c>
    </row>
    <row r="1296" spans="1:17" ht="12.75" customHeight="1">
      <c r="A1296" s="1962"/>
      <c r="B1296" s="1840"/>
      <c r="C1296" s="1850" t="s">
        <v>3767</v>
      </c>
      <c r="D1296" s="1934"/>
      <c r="E1296" s="1934">
        <v>1</v>
      </c>
      <c r="F1296" s="1905"/>
      <c r="G1296" s="1963" t="s">
        <v>2578</v>
      </c>
      <c r="H1296" s="1964" t="s">
        <v>2933</v>
      </c>
      <c r="I1296" s="2310"/>
      <c r="J1296" s="2534">
        <v>0</v>
      </c>
      <c r="K1296" s="1615">
        <v>0</v>
      </c>
      <c r="L1296" s="1637">
        <v>700000</v>
      </c>
      <c r="M1296" s="1636"/>
      <c r="N1296" s="1615"/>
      <c r="O1296" s="1635"/>
      <c r="P1296" s="1965" t="s">
        <v>2566</v>
      </c>
      <c r="Q1296" s="1966" t="s">
        <v>2571</v>
      </c>
    </row>
    <row r="1297" spans="1:17" ht="12.75" customHeight="1">
      <c r="A1297" s="1962"/>
      <c r="B1297" s="1840"/>
      <c r="C1297" s="1850" t="s">
        <v>3768</v>
      </c>
      <c r="D1297" s="1934"/>
      <c r="E1297" s="1934">
        <v>1</v>
      </c>
      <c r="F1297" s="1905"/>
      <c r="G1297" s="1963" t="s">
        <v>2578</v>
      </c>
      <c r="H1297" s="1964" t="s">
        <v>2933</v>
      </c>
      <c r="I1297" s="2310"/>
      <c r="J1297" s="2534">
        <v>0</v>
      </c>
      <c r="K1297" s="1615">
        <v>0</v>
      </c>
      <c r="L1297" s="1637">
        <v>0</v>
      </c>
      <c r="M1297" s="1636">
        <v>2000000</v>
      </c>
      <c r="N1297" s="1615"/>
      <c r="O1297" s="1635"/>
      <c r="P1297" s="1965">
        <v>17</v>
      </c>
      <c r="Q1297" s="1966" t="s">
        <v>2571</v>
      </c>
    </row>
    <row r="1298" spans="1:17" ht="12.75" customHeight="1">
      <c r="A1298" s="1962"/>
      <c r="B1298" s="1840"/>
      <c r="C1298" s="1850" t="s">
        <v>3769</v>
      </c>
      <c r="D1298" s="1934"/>
      <c r="E1298" s="1934">
        <v>1</v>
      </c>
      <c r="F1298" s="1905"/>
      <c r="G1298" s="1963" t="s">
        <v>2578</v>
      </c>
      <c r="H1298" s="1964" t="s">
        <v>2933</v>
      </c>
      <c r="I1298" s="2310"/>
      <c r="J1298" s="2534">
        <v>0</v>
      </c>
      <c r="K1298" s="1615">
        <v>0</v>
      </c>
      <c r="L1298" s="1637">
        <v>0</v>
      </c>
      <c r="M1298" s="1636"/>
      <c r="N1298" s="1615"/>
      <c r="O1298" s="1635"/>
      <c r="P1298" s="1965">
        <v>17</v>
      </c>
      <c r="Q1298" s="1966" t="s">
        <v>2571</v>
      </c>
    </row>
    <row r="1299" spans="1:17" ht="12.75" customHeight="1">
      <c r="A1299" s="1962"/>
      <c r="B1299" s="1840"/>
      <c r="C1299" s="1850" t="s">
        <v>3770</v>
      </c>
      <c r="D1299" s="1934"/>
      <c r="E1299" s="1934">
        <v>1</v>
      </c>
      <c r="F1299" s="1905"/>
      <c r="G1299" s="1963" t="s">
        <v>2578</v>
      </c>
      <c r="H1299" s="1964" t="s">
        <v>2933</v>
      </c>
      <c r="I1299" s="2310"/>
      <c r="J1299" s="2534">
        <v>0</v>
      </c>
      <c r="K1299" s="1615">
        <v>0</v>
      </c>
      <c r="L1299" s="1637">
        <v>0</v>
      </c>
      <c r="M1299" s="1636"/>
      <c r="N1299" s="1615"/>
      <c r="O1299" s="1635"/>
      <c r="P1299" s="1965" t="s">
        <v>3771</v>
      </c>
      <c r="Q1299" s="1966" t="s">
        <v>2571</v>
      </c>
    </row>
    <row r="1300" spans="1:17" ht="12.75" customHeight="1">
      <c r="A1300" s="1962"/>
      <c r="B1300" s="1840"/>
      <c r="C1300" s="1850" t="s">
        <v>3772</v>
      </c>
      <c r="D1300" s="1934"/>
      <c r="E1300" s="1934">
        <v>1</v>
      </c>
      <c r="F1300" s="1905"/>
      <c r="G1300" s="1963" t="s">
        <v>2578</v>
      </c>
      <c r="H1300" s="1964" t="s">
        <v>2933</v>
      </c>
      <c r="I1300" s="2310"/>
      <c r="J1300" s="2534">
        <v>0</v>
      </c>
      <c r="K1300" s="1615">
        <v>0</v>
      </c>
      <c r="L1300" s="1637">
        <v>0</v>
      </c>
      <c r="M1300" s="1636">
        <v>10000000</v>
      </c>
      <c r="N1300" s="1615">
        <v>16000000</v>
      </c>
      <c r="O1300" s="1635">
        <v>6000000</v>
      </c>
      <c r="P1300" s="1965">
        <v>25</v>
      </c>
      <c r="Q1300" s="1966" t="s">
        <v>2571</v>
      </c>
    </row>
    <row r="1301" spans="1:17" ht="12.75" customHeight="1">
      <c r="A1301" s="1962"/>
      <c r="B1301" s="1840"/>
      <c r="C1301" s="1850" t="s">
        <v>3773</v>
      </c>
      <c r="D1301" s="1934"/>
      <c r="E1301" s="1934">
        <v>1</v>
      </c>
      <c r="F1301" s="1905"/>
      <c r="G1301" s="1963" t="s">
        <v>2578</v>
      </c>
      <c r="H1301" s="1964" t="s">
        <v>2933</v>
      </c>
      <c r="I1301" s="2310"/>
      <c r="J1301" s="2534">
        <v>0</v>
      </c>
      <c r="K1301" s="1615">
        <v>0</v>
      </c>
      <c r="L1301" s="1637">
        <v>0</v>
      </c>
      <c r="M1301" s="1636"/>
      <c r="N1301" s="1615"/>
      <c r="O1301" s="1635"/>
      <c r="P1301" s="1965">
        <v>17</v>
      </c>
      <c r="Q1301" s="1966" t="s">
        <v>2571</v>
      </c>
    </row>
    <row r="1302" spans="1:17" ht="12.75" customHeight="1">
      <c r="A1302" s="1962"/>
      <c r="B1302" s="1840"/>
      <c r="C1302" s="1850" t="s">
        <v>3774</v>
      </c>
      <c r="D1302" s="1934"/>
      <c r="E1302" s="1934">
        <v>1</v>
      </c>
      <c r="F1302" s="1905"/>
      <c r="G1302" s="1963" t="s">
        <v>2578</v>
      </c>
      <c r="H1302" s="1964" t="s">
        <v>2933</v>
      </c>
      <c r="I1302" s="2310"/>
      <c r="J1302" s="2534">
        <v>0</v>
      </c>
      <c r="K1302" s="1615">
        <v>0</v>
      </c>
      <c r="L1302" s="1637">
        <v>0</v>
      </c>
      <c r="M1302" s="1636"/>
      <c r="N1302" s="1615"/>
      <c r="O1302" s="1635"/>
      <c r="P1302" s="1965"/>
      <c r="Q1302" s="1966" t="s">
        <v>2571</v>
      </c>
    </row>
    <row r="1303" spans="1:17" ht="12.75" customHeight="1">
      <c r="A1303" s="1962"/>
      <c r="B1303" s="1840"/>
      <c r="C1303" s="1850" t="s">
        <v>3775</v>
      </c>
      <c r="D1303" s="1934"/>
      <c r="E1303" s="1934">
        <v>1</v>
      </c>
      <c r="F1303" s="1905"/>
      <c r="G1303" s="1963" t="s">
        <v>2578</v>
      </c>
      <c r="H1303" s="1964" t="s">
        <v>2933</v>
      </c>
      <c r="I1303" s="2310"/>
      <c r="J1303" s="2534">
        <v>0</v>
      </c>
      <c r="K1303" s="1615">
        <v>0</v>
      </c>
      <c r="L1303" s="1637">
        <v>0</v>
      </c>
      <c r="M1303" s="1636"/>
      <c r="N1303" s="1615"/>
      <c r="O1303" s="1635"/>
      <c r="P1303" s="1965">
        <v>20</v>
      </c>
      <c r="Q1303" s="1966" t="s">
        <v>2571</v>
      </c>
    </row>
    <row r="1304" spans="1:17" ht="12.75" customHeight="1">
      <c r="A1304" s="1962"/>
      <c r="B1304" s="1840"/>
      <c r="C1304" s="1850" t="s">
        <v>3776</v>
      </c>
      <c r="D1304" s="1934"/>
      <c r="E1304" s="1934">
        <v>1</v>
      </c>
      <c r="F1304" s="1905"/>
      <c r="G1304" s="1963" t="s">
        <v>2578</v>
      </c>
      <c r="H1304" s="1964" t="s">
        <v>2933</v>
      </c>
      <c r="I1304" s="2310"/>
      <c r="J1304" s="2534">
        <v>0</v>
      </c>
      <c r="K1304" s="1615">
        <v>0</v>
      </c>
      <c r="L1304" s="1637">
        <v>0</v>
      </c>
      <c r="M1304" s="1636"/>
      <c r="N1304" s="1615"/>
      <c r="O1304" s="1635"/>
      <c r="P1304" s="1965">
        <v>36</v>
      </c>
      <c r="Q1304" s="1966" t="s">
        <v>2571</v>
      </c>
    </row>
    <row r="1305" spans="1:17" ht="12.75" customHeight="1">
      <c r="A1305" s="1962"/>
      <c r="B1305" s="1840"/>
      <c r="C1305" s="1850" t="s">
        <v>3777</v>
      </c>
      <c r="D1305" s="1934"/>
      <c r="E1305" s="1934">
        <v>1</v>
      </c>
      <c r="F1305" s="1905"/>
      <c r="G1305" s="1963" t="s">
        <v>2578</v>
      </c>
      <c r="H1305" s="1964" t="s">
        <v>2933</v>
      </c>
      <c r="I1305" s="2310"/>
      <c r="J1305" s="2534">
        <v>0</v>
      </c>
      <c r="K1305" s="1615">
        <v>0</v>
      </c>
      <c r="L1305" s="1637">
        <v>6000000</v>
      </c>
      <c r="M1305" s="1636">
        <v>3500000</v>
      </c>
      <c r="N1305" s="1615">
        <v>3500000</v>
      </c>
      <c r="O1305" s="1635"/>
      <c r="P1305" s="1965">
        <v>34</v>
      </c>
      <c r="Q1305" s="1966" t="s">
        <v>2587</v>
      </c>
    </row>
    <row r="1306" spans="1:17" ht="12.75" customHeight="1">
      <c r="A1306" s="1962"/>
      <c r="B1306" s="1840"/>
      <c r="C1306" s="1850" t="s">
        <v>3778</v>
      </c>
      <c r="D1306" s="1934"/>
      <c r="E1306" s="1934">
        <v>1</v>
      </c>
      <c r="F1306" s="1905"/>
      <c r="G1306" s="1963" t="s">
        <v>2578</v>
      </c>
      <c r="H1306" s="1964" t="s">
        <v>2933</v>
      </c>
      <c r="I1306" s="2310"/>
      <c r="J1306" s="2534">
        <v>0</v>
      </c>
      <c r="K1306" s="1615">
        <v>0</v>
      </c>
      <c r="L1306" s="1637">
        <v>0</v>
      </c>
      <c r="M1306" s="1636"/>
      <c r="N1306" s="1615"/>
      <c r="O1306" s="1635"/>
      <c r="P1306" s="1965">
        <v>20</v>
      </c>
      <c r="Q1306" s="1966" t="s">
        <v>2571</v>
      </c>
    </row>
    <row r="1307" spans="1:17" ht="12.75" customHeight="1">
      <c r="A1307" s="1962"/>
      <c r="B1307" s="1840"/>
      <c r="C1307" s="1850" t="s">
        <v>3779</v>
      </c>
      <c r="D1307" s="1934"/>
      <c r="E1307" s="1934">
        <v>1</v>
      </c>
      <c r="F1307" s="1905"/>
      <c r="G1307" s="1963" t="s">
        <v>2578</v>
      </c>
      <c r="H1307" s="1964" t="s">
        <v>2933</v>
      </c>
      <c r="I1307" s="2310"/>
      <c r="J1307" s="2534">
        <v>0</v>
      </c>
      <c r="K1307" s="1615">
        <v>0</v>
      </c>
      <c r="L1307" s="1637">
        <v>0</v>
      </c>
      <c r="M1307" s="1636"/>
      <c r="N1307" s="1615"/>
      <c r="O1307" s="1635"/>
      <c r="P1307" s="1965">
        <v>29</v>
      </c>
      <c r="Q1307" s="1966" t="s">
        <v>2571</v>
      </c>
    </row>
    <row r="1308" spans="1:17" ht="12.75" customHeight="1">
      <c r="A1308" s="1962"/>
      <c r="B1308" s="1840"/>
      <c r="C1308" s="1850" t="s">
        <v>3780</v>
      </c>
      <c r="D1308" s="1934"/>
      <c r="E1308" s="1934">
        <v>1</v>
      </c>
      <c r="F1308" s="1905"/>
      <c r="G1308" s="1963" t="s">
        <v>2578</v>
      </c>
      <c r="H1308" s="1964" t="s">
        <v>2933</v>
      </c>
      <c r="I1308" s="2310"/>
      <c r="J1308" s="2534">
        <v>0</v>
      </c>
      <c r="K1308" s="1615">
        <v>0</v>
      </c>
      <c r="L1308" s="1637">
        <v>31100000</v>
      </c>
      <c r="M1308" s="1636"/>
      <c r="N1308" s="1615"/>
      <c r="O1308" s="1635"/>
      <c r="P1308" s="1965" t="s">
        <v>3160</v>
      </c>
      <c r="Q1308" s="1966" t="s">
        <v>2571</v>
      </c>
    </row>
    <row r="1309" spans="1:17" ht="12.75" customHeight="1">
      <c r="A1309" s="1962"/>
      <c r="B1309" s="1840"/>
      <c r="C1309" s="1850" t="s">
        <v>3781</v>
      </c>
      <c r="D1309" s="1934"/>
      <c r="E1309" s="1934">
        <v>1</v>
      </c>
      <c r="F1309" s="1905"/>
      <c r="G1309" s="1963" t="s">
        <v>2578</v>
      </c>
      <c r="H1309" s="1964" t="s">
        <v>2933</v>
      </c>
      <c r="I1309" s="2310"/>
      <c r="J1309" s="2534">
        <v>0</v>
      </c>
      <c r="K1309" s="1615">
        <v>0</v>
      </c>
      <c r="L1309" s="1637">
        <v>2900000</v>
      </c>
      <c r="M1309" s="1636"/>
      <c r="N1309" s="1615"/>
      <c r="O1309" s="1635"/>
      <c r="P1309" s="1965">
        <v>31</v>
      </c>
      <c r="Q1309" s="1966" t="s">
        <v>2571</v>
      </c>
    </row>
    <row r="1310" spans="1:17" ht="12.75" customHeight="1">
      <c r="A1310" s="1962"/>
      <c r="B1310" s="1840"/>
      <c r="C1310" s="1850" t="s">
        <v>3782</v>
      </c>
      <c r="D1310" s="1934"/>
      <c r="E1310" s="1934">
        <v>1</v>
      </c>
      <c r="F1310" s="1905"/>
      <c r="G1310" s="1963" t="s">
        <v>2578</v>
      </c>
      <c r="H1310" s="1964" t="s">
        <v>2933</v>
      </c>
      <c r="I1310" s="2310"/>
      <c r="J1310" s="2534">
        <v>0</v>
      </c>
      <c r="K1310" s="1615">
        <v>0</v>
      </c>
      <c r="L1310" s="1637">
        <v>0</v>
      </c>
      <c r="M1310" s="1636"/>
      <c r="N1310" s="1615"/>
      <c r="O1310" s="1635"/>
      <c r="P1310" s="1965">
        <v>29</v>
      </c>
      <c r="Q1310" s="1966" t="s">
        <v>2571</v>
      </c>
    </row>
    <row r="1311" spans="1:17" ht="12.75" customHeight="1">
      <c r="A1311" s="1962"/>
      <c r="B1311" s="1840"/>
      <c r="C1311" s="1850" t="s">
        <v>3783</v>
      </c>
      <c r="D1311" s="1934"/>
      <c r="E1311" s="1934">
        <v>1</v>
      </c>
      <c r="F1311" s="1905"/>
      <c r="G1311" s="1963" t="s">
        <v>2578</v>
      </c>
      <c r="H1311" s="1964" t="s">
        <v>2933</v>
      </c>
      <c r="I1311" s="2310"/>
      <c r="J1311" s="2534">
        <v>0</v>
      </c>
      <c r="K1311" s="1615">
        <v>0</v>
      </c>
      <c r="L1311" s="1637">
        <v>0</v>
      </c>
      <c r="M1311" s="1636"/>
      <c r="N1311" s="1615"/>
      <c r="O1311" s="1635"/>
      <c r="P1311" s="1965">
        <v>25</v>
      </c>
      <c r="Q1311" s="1966" t="s">
        <v>2571</v>
      </c>
    </row>
    <row r="1312" spans="1:17" ht="12.75" customHeight="1">
      <c r="A1312" s="1962"/>
      <c r="B1312" s="1840"/>
      <c r="C1312" s="1850" t="s">
        <v>3784</v>
      </c>
      <c r="D1312" s="1934"/>
      <c r="E1312" s="1934">
        <v>1</v>
      </c>
      <c r="F1312" s="1905"/>
      <c r="G1312" s="1963" t="s">
        <v>2578</v>
      </c>
      <c r="H1312" s="1964" t="s">
        <v>2933</v>
      </c>
      <c r="I1312" s="2310"/>
      <c r="J1312" s="2534">
        <v>0</v>
      </c>
      <c r="K1312" s="1615">
        <v>0</v>
      </c>
      <c r="L1312" s="1637">
        <v>0</v>
      </c>
      <c r="M1312" s="1636"/>
      <c r="N1312" s="1615"/>
      <c r="O1312" s="1635"/>
      <c r="P1312" s="1965">
        <v>1</v>
      </c>
      <c r="Q1312" s="1966" t="s">
        <v>2571</v>
      </c>
    </row>
    <row r="1313" spans="1:17" ht="12.75" customHeight="1">
      <c r="A1313" s="1962"/>
      <c r="B1313" s="1840"/>
      <c r="C1313" s="1850" t="s">
        <v>3785</v>
      </c>
      <c r="D1313" s="1934"/>
      <c r="E1313" s="1934">
        <v>1</v>
      </c>
      <c r="F1313" s="1905"/>
      <c r="G1313" s="1963" t="s">
        <v>2578</v>
      </c>
      <c r="H1313" s="1964" t="s">
        <v>2933</v>
      </c>
      <c r="I1313" s="2310"/>
      <c r="J1313" s="2534">
        <v>0</v>
      </c>
      <c r="K1313" s="1615">
        <v>0</v>
      </c>
      <c r="L1313" s="1637">
        <v>10000000</v>
      </c>
      <c r="M1313" s="1636">
        <v>5700000</v>
      </c>
      <c r="N1313" s="1615">
        <v>5700000</v>
      </c>
      <c r="O1313" s="1635">
        <v>24000000</v>
      </c>
      <c r="P1313" s="1965">
        <v>18</v>
      </c>
      <c r="Q1313" s="1966" t="s">
        <v>2587</v>
      </c>
    </row>
    <row r="1314" spans="1:17" ht="12.75" customHeight="1">
      <c r="A1314" s="1962"/>
      <c r="B1314" s="1840"/>
      <c r="C1314" s="1850" t="s">
        <v>3786</v>
      </c>
      <c r="D1314" s="1934"/>
      <c r="E1314" s="1934">
        <v>1</v>
      </c>
      <c r="F1314" s="1905"/>
      <c r="G1314" s="1963" t="s">
        <v>2578</v>
      </c>
      <c r="H1314" s="1964" t="s">
        <v>2933</v>
      </c>
      <c r="I1314" s="2310"/>
      <c r="J1314" s="2534">
        <v>0</v>
      </c>
      <c r="K1314" s="1615">
        <v>0</v>
      </c>
      <c r="L1314" s="1637">
        <v>10000000</v>
      </c>
      <c r="M1314" s="1636"/>
      <c r="N1314" s="1615"/>
      <c r="O1314" s="1635"/>
      <c r="P1314" s="1965" t="s">
        <v>3787</v>
      </c>
      <c r="Q1314" s="1966" t="s">
        <v>2587</v>
      </c>
    </row>
    <row r="1315" spans="1:17" ht="12.75" customHeight="1">
      <c r="A1315" s="1962"/>
      <c r="B1315" s="1840"/>
      <c r="C1315" s="1850" t="s">
        <v>3788</v>
      </c>
      <c r="D1315" s="1934"/>
      <c r="E1315" s="1934">
        <v>1</v>
      </c>
      <c r="F1315" s="1905"/>
      <c r="G1315" s="1963" t="s">
        <v>2578</v>
      </c>
      <c r="H1315" s="1964" t="s">
        <v>2933</v>
      </c>
      <c r="I1315" s="2310"/>
      <c r="J1315" s="2534">
        <v>0</v>
      </c>
      <c r="K1315" s="1615">
        <v>0</v>
      </c>
      <c r="L1315" s="1637">
        <v>0</v>
      </c>
      <c r="M1315" s="1636"/>
      <c r="N1315" s="1615"/>
      <c r="O1315" s="1635"/>
      <c r="P1315" s="1965">
        <v>36</v>
      </c>
      <c r="Q1315" s="1966" t="s">
        <v>2571</v>
      </c>
    </row>
    <row r="1316" spans="1:17" ht="12.75" customHeight="1">
      <c r="A1316" s="1962"/>
      <c r="B1316" s="1840"/>
      <c r="C1316" s="1850" t="s">
        <v>3789</v>
      </c>
      <c r="D1316" s="1934"/>
      <c r="E1316" s="1934">
        <v>1</v>
      </c>
      <c r="F1316" s="1905"/>
      <c r="G1316" s="1963" t="s">
        <v>2578</v>
      </c>
      <c r="H1316" s="1964" t="s">
        <v>2933</v>
      </c>
      <c r="I1316" s="2310"/>
      <c r="J1316" s="2534">
        <v>0</v>
      </c>
      <c r="K1316" s="1615">
        <v>0</v>
      </c>
      <c r="L1316" s="1637">
        <v>0</v>
      </c>
      <c r="M1316" s="1636"/>
      <c r="N1316" s="1615"/>
      <c r="O1316" s="1635"/>
      <c r="P1316" s="1965">
        <v>18</v>
      </c>
      <c r="Q1316" s="1966" t="s">
        <v>2571</v>
      </c>
    </row>
    <row r="1317" spans="1:17" ht="12.75" customHeight="1">
      <c r="A1317" s="1962"/>
      <c r="B1317" s="1840"/>
      <c r="C1317" s="1850" t="s">
        <v>3790</v>
      </c>
      <c r="D1317" s="1934"/>
      <c r="E1317" s="1934">
        <v>1</v>
      </c>
      <c r="F1317" s="1905"/>
      <c r="G1317" s="1963" t="s">
        <v>2578</v>
      </c>
      <c r="H1317" s="1964" t="s">
        <v>2933</v>
      </c>
      <c r="I1317" s="2310"/>
      <c r="J1317" s="2534">
        <v>0</v>
      </c>
      <c r="K1317" s="1615">
        <v>0</v>
      </c>
      <c r="L1317" s="1637">
        <v>0</v>
      </c>
      <c r="M1317" s="1636"/>
      <c r="N1317" s="1615"/>
      <c r="O1317" s="1635"/>
      <c r="P1317" s="1965">
        <v>2</v>
      </c>
      <c r="Q1317" s="1966" t="s">
        <v>2571</v>
      </c>
    </row>
    <row r="1318" spans="1:17" ht="12.75" customHeight="1">
      <c r="A1318" s="1962"/>
      <c r="B1318" s="1840"/>
      <c r="C1318" s="1850" t="s">
        <v>3791</v>
      </c>
      <c r="D1318" s="1934"/>
      <c r="E1318" s="1934">
        <v>1</v>
      </c>
      <c r="F1318" s="1905"/>
      <c r="G1318" s="1963" t="s">
        <v>2578</v>
      </c>
      <c r="H1318" s="1964" t="s">
        <v>2933</v>
      </c>
      <c r="I1318" s="2310"/>
      <c r="J1318" s="2534">
        <v>0</v>
      </c>
      <c r="K1318" s="1615">
        <v>0</v>
      </c>
      <c r="L1318" s="1637">
        <v>0</v>
      </c>
      <c r="M1318" s="1636"/>
      <c r="N1318" s="1615"/>
      <c r="O1318" s="1635"/>
      <c r="P1318" s="1965">
        <v>26</v>
      </c>
      <c r="Q1318" s="1966" t="s">
        <v>2571</v>
      </c>
    </row>
    <row r="1319" spans="1:17" ht="12.75" customHeight="1">
      <c r="A1319" s="1962"/>
      <c r="B1319" s="1840"/>
      <c r="C1319" s="1850" t="s">
        <v>3792</v>
      </c>
      <c r="D1319" s="1934"/>
      <c r="E1319" s="1934">
        <v>1</v>
      </c>
      <c r="F1319" s="1905"/>
      <c r="G1319" s="1963" t="s">
        <v>2578</v>
      </c>
      <c r="H1319" s="1964" t="s">
        <v>2933</v>
      </c>
      <c r="I1319" s="2310"/>
      <c r="J1319" s="2534">
        <v>0</v>
      </c>
      <c r="K1319" s="1615">
        <v>0</v>
      </c>
      <c r="L1319" s="1637">
        <v>0</v>
      </c>
      <c r="M1319" s="1636"/>
      <c r="N1319" s="1615"/>
      <c r="O1319" s="1635"/>
      <c r="P1319" s="1965">
        <v>33</v>
      </c>
      <c r="Q1319" s="1966" t="s">
        <v>2571</v>
      </c>
    </row>
    <row r="1320" spans="1:17" ht="12.75" customHeight="1">
      <c r="A1320" s="1962"/>
      <c r="B1320" s="1840"/>
      <c r="C1320" s="1850" t="s">
        <v>3793</v>
      </c>
      <c r="D1320" s="1934"/>
      <c r="E1320" s="1934">
        <v>1</v>
      </c>
      <c r="F1320" s="1905"/>
      <c r="G1320" s="1963" t="s">
        <v>2578</v>
      </c>
      <c r="H1320" s="1964" t="s">
        <v>2933</v>
      </c>
      <c r="I1320" s="2310"/>
      <c r="J1320" s="2534">
        <v>0</v>
      </c>
      <c r="K1320" s="1615">
        <v>0</v>
      </c>
      <c r="L1320" s="1637">
        <v>0</v>
      </c>
      <c r="M1320" s="1636"/>
      <c r="N1320" s="1615"/>
      <c r="O1320" s="1635"/>
      <c r="P1320" s="1965">
        <v>34</v>
      </c>
      <c r="Q1320" s="1966" t="s">
        <v>2571</v>
      </c>
    </row>
    <row r="1321" spans="1:17" ht="12.75" customHeight="1">
      <c r="A1321" s="1962"/>
      <c r="B1321" s="1840"/>
      <c r="C1321" s="1850" t="s">
        <v>3794</v>
      </c>
      <c r="D1321" s="1934"/>
      <c r="E1321" s="1934">
        <v>1</v>
      </c>
      <c r="F1321" s="1905"/>
      <c r="G1321" s="1963" t="s">
        <v>2578</v>
      </c>
      <c r="H1321" s="1964" t="s">
        <v>2933</v>
      </c>
      <c r="I1321" s="2310"/>
      <c r="J1321" s="2534">
        <v>0</v>
      </c>
      <c r="K1321" s="1615">
        <v>0</v>
      </c>
      <c r="L1321" s="1637">
        <v>0</v>
      </c>
      <c r="M1321" s="1636"/>
      <c r="N1321" s="1615"/>
      <c r="O1321" s="1635"/>
      <c r="P1321" s="1965">
        <v>36</v>
      </c>
      <c r="Q1321" s="1966" t="s">
        <v>2571</v>
      </c>
    </row>
    <row r="1322" spans="1:17" ht="12.75" customHeight="1">
      <c r="A1322" s="1962"/>
      <c r="B1322" s="1840"/>
      <c r="C1322" s="1850" t="s">
        <v>3795</v>
      </c>
      <c r="D1322" s="1934"/>
      <c r="E1322" s="1934">
        <v>1</v>
      </c>
      <c r="F1322" s="1905"/>
      <c r="G1322" s="1963" t="s">
        <v>2578</v>
      </c>
      <c r="H1322" s="1964" t="s">
        <v>2933</v>
      </c>
      <c r="I1322" s="2310"/>
      <c r="J1322" s="2534">
        <v>0</v>
      </c>
      <c r="K1322" s="1615">
        <v>0</v>
      </c>
      <c r="L1322" s="1637">
        <v>0</v>
      </c>
      <c r="M1322" s="1636"/>
      <c r="N1322" s="1615"/>
      <c r="O1322" s="1635"/>
      <c r="P1322" s="1965">
        <v>5</v>
      </c>
      <c r="Q1322" s="1966" t="s">
        <v>2571</v>
      </c>
    </row>
    <row r="1323" spans="1:17" ht="12.75" customHeight="1">
      <c r="A1323" s="1962"/>
      <c r="B1323" s="1840"/>
      <c r="C1323" s="1850" t="s">
        <v>3796</v>
      </c>
      <c r="D1323" s="1934"/>
      <c r="E1323" s="1934">
        <v>1</v>
      </c>
      <c r="F1323" s="1905"/>
      <c r="G1323" s="1963" t="s">
        <v>2578</v>
      </c>
      <c r="H1323" s="1964" t="s">
        <v>2933</v>
      </c>
      <c r="I1323" s="2310"/>
      <c r="J1323" s="2534">
        <v>0</v>
      </c>
      <c r="K1323" s="1615">
        <v>0</v>
      </c>
      <c r="L1323" s="1637">
        <v>0</v>
      </c>
      <c r="M1323" s="1636"/>
      <c r="N1323" s="1615"/>
      <c r="O1323" s="1635"/>
      <c r="P1323" s="1965">
        <v>7</v>
      </c>
      <c r="Q1323" s="1966" t="s">
        <v>2571</v>
      </c>
    </row>
    <row r="1324" spans="1:17" ht="12.75" customHeight="1">
      <c r="A1324" s="1962"/>
      <c r="B1324" s="1840"/>
      <c r="C1324" s="1850" t="s">
        <v>3797</v>
      </c>
      <c r="D1324" s="1934"/>
      <c r="E1324" s="1934">
        <v>1</v>
      </c>
      <c r="F1324" s="1905"/>
      <c r="G1324" s="1963" t="s">
        <v>2578</v>
      </c>
      <c r="H1324" s="1964" t="s">
        <v>2933</v>
      </c>
      <c r="I1324" s="2310"/>
      <c r="J1324" s="2534">
        <v>0</v>
      </c>
      <c r="K1324" s="1615">
        <v>0</v>
      </c>
      <c r="L1324" s="1637">
        <v>0</v>
      </c>
      <c r="M1324" s="1636"/>
      <c r="N1324" s="1615"/>
      <c r="O1324" s="1635"/>
      <c r="P1324" s="1965">
        <v>22</v>
      </c>
      <c r="Q1324" s="1966" t="s">
        <v>2571</v>
      </c>
    </row>
    <row r="1325" spans="1:17" ht="12.75" customHeight="1">
      <c r="A1325" s="1962"/>
      <c r="B1325" s="1840"/>
      <c r="C1325" s="1850" t="s">
        <v>3798</v>
      </c>
      <c r="D1325" s="1934"/>
      <c r="E1325" s="1934">
        <v>1</v>
      </c>
      <c r="F1325" s="1905"/>
      <c r="G1325" s="1963" t="s">
        <v>2578</v>
      </c>
      <c r="H1325" s="1964" t="s">
        <v>2933</v>
      </c>
      <c r="I1325" s="2310"/>
      <c r="J1325" s="2534">
        <v>0</v>
      </c>
      <c r="K1325" s="1615">
        <v>0</v>
      </c>
      <c r="L1325" s="1637">
        <v>0</v>
      </c>
      <c r="M1325" s="1636"/>
      <c r="N1325" s="1615"/>
      <c r="O1325" s="1635"/>
      <c r="P1325" s="1965">
        <v>25</v>
      </c>
      <c r="Q1325" s="1966" t="s">
        <v>2571</v>
      </c>
    </row>
    <row r="1326" spans="1:17" ht="12.75" customHeight="1">
      <c r="A1326" s="1962"/>
      <c r="B1326" s="1840"/>
      <c r="C1326" s="1850" t="s">
        <v>3799</v>
      </c>
      <c r="D1326" s="1934"/>
      <c r="E1326" s="1934">
        <v>1</v>
      </c>
      <c r="F1326" s="1905"/>
      <c r="G1326" s="1963" t="s">
        <v>2578</v>
      </c>
      <c r="H1326" s="1964" t="s">
        <v>2933</v>
      </c>
      <c r="I1326" s="2310"/>
      <c r="J1326" s="2534">
        <v>0</v>
      </c>
      <c r="K1326" s="1615">
        <v>0</v>
      </c>
      <c r="L1326" s="1637">
        <v>0</v>
      </c>
      <c r="M1326" s="1636"/>
      <c r="N1326" s="1615"/>
      <c r="O1326" s="1635"/>
      <c r="P1326" s="1965">
        <v>25</v>
      </c>
      <c r="Q1326" s="1966" t="s">
        <v>2571</v>
      </c>
    </row>
    <row r="1327" spans="1:17" ht="12.75" customHeight="1">
      <c r="A1327" s="1962"/>
      <c r="B1327" s="1840"/>
      <c r="C1327" s="1850" t="s">
        <v>3800</v>
      </c>
      <c r="D1327" s="1934"/>
      <c r="E1327" s="1934">
        <v>1</v>
      </c>
      <c r="F1327" s="1905"/>
      <c r="G1327" s="1963" t="s">
        <v>2578</v>
      </c>
      <c r="H1327" s="1964" t="s">
        <v>2933</v>
      </c>
      <c r="I1327" s="2310"/>
      <c r="J1327" s="2534">
        <v>0</v>
      </c>
      <c r="K1327" s="1615">
        <v>0</v>
      </c>
      <c r="L1327" s="1637">
        <v>0</v>
      </c>
      <c r="M1327" s="1636"/>
      <c r="N1327" s="1615"/>
      <c r="O1327" s="1635"/>
      <c r="P1327" s="1965">
        <v>29</v>
      </c>
      <c r="Q1327" s="1966" t="s">
        <v>2571</v>
      </c>
    </row>
    <row r="1328" spans="1:17" ht="12.75" customHeight="1">
      <c r="A1328" s="1962"/>
      <c r="B1328" s="1840"/>
      <c r="C1328" s="1850" t="s">
        <v>3801</v>
      </c>
      <c r="D1328" s="1934"/>
      <c r="E1328" s="1934">
        <v>1</v>
      </c>
      <c r="F1328" s="1905"/>
      <c r="G1328" s="1963" t="s">
        <v>2578</v>
      </c>
      <c r="H1328" s="1964" t="s">
        <v>2933</v>
      </c>
      <c r="I1328" s="2310"/>
      <c r="J1328" s="2534">
        <v>0</v>
      </c>
      <c r="K1328" s="1615">
        <v>0</v>
      </c>
      <c r="L1328" s="1637">
        <v>0</v>
      </c>
      <c r="M1328" s="1636"/>
      <c r="N1328" s="1615"/>
      <c r="O1328" s="1635"/>
      <c r="P1328" s="1965" t="s">
        <v>3802</v>
      </c>
      <c r="Q1328" s="1966" t="s">
        <v>2571</v>
      </c>
    </row>
    <row r="1329" spans="1:17" ht="12.75" customHeight="1">
      <c r="A1329" s="1962"/>
      <c r="B1329" s="1840"/>
      <c r="C1329" s="1850" t="s">
        <v>3803</v>
      </c>
      <c r="D1329" s="1934"/>
      <c r="E1329" s="1934">
        <v>1</v>
      </c>
      <c r="F1329" s="1905"/>
      <c r="G1329" s="1963" t="s">
        <v>2578</v>
      </c>
      <c r="H1329" s="1964" t="s">
        <v>2933</v>
      </c>
      <c r="I1329" s="2310"/>
      <c r="J1329" s="2534">
        <v>0</v>
      </c>
      <c r="K1329" s="1615">
        <v>0</v>
      </c>
      <c r="L1329" s="1637">
        <v>0</v>
      </c>
      <c r="M1329" s="1636"/>
      <c r="N1329" s="1615"/>
      <c r="O1329" s="1635"/>
      <c r="P1329" s="1965">
        <v>34</v>
      </c>
      <c r="Q1329" s="1966" t="s">
        <v>2571</v>
      </c>
    </row>
    <row r="1330" spans="1:17" ht="12.75" customHeight="1">
      <c r="A1330" s="1962"/>
      <c r="B1330" s="1840"/>
      <c r="C1330" s="1850" t="s">
        <v>3777</v>
      </c>
      <c r="D1330" s="1934"/>
      <c r="E1330" s="1934">
        <v>1</v>
      </c>
      <c r="F1330" s="1905"/>
      <c r="G1330" s="1963" t="s">
        <v>2578</v>
      </c>
      <c r="H1330" s="1964" t="s">
        <v>2933</v>
      </c>
      <c r="I1330" s="2310"/>
      <c r="J1330" s="2534">
        <v>0</v>
      </c>
      <c r="K1330" s="1615">
        <v>0</v>
      </c>
      <c r="L1330" s="1637">
        <v>0</v>
      </c>
      <c r="M1330" s="1636"/>
      <c r="N1330" s="1615"/>
      <c r="O1330" s="1635"/>
      <c r="P1330" s="1965">
        <v>28</v>
      </c>
      <c r="Q1330" s="1966" t="s">
        <v>2571</v>
      </c>
    </row>
    <row r="1331" spans="1:17" ht="12.75" customHeight="1">
      <c r="A1331" s="1962"/>
      <c r="B1331" s="1840"/>
      <c r="C1331" s="1850" t="s">
        <v>3804</v>
      </c>
      <c r="D1331" s="1934"/>
      <c r="E1331" s="1934">
        <v>1</v>
      </c>
      <c r="F1331" s="1905"/>
      <c r="G1331" s="1963" t="s">
        <v>2578</v>
      </c>
      <c r="H1331" s="1964" t="s">
        <v>2933</v>
      </c>
      <c r="I1331" s="2310"/>
      <c r="J1331" s="2534">
        <v>0</v>
      </c>
      <c r="K1331" s="1615">
        <v>0</v>
      </c>
      <c r="L1331" s="1637">
        <v>0</v>
      </c>
      <c r="M1331" s="1636"/>
      <c r="N1331" s="1615"/>
      <c r="O1331" s="1635"/>
      <c r="P1331" s="1965" t="s">
        <v>3805</v>
      </c>
      <c r="Q1331" s="1966" t="s">
        <v>2571</v>
      </c>
    </row>
    <row r="1332" spans="1:17" ht="12.75" customHeight="1">
      <c r="A1332" s="1962"/>
      <c r="B1332" s="1840"/>
      <c r="C1332" s="1850" t="s">
        <v>3806</v>
      </c>
      <c r="D1332" s="1934"/>
      <c r="E1332" s="1934">
        <v>1</v>
      </c>
      <c r="F1332" s="1905"/>
      <c r="G1332" s="1963" t="s">
        <v>2578</v>
      </c>
      <c r="H1332" s="1964" t="s">
        <v>2933</v>
      </c>
      <c r="I1332" s="2310"/>
      <c r="J1332" s="2534">
        <v>0</v>
      </c>
      <c r="K1332" s="1615">
        <v>0</v>
      </c>
      <c r="L1332" s="1637">
        <v>0</v>
      </c>
      <c r="M1332" s="1636"/>
      <c r="N1332" s="1615"/>
      <c r="O1332" s="1635"/>
      <c r="P1332" s="1965">
        <v>24</v>
      </c>
      <c r="Q1332" s="1966" t="s">
        <v>2571</v>
      </c>
    </row>
    <row r="1333" spans="1:17" ht="12.75" customHeight="1">
      <c r="A1333" s="1962"/>
      <c r="B1333" s="1840"/>
      <c r="C1333" s="1850" t="s">
        <v>3807</v>
      </c>
      <c r="D1333" s="1934"/>
      <c r="E1333" s="1934">
        <v>1</v>
      </c>
      <c r="F1333" s="1905"/>
      <c r="G1333" s="1963" t="s">
        <v>2578</v>
      </c>
      <c r="H1333" s="1964" t="s">
        <v>2933</v>
      </c>
      <c r="I1333" s="2310"/>
      <c r="J1333" s="2534">
        <v>0</v>
      </c>
      <c r="K1333" s="1615">
        <v>0</v>
      </c>
      <c r="L1333" s="1637">
        <v>0</v>
      </c>
      <c r="M1333" s="1636"/>
      <c r="N1333" s="1615"/>
      <c r="O1333" s="1635"/>
      <c r="P1333" s="1965">
        <v>35</v>
      </c>
      <c r="Q1333" s="1966" t="s">
        <v>2571</v>
      </c>
    </row>
    <row r="1334" spans="1:17" ht="12.75" customHeight="1">
      <c r="A1334" s="1962"/>
      <c r="B1334" s="1840"/>
      <c r="C1334" s="1850" t="s">
        <v>3808</v>
      </c>
      <c r="D1334" s="1934"/>
      <c r="E1334" s="1934">
        <v>1</v>
      </c>
      <c r="F1334" s="1905"/>
      <c r="G1334" s="1963" t="s">
        <v>2578</v>
      </c>
      <c r="H1334" s="1964" t="s">
        <v>2933</v>
      </c>
      <c r="I1334" s="2310"/>
      <c r="J1334" s="2534">
        <v>0</v>
      </c>
      <c r="K1334" s="1615">
        <v>0</v>
      </c>
      <c r="L1334" s="1637">
        <v>0</v>
      </c>
      <c r="M1334" s="1636"/>
      <c r="N1334" s="1615"/>
      <c r="O1334" s="1635"/>
      <c r="P1334" s="1965">
        <v>35</v>
      </c>
      <c r="Q1334" s="1966" t="s">
        <v>2571</v>
      </c>
    </row>
    <row r="1335" spans="1:17" ht="12.75" customHeight="1">
      <c r="A1335" s="1962"/>
      <c r="B1335" s="1840"/>
      <c r="C1335" s="1850" t="s">
        <v>3809</v>
      </c>
      <c r="D1335" s="1934"/>
      <c r="E1335" s="1934">
        <v>1</v>
      </c>
      <c r="F1335" s="1905"/>
      <c r="G1335" s="1963" t="s">
        <v>2578</v>
      </c>
      <c r="H1335" s="1964" t="s">
        <v>2933</v>
      </c>
      <c r="I1335" s="2310"/>
      <c r="J1335" s="2534">
        <v>0</v>
      </c>
      <c r="K1335" s="1615">
        <v>0</v>
      </c>
      <c r="L1335" s="1637">
        <v>0</v>
      </c>
      <c r="M1335" s="1636"/>
      <c r="N1335" s="1615"/>
      <c r="O1335" s="1635"/>
      <c r="P1335" s="1965">
        <v>31</v>
      </c>
      <c r="Q1335" s="1966" t="s">
        <v>2571</v>
      </c>
    </row>
    <row r="1336" spans="1:17" ht="12.75" customHeight="1">
      <c r="A1336" s="1962"/>
      <c r="B1336" s="1840"/>
      <c r="C1336" s="1850" t="s">
        <v>3810</v>
      </c>
      <c r="D1336" s="1934"/>
      <c r="E1336" s="1934">
        <v>1</v>
      </c>
      <c r="F1336" s="1905"/>
      <c r="G1336" s="1963" t="s">
        <v>2578</v>
      </c>
      <c r="H1336" s="1964" t="s">
        <v>2933</v>
      </c>
      <c r="I1336" s="2310"/>
      <c r="J1336" s="2534">
        <v>0</v>
      </c>
      <c r="K1336" s="1615">
        <v>0</v>
      </c>
      <c r="L1336" s="1637">
        <v>0</v>
      </c>
      <c r="M1336" s="1636"/>
      <c r="N1336" s="1615"/>
      <c r="O1336" s="1635"/>
      <c r="P1336" s="1965">
        <v>25</v>
      </c>
      <c r="Q1336" s="1966" t="s">
        <v>2571</v>
      </c>
    </row>
    <row r="1337" spans="1:17" ht="12.75" customHeight="1">
      <c r="A1337" s="1962"/>
      <c r="B1337" s="1840"/>
      <c r="C1337" s="1850" t="s">
        <v>3810</v>
      </c>
      <c r="D1337" s="1934"/>
      <c r="E1337" s="1934">
        <v>1</v>
      </c>
      <c r="F1337" s="1905"/>
      <c r="G1337" s="1963" t="s">
        <v>2578</v>
      </c>
      <c r="H1337" s="1964" t="s">
        <v>2933</v>
      </c>
      <c r="I1337" s="2310"/>
      <c r="J1337" s="2534">
        <v>0</v>
      </c>
      <c r="K1337" s="1615">
        <v>0</v>
      </c>
      <c r="L1337" s="1637">
        <v>0</v>
      </c>
      <c r="M1337" s="1636"/>
      <c r="N1337" s="1615"/>
      <c r="O1337" s="1635"/>
      <c r="P1337" s="1965">
        <v>25</v>
      </c>
      <c r="Q1337" s="1966" t="s">
        <v>2571</v>
      </c>
    </row>
    <row r="1338" spans="1:17" ht="12.75" customHeight="1">
      <c r="A1338" s="1962"/>
      <c r="B1338" s="1840"/>
      <c r="C1338" s="1850" t="s">
        <v>3811</v>
      </c>
      <c r="D1338" s="1934"/>
      <c r="E1338" s="1934">
        <v>1</v>
      </c>
      <c r="F1338" s="1905"/>
      <c r="G1338" s="1963" t="s">
        <v>2578</v>
      </c>
      <c r="H1338" s="1964" t="s">
        <v>2933</v>
      </c>
      <c r="I1338" s="2310"/>
      <c r="J1338" s="2534">
        <v>0</v>
      </c>
      <c r="K1338" s="1615">
        <v>0</v>
      </c>
      <c r="L1338" s="1637">
        <v>0</v>
      </c>
      <c r="M1338" s="1636">
        <v>10000000</v>
      </c>
      <c r="N1338" s="1615">
        <v>5000000</v>
      </c>
      <c r="O1338" s="1635"/>
      <c r="P1338" s="1965" t="s">
        <v>3596</v>
      </c>
      <c r="Q1338" s="1966" t="s">
        <v>2571</v>
      </c>
    </row>
    <row r="1339" spans="1:17" ht="12.75" customHeight="1">
      <c r="A1339" s="1962"/>
      <c r="B1339" s="1840"/>
      <c r="C1339" s="1850" t="s">
        <v>2922</v>
      </c>
      <c r="D1339" s="1934"/>
      <c r="E1339" s="1934">
        <v>1</v>
      </c>
      <c r="F1339" s="1905"/>
      <c r="G1339" s="1963" t="s">
        <v>2578</v>
      </c>
      <c r="H1339" s="1964" t="s">
        <v>2933</v>
      </c>
      <c r="I1339" s="2310"/>
      <c r="J1339" s="2534">
        <v>0</v>
      </c>
      <c r="K1339" s="1615">
        <v>0</v>
      </c>
      <c r="L1339" s="1637">
        <v>0</v>
      </c>
      <c r="M1339" s="1636"/>
      <c r="N1339" s="1615"/>
      <c r="O1339" s="1635"/>
      <c r="P1339" s="1965" t="s">
        <v>3812</v>
      </c>
      <c r="Q1339" s="1966" t="s">
        <v>2571</v>
      </c>
    </row>
    <row r="1340" spans="1:17" ht="12.75" customHeight="1">
      <c r="A1340" s="1962"/>
      <c r="B1340" s="1840"/>
      <c r="C1340" s="1850" t="s">
        <v>3656</v>
      </c>
      <c r="D1340" s="1934"/>
      <c r="E1340" s="1934">
        <v>1</v>
      </c>
      <c r="F1340" s="1905"/>
      <c r="G1340" s="1963" t="s">
        <v>2578</v>
      </c>
      <c r="H1340" s="1964" t="s">
        <v>2933</v>
      </c>
      <c r="I1340" s="2310"/>
      <c r="J1340" s="2534">
        <v>0</v>
      </c>
      <c r="K1340" s="1615">
        <v>0</v>
      </c>
      <c r="L1340" s="1637">
        <v>0</v>
      </c>
      <c r="M1340" s="1636"/>
      <c r="N1340" s="1615"/>
      <c r="O1340" s="1635"/>
      <c r="P1340" s="1965">
        <v>37</v>
      </c>
      <c r="Q1340" s="1966" t="s">
        <v>2571</v>
      </c>
    </row>
    <row r="1341" spans="1:17" ht="12.75" customHeight="1">
      <c r="A1341" s="1962"/>
      <c r="B1341" s="1840"/>
      <c r="C1341" s="1850" t="s">
        <v>3813</v>
      </c>
      <c r="D1341" s="1934"/>
      <c r="E1341" s="1934">
        <v>1</v>
      </c>
      <c r="F1341" s="1905"/>
      <c r="G1341" s="1963" t="s">
        <v>2578</v>
      </c>
      <c r="H1341" s="1964" t="s">
        <v>2933</v>
      </c>
      <c r="I1341" s="2310"/>
      <c r="J1341" s="2534">
        <v>0</v>
      </c>
      <c r="K1341" s="1615">
        <v>0</v>
      </c>
      <c r="L1341" s="1637">
        <v>0</v>
      </c>
      <c r="M1341" s="1636"/>
      <c r="N1341" s="1615"/>
      <c r="O1341" s="1635"/>
      <c r="P1341" s="1965" t="s">
        <v>2566</v>
      </c>
      <c r="Q1341" s="1966" t="s">
        <v>2571</v>
      </c>
    </row>
    <row r="1342" spans="1:17" ht="12.75" customHeight="1">
      <c r="A1342" s="1962"/>
      <c r="B1342" s="1840"/>
      <c r="C1342" s="1850" t="s">
        <v>3814</v>
      </c>
      <c r="D1342" s="1934"/>
      <c r="E1342" s="1934">
        <v>1</v>
      </c>
      <c r="F1342" s="1905"/>
      <c r="G1342" s="1963" t="s">
        <v>2578</v>
      </c>
      <c r="H1342" s="1964" t="s">
        <v>2933</v>
      </c>
      <c r="I1342" s="2310"/>
      <c r="J1342" s="2534">
        <v>0</v>
      </c>
      <c r="K1342" s="1615">
        <v>0</v>
      </c>
      <c r="L1342" s="1637">
        <v>0</v>
      </c>
      <c r="M1342" s="1636"/>
      <c r="N1342" s="1615"/>
      <c r="O1342" s="1635"/>
      <c r="P1342" s="1965">
        <v>23</v>
      </c>
      <c r="Q1342" s="1966" t="s">
        <v>2571</v>
      </c>
    </row>
    <row r="1343" spans="1:17" ht="12.75" customHeight="1">
      <c r="A1343" s="1962"/>
      <c r="B1343" s="1840"/>
      <c r="C1343" s="1850" t="s">
        <v>3815</v>
      </c>
      <c r="D1343" s="1934"/>
      <c r="E1343" s="1934">
        <v>1</v>
      </c>
      <c r="F1343" s="1905"/>
      <c r="G1343" s="1963" t="s">
        <v>2578</v>
      </c>
      <c r="H1343" s="1964" t="s">
        <v>2933</v>
      </c>
      <c r="I1343" s="2310"/>
      <c r="J1343" s="2534">
        <v>0</v>
      </c>
      <c r="K1343" s="1615">
        <v>0</v>
      </c>
      <c r="L1343" s="1637">
        <v>0</v>
      </c>
      <c r="M1343" s="1636"/>
      <c r="N1343" s="1615"/>
      <c r="O1343" s="1635"/>
      <c r="P1343" s="1965">
        <v>25</v>
      </c>
      <c r="Q1343" s="1966" t="s">
        <v>2571</v>
      </c>
    </row>
    <row r="1344" spans="1:17" ht="12.75" customHeight="1">
      <c r="A1344" s="1962"/>
      <c r="B1344" s="1840"/>
      <c r="C1344" s="1850" t="s">
        <v>3816</v>
      </c>
      <c r="D1344" s="1934"/>
      <c r="E1344" s="1934">
        <v>1</v>
      </c>
      <c r="F1344" s="1905"/>
      <c r="G1344" s="1963" t="s">
        <v>2578</v>
      </c>
      <c r="H1344" s="1964" t="s">
        <v>2933</v>
      </c>
      <c r="I1344" s="2310"/>
      <c r="J1344" s="2534">
        <v>0</v>
      </c>
      <c r="K1344" s="1615">
        <v>0</v>
      </c>
      <c r="L1344" s="1637">
        <v>0</v>
      </c>
      <c r="M1344" s="1636"/>
      <c r="N1344" s="1615"/>
      <c r="O1344" s="1635"/>
      <c r="P1344" s="1965">
        <v>31</v>
      </c>
      <c r="Q1344" s="1966" t="s">
        <v>2571</v>
      </c>
    </row>
    <row r="1345" spans="1:17" ht="12.75" customHeight="1">
      <c r="A1345" s="1962"/>
      <c r="B1345" s="1840"/>
      <c r="C1345" s="1850" t="s">
        <v>3817</v>
      </c>
      <c r="D1345" s="1934"/>
      <c r="E1345" s="1934">
        <v>1</v>
      </c>
      <c r="F1345" s="1905"/>
      <c r="G1345" s="1963" t="s">
        <v>2578</v>
      </c>
      <c r="H1345" s="1964" t="s">
        <v>2933</v>
      </c>
      <c r="I1345" s="2310"/>
      <c r="J1345" s="2534">
        <v>0</v>
      </c>
      <c r="K1345" s="1615">
        <v>0</v>
      </c>
      <c r="L1345" s="1637">
        <v>0</v>
      </c>
      <c r="M1345" s="1636"/>
      <c r="N1345" s="1615"/>
      <c r="O1345" s="1635"/>
      <c r="P1345" s="1965">
        <v>2</v>
      </c>
      <c r="Q1345" s="1966" t="s">
        <v>2571</v>
      </c>
    </row>
    <row r="1346" spans="1:17" ht="12.75" customHeight="1">
      <c r="A1346" s="1962"/>
      <c r="B1346" s="1840"/>
      <c r="C1346" s="1850" t="s">
        <v>3818</v>
      </c>
      <c r="D1346" s="1934"/>
      <c r="E1346" s="1934">
        <v>1</v>
      </c>
      <c r="F1346" s="1905"/>
      <c r="G1346" s="1963" t="s">
        <v>2578</v>
      </c>
      <c r="H1346" s="1964" t="s">
        <v>2933</v>
      </c>
      <c r="I1346" s="2310"/>
      <c r="J1346" s="2534">
        <v>0</v>
      </c>
      <c r="K1346" s="1615">
        <v>0</v>
      </c>
      <c r="L1346" s="1637">
        <v>0</v>
      </c>
      <c r="M1346" s="1636"/>
      <c r="N1346" s="1615"/>
      <c r="O1346" s="1635"/>
      <c r="P1346" s="1965">
        <v>30</v>
      </c>
      <c r="Q1346" s="1966" t="s">
        <v>2571</v>
      </c>
    </row>
    <row r="1347" spans="1:17" ht="12.75" customHeight="1">
      <c r="A1347" s="1962"/>
      <c r="B1347" s="1840"/>
      <c r="C1347" s="1850" t="s">
        <v>3819</v>
      </c>
      <c r="D1347" s="1934"/>
      <c r="E1347" s="1934">
        <v>1</v>
      </c>
      <c r="F1347" s="1905"/>
      <c r="G1347" s="1963" t="s">
        <v>2578</v>
      </c>
      <c r="H1347" s="1964" t="s">
        <v>2933</v>
      </c>
      <c r="I1347" s="2310"/>
      <c r="J1347" s="2534">
        <v>0</v>
      </c>
      <c r="K1347" s="1615">
        <v>0</v>
      </c>
      <c r="L1347" s="1637">
        <v>0</v>
      </c>
      <c r="M1347" s="1636"/>
      <c r="N1347" s="1615"/>
      <c r="O1347" s="1635"/>
      <c r="P1347" s="1965">
        <v>31</v>
      </c>
      <c r="Q1347" s="1966" t="s">
        <v>2571</v>
      </c>
    </row>
    <row r="1348" spans="1:17" ht="12.75" customHeight="1">
      <c r="A1348" s="1962"/>
      <c r="B1348" s="1840"/>
      <c r="C1348" s="1850" t="s">
        <v>3820</v>
      </c>
      <c r="D1348" s="1934"/>
      <c r="E1348" s="1934">
        <v>1</v>
      </c>
      <c r="F1348" s="1905"/>
      <c r="G1348" s="1963" t="s">
        <v>2578</v>
      </c>
      <c r="H1348" s="1964" t="s">
        <v>2933</v>
      </c>
      <c r="I1348" s="2310"/>
      <c r="J1348" s="2534">
        <v>0</v>
      </c>
      <c r="K1348" s="1615">
        <v>0</v>
      </c>
      <c r="L1348" s="1637">
        <v>0</v>
      </c>
      <c r="M1348" s="1636"/>
      <c r="N1348" s="1615"/>
      <c r="O1348" s="1635"/>
      <c r="P1348" s="1965">
        <v>36</v>
      </c>
      <c r="Q1348" s="1966" t="s">
        <v>2571</v>
      </c>
    </row>
    <row r="1349" spans="1:17" ht="12.75" customHeight="1">
      <c r="A1349" s="1962"/>
      <c r="B1349" s="1840"/>
      <c r="C1349" s="1850" t="s">
        <v>4327</v>
      </c>
      <c r="D1349" s="1934"/>
      <c r="E1349" s="1934">
        <v>1</v>
      </c>
      <c r="F1349" s="1905"/>
      <c r="G1349" s="1963" t="s">
        <v>2578</v>
      </c>
      <c r="H1349" s="1964" t="s">
        <v>2933</v>
      </c>
      <c r="I1349" s="2310"/>
      <c r="J1349" s="2534"/>
      <c r="K1349" s="1615"/>
      <c r="L1349" s="1637"/>
      <c r="M1349" s="1636">
        <v>5000000</v>
      </c>
      <c r="N1349" s="1615">
        <v>5000000</v>
      </c>
      <c r="O1349" s="1635">
        <v>5000000</v>
      </c>
      <c r="P1349" s="1965" t="s">
        <v>4328</v>
      </c>
      <c r="Q1349" s="1966" t="s">
        <v>2587</v>
      </c>
    </row>
    <row r="1350" spans="1:17" ht="12.75" customHeight="1">
      <c r="A1350" s="1962"/>
      <c r="B1350" s="1840"/>
      <c r="C1350" s="1850" t="s">
        <v>4329</v>
      </c>
      <c r="D1350" s="1934"/>
      <c r="E1350" s="1934">
        <v>1</v>
      </c>
      <c r="F1350" s="1905"/>
      <c r="G1350" s="1963" t="s">
        <v>2578</v>
      </c>
      <c r="H1350" s="1964" t="s">
        <v>2933</v>
      </c>
      <c r="I1350" s="2310"/>
      <c r="J1350" s="2534"/>
      <c r="K1350" s="1615"/>
      <c r="L1350" s="1637"/>
      <c r="M1350" s="1636">
        <v>150000</v>
      </c>
      <c r="N1350" s="1615"/>
      <c r="O1350" s="1635"/>
      <c r="P1350" s="1965" t="s">
        <v>2566</v>
      </c>
      <c r="Q1350" s="1966" t="s">
        <v>2587</v>
      </c>
    </row>
    <row r="1351" spans="1:17" ht="12.75" customHeight="1">
      <c r="A1351" s="1962"/>
      <c r="B1351" s="1840"/>
      <c r="C1351" s="1850" t="s">
        <v>4330</v>
      </c>
      <c r="D1351" s="1934"/>
      <c r="E1351" s="1934">
        <v>1</v>
      </c>
      <c r="F1351" s="1905"/>
      <c r="G1351" s="1963" t="s">
        <v>2578</v>
      </c>
      <c r="H1351" s="1964" t="s">
        <v>2933</v>
      </c>
      <c r="I1351" s="2310"/>
      <c r="J1351" s="2534"/>
      <c r="K1351" s="1615"/>
      <c r="L1351" s="1637"/>
      <c r="M1351" s="1636">
        <v>5015000</v>
      </c>
      <c r="N1351" s="1615">
        <v>7000000</v>
      </c>
      <c r="O1351" s="1635">
        <v>8838000</v>
      </c>
      <c r="P1351" s="1965" t="s">
        <v>3685</v>
      </c>
      <c r="Q1351" s="1966" t="s">
        <v>2571</v>
      </c>
    </row>
    <row r="1352" spans="1:17" ht="12.75" customHeight="1">
      <c r="A1352" s="1962"/>
      <c r="B1352" s="1840"/>
      <c r="C1352" s="1850" t="s">
        <v>4331</v>
      </c>
      <c r="D1352" s="1934"/>
      <c r="E1352" s="1934">
        <v>1</v>
      </c>
      <c r="F1352" s="1905"/>
      <c r="G1352" s="1963" t="s">
        <v>2578</v>
      </c>
      <c r="H1352" s="1964" t="s">
        <v>2933</v>
      </c>
      <c r="I1352" s="2310"/>
      <c r="J1352" s="2534"/>
      <c r="K1352" s="1615"/>
      <c r="L1352" s="1637"/>
      <c r="M1352" s="1636">
        <v>20000000</v>
      </c>
      <c r="N1352" s="1615">
        <v>20000000</v>
      </c>
      <c r="O1352" s="1635">
        <v>20000000</v>
      </c>
      <c r="P1352" s="1965" t="s">
        <v>3160</v>
      </c>
      <c r="Q1352" s="1966" t="s">
        <v>2571</v>
      </c>
    </row>
    <row r="1353" spans="1:17" ht="12.75" customHeight="1">
      <c r="A1353" s="1962"/>
      <c r="B1353" s="1840"/>
      <c r="C1353" s="1850" t="s">
        <v>4332</v>
      </c>
      <c r="D1353" s="1934"/>
      <c r="E1353" s="1934">
        <v>1</v>
      </c>
      <c r="F1353" s="1905"/>
      <c r="G1353" s="1963" t="s">
        <v>2578</v>
      </c>
      <c r="H1353" s="1964" t="s">
        <v>2933</v>
      </c>
      <c r="I1353" s="2310"/>
      <c r="J1353" s="2534"/>
      <c r="K1353" s="1615"/>
      <c r="L1353" s="1637"/>
      <c r="M1353" s="1636">
        <v>1000000</v>
      </c>
      <c r="N1353" s="1615">
        <v>1000000</v>
      </c>
      <c r="O1353" s="1635">
        <v>1000000</v>
      </c>
      <c r="P1353" s="1965" t="s">
        <v>2566</v>
      </c>
      <c r="Q1353" s="1966" t="s">
        <v>2571</v>
      </c>
    </row>
    <row r="1354" spans="1:17" ht="12.75" customHeight="1">
      <c r="A1354" s="1962"/>
      <c r="B1354" s="1840"/>
      <c r="C1354" s="1850" t="s">
        <v>2596</v>
      </c>
      <c r="D1354" s="1934"/>
      <c r="E1354" s="1934">
        <v>1</v>
      </c>
      <c r="F1354" s="1905"/>
      <c r="G1354" s="1963" t="s">
        <v>2564</v>
      </c>
      <c r="H1354" s="1964" t="s">
        <v>3204</v>
      </c>
      <c r="I1354" s="2310"/>
      <c r="J1354" s="2534"/>
      <c r="K1354" s="1615"/>
      <c r="L1354" s="1637"/>
      <c r="M1354" s="1636">
        <v>500000</v>
      </c>
      <c r="N1354" s="1615"/>
      <c r="O1354" s="1635"/>
      <c r="P1354" s="1965" t="s">
        <v>2566</v>
      </c>
      <c r="Q1354" s="1966" t="s">
        <v>2571</v>
      </c>
    </row>
    <row r="1355" spans="1:17" ht="12.75" customHeight="1">
      <c r="A1355" s="1962"/>
      <c r="B1355" s="1840"/>
      <c r="C1355" s="1850"/>
      <c r="D1355" s="1934"/>
      <c r="E1355" s="1934"/>
      <c r="F1355" s="1905"/>
      <c r="G1355" s="1963"/>
      <c r="H1355" s="1964"/>
      <c r="I1355" s="2310"/>
      <c r="J1355" s="2534"/>
      <c r="K1355" s="1615"/>
      <c r="L1355" s="1637"/>
      <c r="M1355" s="1636"/>
      <c r="N1355" s="1615"/>
      <c r="O1355" s="1635"/>
      <c r="P1355" s="1965"/>
      <c r="Q1355" s="1966"/>
    </row>
    <row r="1356" spans="1:17" ht="12.75" customHeight="1">
      <c r="A1356" s="1962"/>
      <c r="B1356" s="1840"/>
      <c r="C1356" s="1850"/>
      <c r="D1356" s="1934"/>
      <c r="E1356" s="1934"/>
      <c r="F1356" s="1905"/>
      <c r="G1356" s="1963"/>
      <c r="H1356" s="1964"/>
      <c r="I1356" s="2310"/>
      <c r="J1356" s="2534"/>
      <c r="K1356" s="1615"/>
      <c r="L1356" s="1637"/>
      <c r="M1356" s="1636"/>
      <c r="N1356" s="1615"/>
      <c r="O1356" s="1635"/>
      <c r="P1356" s="1965"/>
      <c r="Q1356" s="1966"/>
    </row>
    <row r="1357" spans="1:17" ht="12.75" customHeight="1">
      <c r="A1357" s="1962" t="s">
        <v>3821</v>
      </c>
      <c r="B1357" s="1840"/>
      <c r="C1357" s="1850"/>
      <c r="D1357" s="1934"/>
      <c r="E1357" s="1934"/>
      <c r="F1357" s="1905"/>
      <c r="G1357" s="1963"/>
      <c r="H1357" s="1964"/>
      <c r="I1357" s="2310"/>
      <c r="J1357" s="2534"/>
      <c r="K1357" s="1615"/>
      <c r="L1357" s="1637"/>
      <c r="M1357" s="1636"/>
      <c r="N1357" s="1615"/>
      <c r="O1357" s="1635"/>
      <c r="P1357" s="1965"/>
      <c r="Q1357" s="1966"/>
    </row>
    <row r="1358" spans="1:17" ht="12.75" customHeight="1">
      <c r="A1358" s="1962"/>
      <c r="B1358" s="1840"/>
      <c r="C1358" s="1850" t="s">
        <v>4333</v>
      </c>
      <c r="D1358" s="1934"/>
      <c r="E1358" s="1934">
        <v>1</v>
      </c>
      <c r="F1358" s="1905"/>
      <c r="G1358" s="1963" t="s">
        <v>3188</v>
      </c>
      <c r="H1358" s="1964" t="s">
        <v>3174</v>
      </c>
      <c r="I1358" s="2310"/>
      <c r="J1358" s="2534">
        <v>0</v>
      </c>
      <c r="K1358" s="1615">
        <v>0</v>
      </c>
      <c r="L1358" s="1637">
        <v>0</v>
      </c>
      <c r="M1358" s="1636">
        <v>15000000</v>
      </c>
      <c r="N1358" s="1615">
        <v>13000000</v>
      </c>
      <c r="O1358" s="1635">
        <v>12000000</v>
      </c>
      <c r="P1358" s="1965" t="s">
        <v>2566</v>
      </c>
      <c r="Q1358" s="1966" t="s">
        <v>2587</v>
      </c>
    </row>
    <row r="1359" spans="1:17" ht="12.75" customHeight="1">
      <c r="A1359" s="1962"/>
      <c r="B1359" s="1840"/>
      <c r="C1359" s="1850" t="s">
        <v>2628</v>
      </c>
      <c r="D1359" s="1934"/>
      <c r="E1359" s="1934">
        <v>1</v>
      </c>
      <c r="F1359" s="1905"/>
      <c r="G1359" s="1963" t="s">
        <v>2569</v>
      </c>
      <c r="H1359" s="1964" t="s">
        <v>3272</v>
      </c>
      <c r="I1359" s="2310"/>
      <c r="J1359" s="2534">
        <v>0</v>
      </c>
      <c r="K1359" s="1615">
        <v>0</v>
      </c>
      <c r="L1359" s="1637">
        <v>2035000</v>
      </c>
      <c r="M1359" s="1636"/>
      <c r="N1359" s="1615"/>
      <c r="O1359" s="1635"/>
      <c r="P1359" s="1965" t="s">
        <v>2566</v>
      </c>
      <c r="Q1359" s="1966" t="s">
        <v>2571</v>
      </c>
    </row>
    <row r="1360" spans="1:17" ht="12.75" customHeight="1">
      <c r="A1360" s="1962"/>
      <c r="B1360" s="1840"/>
      <c r="C1360" s="1850" t="s">
        <v>3161</v>
      </c>
      <c r="D1360" s="1934"/>
      <c r="E1360" s="1934">
        <v>1</v>
      </c>
      <c r="F1360" s="1905"/>
      <c r="G1360" s="1963" t="s">
        <v>3188</v>
      </c>
      <c r="H1360" s="1964" t="s">
        <v>3174</v>
      </c>
      <c r="I1360" s="2310"/>
      <c r="J1360" s="2534">
        <v>0</v>
      </c>
      <c r="K1360" s="1615">
        <v>0</v>
      </c>
      <c r="L1360" s="1637">
        <v>1642465</v>
      </c>
      <c r="M1360" s="1636"/>
      <c r="N1360" s="1615"/>
      <c r="O1360" s="1635"/>
      <c r="P1360" s="1965" t="s">
        <v>2566</v>
      </c>
      <c r="Q1360" s="1966" t="s">
        <v>2571</v>
      </c>
    </row>
    <row r="1361" spans="1:17" ht="12.75" customHeight="1">
      <c r="A1361" s="1962"/>
      <c r="B1361" s="1840"/>
      <c r="C1361" s="1850" t="s">
        <v>3822</v>
      </c>
      <c r="D1361" s="1934"/>
      <c r="E1361" s="1934">
        <v>1</v>
      </c>
      <c r="F1361" s="1905"/>
      <c r="G1361" s="1963" t="s">
        <v>3188</v>
      </c>
      <c r="H1361" s="1964" t="s">
        <v>2586</v>
      </c>
      <c r="I1361" s="2310"/>
      <c r="J1361" s="2534">
        <v>0</v>
      </c>
      <c r="K1361" s="1615">
        <v>0</v>
      </c>
      <c r="L1361" s="1637">
        <v>13330</v>
      </c>
      <c r="M1361" s="1636"/>
      <c r="N1361" s="1615"/>
      <c r="O1361" s="1635"/>
      <c r="P1361" s="1965" t="s">
        <v>2566</v>
      </c>
      <c r="Q1361" s="1966" t="s">
        <v>2571</v>
      </c>
    </row>
    <row r="1362" spans="1:17" ht="12.75" customHeight="1">
      <c r="A1362" s="1962"/>
      <c r="B1362" s="1840"/>
      <c r="C1362" s="1850" t="s">
        <v>3823</v>
      </c>
      <c r="D1362" s="1934"/>
      <c r="E1362" s="1934">
        <v>1</v>
      </c>
      <c r="F1362" s="1905"/>
      <c r="G1362" s="1963" t="s">
        <v>3188</v>
      </c>
      <c r="H1362" s="1964" t="s">
        <v>3174</v>
      </c>
      <c r="I1362" s="2310"/>
      <c r="J1362" s="2534">
        <v>0</v>
      </c>
      <c r="K1362" s="1615">
        <v>0</v>
      </c>
      <c r="L1362" s="1637">
        <v>425000</v>
      </c>
      <c r="M1362" s="1636"/>
      <c r="N1362" s="1615"/>
      <c r="O1362" s="1635"/>
      <c r="P1362" s="1965" t="s">
        <v>2566</v>
      </c>
      <c r="Q1362" s="1966" t="s">
        <v>2571</v>
      </c>
    </row>
    <row r="1363" spans="1:17" ht="12.75" customHeight="1">
      <c r="A1363" s="1962"/>
      <c r="B1363" s="1840"/>
      <c r="C1363" s="1850" t="s">
        <v>3824</v>
      </c>
      <c r="D1363" s="1934"/>
      <c r="E1363" s="1934">
        <v>1</v>
      </c>
      <c r="F1363" s="1905"/>
      <c r="G1363" s="1963" t="s">
        <v>3188</v>
      </c>
      <c r="H1363" s="1964" t="s">
        <v>3174</v>
      </c>
      <c r="I1363" s="2310"/>
      <c r="J1363" s="2534">
        <v>0</v>
      </c>
      <c r="K1363" s="1615">
        <v>0</v>
      </c>
      <c r="L1363" s="1637">
        <v>200000</v>
      </c>
      <c r="M1363" s="1636"/>
      <c r="N1363" s="1615"/>
      <c r="O1363" s="1635"/>
      <c r="P1363" s="1965" t="s">
        <v>2566</v>
      </c>
      <c r="Q1363" s="1966" t="s">
        <v>2571</v>
      </c>
    </row>
    <row r="1364" spans="1:17" ht="12.75" customHeight="1">
      <c r="A1364" s="1962"/>
      <c r="B1364" s="1840"/>
      <c r="C1364" s="1850" t="s">
        <v>3825</v>
      </c>
      <c r="D1364" s="1934"/>
      <c r="E1364" s="1934">
        <v>1</v>
      </c>
      <c r="F1364" s="1905"/>
      <c r="G1364" s="1963" t="s">
        <v>3188</v>
      </c>
      <c r="H1364" s="1964" t="s">
        <v>2586</v>
      </c>
      <c r="I1364" s="2310"/>
      <c r="J1364" s="2534">
        <v>0</v>
      </c>
      <c r="K1364" s="1615">
        <v>0</v>
      </c>
      <c r="L1364" s="1637">
        <v>1200000</v>
      </c>
      <c r="M1364" s="1636"/>
      <c r="N1364" s="1615"/>
      <c r="O1364" s="1635"/>
      <c r="P1364" s="1965" t="s">
        <v>2566</v>
      </c>
      <c r="Q1364" s="1966" t="s">
        <v>2571</v>
      </c>
    </row>
    <row r="1365" spans="1:17" ht="12.75" customHeight="1">
      <c r="A1365" s="1962"/>
      <c r="B1365" s="1840"/>
      <c r="C1365" s="1850" t="s">
        <v>3826</v>
      </c>
      <c r="D1365" s="1934"/>
      <c r="E1365" s="1934">
        <v>1</v>
      </c>
      <c r="F1365" s="1905"/>
      <c r="G1365" s="1963" t="s">
        <v>3188</v>
      </c>
      <c r="H1365" s="1964" t="s">
        <v>2586</v>
      </c>
      <c r="I1365" s="2310"/>
      <c r="J1365" s="2534">
        <v>0</v>
      </c>
      <c r="K1365" s="1615">
        <v>0</v>
      </c>
      <c r="L1365" s="1637">
        <v>423285</v>
      </c>
      <c r="M1365" s="1636"/>
      <c r="N1365" s="1615"/>
      <c r="O1365" s="1635"/>
      <c r="P1365" s="1965" t="s">
        <v>2566</v>
      </c>
      <c r="Q1365" s="1966" t="s">
        <v>2571</v>
      </c>
    </row>
    <row r="1366" spans="1:17" ht="12.75" customHeight="1">
      <c r="A1366" s="1962"/>
      <c r="B1366" s="1840"/>
      <c r="C1366" s="1850" t="s">
        <v>3827</v>
      </c>
      <c r="D1366" s="1934"/>
      <c r="E1366" s="1934">
        <v>1</v>
      </c>
      <c r="F1366" s="1905"/>
      <c r="G1366" s="1963" t="s">
        <v>3188</v>
      </c>
      <c r="H1366" s="1964" t="s">
        <v>2586</v>
      </c>
      <c r="I1366" s="2310"/>
      <c r="J1366" s="2534">
        <v>0</v>
      </c>
      <c r="K1366" s="1615">
        <v>0</v>
      </c>
      <c r="L1366" s="1637">
        <v>420000</v>
      </c>
      <c r="M1366" s="1636"/>
      <c r="N1366" s="1615"/>
      <c r="O1366" s="1635"/>
      <c r="P1366" s="1965" t="s">
        <v>2566</v>
      </c>
      <c r="Q1366" s="1966" t="s">
        <v>2571</v>
      </c>
    </row>
    <row r="1367" spans="1:17" ht="12.75" customHeight="1">
      <c r="A1367" s="1962"/>
      <c r="B1367" s="1840"/>
      <c r="C1367" s="1850" t="s">
        <v>3828</v>
      </c>
      <c r="D1367" s="1934"/>
      <c r="E1367" s="1934">
        <v>1</v>
      </c>
      <c r="F1367" s="1905"/>
      <c r="G1367" s="1963" t="s">
        <v>3188</v>
      </c>
      <c r="H1367" s="1964" t="s">
        <v>2586</v>
      </c>
      <c r="I1367" s="2310"/>
      <c r="J1367" s="2534">
        <v>0</v>
      </c>
      <c r="K1367" s="1615">
        <v>0</v>
      </c>
      <c r="L1367" s="1637">
        <v>1310000</v>
      </c>
      <c r="M1367" s="1636"/>
      <c r="N1367" s="1615"/>
      <c r="O1367" s="1635"/>
      <c r="P1367" s="1965" t="s">
        <v>2566</v>
      </c>
      <c r="Q1367" s="1966" t="s">
        <v>2571</v>
      </c>
    </row>
    <row r="1368" spans="1:17" ht="12.75" customHeight="1">
      <c r="A1368" s="1962"/>
      <c r="B1368" s="1840"/>
      <c r="C1368" s="1850" t="s">
        <v>3829</v>
      </c>
      <c r="D1368" s="1934"/>
      <c r="E1368" s="1934">
        <v>1</v>
      </c>
      <c r="F1368" s="1905"/>
      <c r="G1368" s="1963" t="s">
        <v>3188</v>
      </c>
      <c r="H1368" s="1964" t="s">
        <v>3174</v>
      </c>
      <c r="I1368" s="2310"/>
      <c r="J1368" s="2534">
        <v>0</v>
      </c>
      <c r="K1368" s="1615">
        <v>0</v>
      </c>
      <c r="L1368" s="1637">
        <v>0</v>
      </c>
      <c r="M1368" s="1636"/>
      <c r="N1368" s="1615"/>
      <c r="O1368" s="1635"/>
      <c r="P1368" s="1965" t="s">
        <v>2566</v>
      </c>
      <c r="Q1368" s="1966" t="s">
        <v>2587</v>
      </c>
    </row>
    <row r="1369" spans="1:17" ht="12.75" customHeight="1">
      <c r="A1369" s="1962"/>
      <c r="B1369" s="1840"/>
      <c r="C1369" s="1850" t="s">
        <v>3830</v>
      </c>
      <c r="D1369" s="1934"/>
      <c r="E1369" s="1934">
        <v>1</v>
      </c>
      <c r="F1369" s="1905"/>
      <c r="G1369" s="1963" t="s">
        <v>3188</v>
      </c>
      <c r="H1369" s="1964" t="s">
        <v>2586</v>
      </c>
      <c r="I1369" s="2310"/>
      <c r="J1369" s="2534">
        <v>0</v>
      </c>
      <c r="K1369" s="1615">
        <v>0</v>
      </c>
      <c r="L1369" s="1637">
        <v>800000</v>
      </c>
      <c r="M1369" s="1636"/>
      <c r="N1369" s="1615"/>
      <c r="O1369" s="1635"/>
      <c r="P1369" s="1965" t="s">
        <v>2566</v>
      </c>
      <c r="Q1369" s="1966" t="s">
        <v>2587</v>
      </c>
    </row>
    <row r="1370" spans="1:17" ht="12.75" customHeight="1">
      <c r="A1370" s="1962"/>
      <c r="B1370" s="1840"/>
      <c r="C1370" s="1850" t="s">
        <v>3831</v>
      </c>
      <c r="D1370" s="1934"/>
      <c r="E1370" s="1934">
        <v>1</v>
      </c>
      <c r="F1370" s="1905"/>
      <c r="G1370" s="1963" t="s">
        <v>3188</v>
      </c>
      <c r="H1370" s="1964" t="s">
        <v>3174</v>
      </c>
      <c r="I1370" s="2310"/>
      <c r="J1370" s="2534">
        <v>0</v>
      </c>
      <c r="K1370" s="1615">
        <v>0</v>
      </c>
      <c r="L1370" s="1637">
        <v>700000</v>
      </c>
      <c r="M1370" s="1636"/>
      <c r="N1370" s="1615"/>
      <c r="O1370" s="1635"/>
      <c r="P1370" s="1965" t="s">
        <v>2566</v>
      </c>
      <c r="Q1370" s="1966" t="s">
        <v>2587</v>
      </c>
    </row>
    <row r="1371" spans="1:17" ht="12.75" customHeight="1">
      <c r="A1371" s="1962"/>
      <c r="B1371" s="1840"/>
      <c r="C1371" s="1850" t="s">
        <v>3832</v>
      </c>
      <c r="D1371" s="1934"/>
      <c r="E1371" s="1934">
        <v>1</v>
      </c>
      <c r="F1371" s="1905"/>
      <c r="G1371" s="1963" t="s">
        <v>3188</v>
      </c>
      <c r="H1371" s="1964" t="s">
        <v>3833</v>
      </c>
      <c r="I1371" s="2310"/>
      <c r="J1371" s="2534">
        <v>0</v>
      </c>
      <c r="K1371" s="1615">
        <v>0</v>
      </c>
      <c r="L1371" s="1637">
        <v>0</v>
      </c>
      <c r="M1371" s="1636"/>
      <c r="N1371" s="1615"/>
      <c r="O1371" s="1635"/>
      <c r="P1371" s="1965" t="s">
        <v>2566</v>
      </c>
      <c r="Q1371" s="1966" t="s">
        <v>2587</v>
      </c>
    </row>
    <row r="1372" spans="1:17" ht="12.75" customHeight="1">
      <c r="A1372" s="1962"/>
      <c r="B1372" s="1840"/>
      <c r="C1372" s="1850" t="s">
        <v>3834</v>
      </c>
      <c r="D1372" s="1934"/>
      <c r="E1372" s="1934">
        <v>1</v>
      </c>
      <c r="F1372" s="1905"/>
      <c r="G1372" s="1963" t="s">
        <v>3188</v>
      </c>
      <c r="H1372" s="1964" t="s">
        <v>2586</v>
      </c>
      <c r="I1372" s="2310"/>
      <c r="J1372" s="2534">
        <v>0</v>
      </c>
      <c r="K1372" s="1615">
        <v>0</v>
      </c>
      <c r="L1372" s="1637">
        <v>800000</v>
      </c>
      <c r="M1372" s="1636"/>
      <c r="N1372" s="1615"/>
      <c r="O1372" s="1635"/>
      <c r="P1372" s="1965" t="s">
        <v>2566</v>
      </c>
      <c r="Q1372" s="1966" t="s">
        <v>2587</v>
      </c>
    </row>
    <row r="1373" spans="1:17" ht="12.75" customHeight="1">
      <c r="A1373" s="1962"/>
      <c r="B1373" s="1840"/>
      <c r="C1373" s="1850" t="s">
        <v>3835</v>
      </c>
      <c r="D1373" s="1934"/>
      <c r="E1373" s="1934">
        <v>1</v>
      </c>
      <c r="F1373" s="1905"/>
      <c r="G1373" s="1963" t="s">
        <v>3188</v>
      </c>
      <c r="H1373" s="1964" t="s">
        <v>3174</v>
      </c>
      <c r="I1373" s="2310"/>
      <c r="J1373" s="2534">
        <v>0</v>
      </c>
      <c r="K1373" s="1615">
        <v>0</v>
      </c>
      <c r="L1373" s="1637">
        <v>400000</v>
      </c>
      <c r="M1373" s="1636"/>
      <c r="N1373" s="1615"/>
      <c r="O1373" s="1635"/>
      <c r="P1373" s="1965" t="s">
        <v>2566</v>
      </c>
      <c r="Q1373" s="1966" t="s">
        <v>2587</v>
      </c>
    </row>
    <row r="1374" spans="1:17" ht="12.75" customHeight="1">
      <c r="A1374" s="1962"/>
      <c r="B1374" s="1840"/>
      <c r="C1374" s="1850" t="s">
        <v>3836</v>
      </c>
      <c r="D1374" s="1934"/>
      <c r="E1374" s="1934">
        <v>1</v>
      </c>
      <c r="F1374" s="1905"/>
      <c r="G1374" s="1963" t="s">
        <v>3188</v>
      </c>
      <c r="H1374" s="1964" t="s">
        <v>3174</v>
      </c>
      <c r="I1374" s="2310"/>
      <c r="J1374" s="2534">
        <v>0</v>
      </c>
      <c r="K1374" s="1615">
        <v>0</v>
      </c>
      <c r="L1374" s="1637">
        <v>300000</v>
      </c>
      <c r="M1374" s="1636"/>
      <c r="N1374" s="1615"/>
      <c r="O1374" s="1635"/>
      <c r="P1374" s="1965" t="s">
        <v>2566</v>
      </c>
      <c r="Q1374" s="1966" t="s">
        <v>2587</v>
      </c>
    </row>
    <row r="1375" spans="1:17" ht="12.75" customHeight="1">
      <c r="A1375" s="1962"/>
      <c r="B1375" s="1840"/>
      <c r="C1375" s="1850" t="s">
        <v>3837</v>
      </c>
      <c r="D1375" s="1934"/>
      <c r="E1375" s="1934">
        <v>1</v>
      </c>
      <c r="F1375" s="1905"/>
      <c r="G1375" s="1963" t="s">
        <v>3188</v>
      </c>
      <c r="H1375" s="1964" t="s">
        <v>3174</v>
      </c>
      <c r="I1375" s="2310"/>
      <c r="J1375" s="2534">
        <v>0</v>
      </c>
      <c r="K1375" s="1615">
        <v>0</v>
      </c>
      <c r="L1375" s="1637">
        <v>0</v>
      </c>
      <c r="M1375" s="1636"/>
      <c r="N1375" s="1615"/>
      <c r="O1375" s="1635"/>
      <c r="P1375" s="1965" t="s">
        <v>2566</v>
      </c>
      <c r="Q1375" s="1966" t="s">
        <v>2571</v>
      </c>
    </row>
    <row r="1376" spans="1:17" ht="12.75" customHeight="1">
      <c r="A1376" s="1962"/>
      <c r="B1376" s="1840"/>
      <c r="C1376" s="1850" t="s">
        <v>3838</v>
      </c>
      <c r="D1376" s="1934"/>
      <c r="E1376" s="1934">
        <v>1</v>
      </c>
      <c r="F1376" s="1905"/>
      <c r="G1376" s="1963" t="s">
        <v>3188</v>
      </c>
      <c r="H1376" s="1964" t="s">
        <v>3839</v>
      </c>
      <c r="I1376" s="2310"/>
      <c r="J1376" s="2534">
        <v>0</v>
      </c>
      <c r="K1376" s="1615">
        <v>0</v>
      </c>
      <c r="L1376" s="1637">
        <v>400000</v>
      </c>
      <c r="M1376" s="1636"/>
      <c r="N1376" s="1615"/>
      <c r="O1376" s="1635"/>
      <c r="P1376" s="1965" t="s">
        <v>2566</v>
      </c>
      <c r="Q1376" s="1966" t="s">
        <v>2571</v>
      </c>
    </row>
    <row r="1377" spans="1:17" ht="12.75" customHeight="1">
      <c r="A1377" s="1962"/>
      <c r="B1377" s="1840"/>
      <c r="C1377" s="1850" t="s">
        <v>3840</v>
      </c>
      <c r="D1377" s="1934"/>
      <c r="E1377" s="1934">
        <v>1</v>
      </c>
      <c r="F1377" s="1905"/>
      <c r="G1377" s="1963" t="s">
        <v>3188</v>
      </c>
      <c r="H1377" s="1964" t="s">
        <v>3174</v>
      </c>
      <c r="I1377" s="2310"/>
      <c r="J1377" s="2534">
        <v>0</v>
      </c>
      <c r="K1377" s="1615">
        <v>0</v>
      </c>
      <c r="L1377" s="1637">
        <v>0</v>
      </c>
      <c r="M1377" s="1636"/>
      <c r="N1377" s="1615"/>
      <c r="O1377" s="1635"/>
      <c r="P1377" s="1965" t="s">
        <v>2566</v>
      </c>
      <c r="Q1377" s="1966" t="s">
        <v>2571</v>
      </c>
    </row>
    <row r="1378" spans="1:17" ht="12.75" customHeight="1">
      <c r="A1378" s="1962"/>
      <c r="B1378" s="1840"/>
      <c r="C1378" s="1850" t="s">
        <v>3841</v>
      </c>
      <c r="D1378" s="1934"/>
      <c r="E1378" s="1934">
        <v>1</v>
      </c>
      <c r="F1378" s="1905"/>
      <c r="G1378" s="1963" t="s">
        <v>3188</v>
      </c>
      <c r="H1378" s="1964" t="s">
        <v>3174</v>
      </c>
      <c r="I1378" s="2310"/>
      <c r="J1378" s="2534">
        <v>0</v>
      </c>
      <c r="K1378" s="1615">
        <v>0</v>
      </c>
      <c r="L1378" s="1637">
        <v>0</v>
      </c>
      <c r="M1378" s="1636"/>
      <c r="N1378" s="1615"/>
      <c r="O1378" s="1635"/>
      <c r="P1378" s="1965" t="s">
        <v>2566</v>
      </c>
      <c r="Q1378" s="1966" t="s">
        <v>2571</v>
      </c>
    </row>
    <row r="1379" spans="1:17" ht="12.75" customHeight="1">
      <c r="A1379" s="1962"/>
      <c r="B1379" s="1840"/>
      <c r="C1379" s="1850" t="s">
        <v>3842</v>
      </c>
      <c r="D1379" s="1934"/>
      <c r="E1379" s="1934">
        <v>1</v>
      </c>
      <c r="F1379" s="1905"/>
      <c r="G1379" s="1963" t="s">
        <v>3188</v>
      </c>
      <c r="H1379" s="1964" t="s">
        <v>2586</v>
      </c>
      <c r="I1379" s="2310"/>
      <c r="J1379" s="2534">
        <v>0</v>
      </c>
      <c r="K1379" s="1615">
        <v>0</v>
      </c>
      <c r="L1379" s="1637">
        <v>0</v>
      </c>
      <c r="M1379" s="1636"/>
      <c r="N1379" s="1615"/>
      <c r="O1379" s="1635"/>
      <c r="P1379" s="1965" t="s">
        <v>2566</v>
      </c>
      <c r="Q1379" s="1966" t="s">
        <v>2571</v>
      </c>
    </row>
    <row r="1380" spans="1:17" ht="12.75" customHeight="1">
      <c r="A1380" s="1962"/>
      <c r="B1380" s="1840"/>
      <c r="C1380" s="1850" t="s">
        <v>3843</v>
      </c>
      <c r="D1380" s="1934"/>
      <c r="E1380" s="1934">
        <v>1</v>
      </c>
      <c r="F1380" s="1905"/>
      <c r="G1380" s="1963" t="s">
        <v>3188</v>
      </c>
      <c r="H1380" s="1964" t="s">
        <v>2586</v>
      </c>
      <c r="I1380" s="2310"/>
      <c r="J1380" s="2534">
        <v>0</v>
      </c>
      <c r="K1380" s="1615">
        <v>0</v>
      </c>
      <c r="L1380" s="1637">
        <v>0</v>
      </c>
      <c r="M1380" s="1636"/>
      <c r="N1380" s="1615"/>
      <c r="O1380" s="1635"/>
      <c r="P1380" s="1965" t="s">
        <v>2566</v>
      </c>
      <c r="Q1380" s="1966" t="s">
        <v>2587</v>
      </c>
    </row>
    <row r="1381" spans="1:17" ht="12.75" customHeight="1">
      <c r="A1381" s="1962"/>
      <c r="B1381" s="1840"/>
      <c r="C1381" s="1850" t="s">
        <v>3844</v>
      </c>
      <c r="D1381" s="1934"/>
      <c r="E1381" s="1934">
        <v>1</v>
      </c>
      <c r="F1381" s="1905"/>
      <c r="G1381" s="1963" t="s">
        <v>3188</v>
      </c>
      <c r="H1381" s="1964" t="s">
        <v>3845</v>
      </c>
      <c r="I1381" s="2310"/>
      <c r="J1381" s="2534">
        <v>0</v>
      </c>
      <c r="K1381" s="1615">
        <v>0</v>
      </c>
      <c r="L1381" s="1637">
        <v>0</v>
      </c>
      <c r="M1381" s="1636"/>
      <c r="N1381" s="1615"/>
      <c r="O1381" s="1635"/>
      <c r="P1381" s="1965" t="s">
        <v>2566</v>
      </c>
      <c r="Q1381" s="1966" t="s">
        <v>2587</v>
      </c>
    </row>
    <row r="1382" spans="1:17" ht="12.75" customHeight="1">
      <c r="A1382" s="1962"/>
      <c r="B1382" s="1840"/>
      <c r="C1382" s="1850" t="s">
        <v>3846</v>
      </c>
      <c r="D1382" s="1934"/>
      <c r="E1382" s="1934">
        <v>1</v>
      </c>
      <c r="F1382" s="1905"/>
      <c r="G1382" s="1963" t="s">
        <v>3188</v>
      </c>
      <c r="H1382" s="1964" t="s">
        <v>2586</v>
      </c>
      <c r="I1382" s="2310"/>
      <c r="J1382" s="2534">
        <v>0</v>
      </c>
      <c r="K1382" s="1615">
        <v>0</v>
      </c>
      <c r="L1382" s="1637">
        <v>0</v>
      </c>
      <c r="M1382" s="1636"/>
      <c r="N1382" s="1615"/>
      <c r="O1382" s="1635"/>
      <c r="P1382" s="1965" t="s">
        <v>2566</v>
      </c>
      <c r="Q1382" s="1966" t="s">
        <v>2587</v>
      </c>
    </row>
    <row r="1383" spans="1:17" ht="12.75" customHeight="1">
      <c r="A1383" s="1962"/>
      <c r="B1383" s="1840"/>
      <c r="C1383" s="1850" t="s">
        <v>3847</v>
      </c>
      <c r="D1383" s="1934"/>
      <c r="E1383" s="1934">
        <v>1</v>
      </c>
      <c r="F1383" s="1905"/>
      <c r="G1383" s="1963" t="s">
        <v>3188</v>
      </c>
      <c r="H1383" s="1964" t="s">
        <v>3848</v>
      </c>
      <c r="I1383" s="2310"/>
      <c r="J1383" s="2534">
        <v>0</v>
      </c>
      <c r="K1383" s="1615">
        <v>0</v>
      </c>
      <c r="L1383" s="1637">
        <v>0</v>
      </c>
      <c r="M1383" s="1636"/>
      <c r="N1383" s="1615"/>
      <c r="O1383" s="1635"/>
      <c r="P1383" s="1965" t="s">
        <v>2566</v>
      </c>
      <c r="Q1383" s="1966" t="s">
        <v>2587</v>
      </c>
    </row>
    <row r="1384" spans="1:17" ht="12.75" customHeight="1">
      <c r="A1384" s="1962"/>
      <c r="B1384" s="1840"/>
      <c r="C1384" s="1850" t="s">
        <v>3849</v>
      </c>
      <c r="D1384" s="1934"/>
      <c r="E1384" s="1934">
        <v>1</v>
      </c>
      <c r="F1384" s="1905"/>
      <c r="G1384" s="1963" t="s">
        <v>3188</v>
      </c>
      <c r="H1384" s="1964" t="s">
        <v>3850</v>
      </c>
      <c r="I1384" s="2310"/>
      <c r="J1384" s="2534">
        <v>0</v>
      </c>
      <c r="K1384" s="1615">
        <v>0</v>
      </c>
      <c r="L1384" s="1637">
        <v>0</v>
      </c>
      <c r="M1384" s="1636"/>
      <c r="N1384" s="1615"/>
      <c r="O1384" s="1635"/>
      <c r="P1384" s="1965" t="s">
        <v>2566</v>
      </c>
      <c r="Q1384" s="1966" t="s">
        <v>2571</v>
      </c>
    </row>
    <row r="1385" spans="1:17" ht="12.75" customHeight="1">
      <c r="A1385" s="1962"/>
      <c r="B1385" s="1840"/>
      <c r="C1385" s="1850" t="s">
        <v>3851</v>
      </c>
      <c r="D1385" s="1934"/>
      <c r="E1385" s="1934">
        <v>1</v>
      </c>
      <c r="F1385" s="1905"/>
      <c r="G1385" s="1963" t="s">
        <v>3188</v>
      </c>
      <c r="H1385" s="1964" t="s">
        <v>3174</v>
      </c>
      <c r="I1385" s="2310"/>
      <c r="J1385" s="2534">
        <v>0</v>
      </c>
      <c r="K1385" s="1615">
        <v>0</v>
      </c>
      <c r="L1385" s="1637">
        <v>0</v>
      </c>
      <c r="M1385" s="1636"/>
      <c r="N1385" s="1615"/>
      <c r="O1385" s="1635"/>
      <c r="P1385" s="1965" t="s">
        <v>2566</v>
      </c>
      <c r="Q1385" s="1966" t="s">
        <v>2587</v>
      </c>
    </row>
    <row r="1386" spans="1:17" ht="12.75" customHeight="1">
      <c r="A1386" s="1962"/>
      <c r="B1386" s="1840"/>
      <c r="C1386" s="1850" t="s">
        <v>3852</v>
      </c>
      <c r="D1386" s="1934"/>
      <c r="E1386" s="1934">
        <v>1</v>
      </c>
      <c r="F1386" s="1905"/>
      <c r="G1386" s="1963" t="s">
        <v>3188</v>
      </c>
      <c r="H1386" s="1964" t="s">
        <v>3853</v>
      </c>
      <c r="I1386" s="2310"/>
      <c r="J1386" s="2534">
        <v>0</v>
      </c>
      <c r="K1386" s="1615">
        <v>0</v>
      </c>
      <c r="L1386" s="1637">
        <v>0</v>
      </c>
      <c r="M1386" s="1636"/>
      <c r="N1386" s="1615"/>
      <c r="O1386" s="1635"/>
      <c r="P1386" s="1965" t="s">
        <v>2566</v>
      </c>
      <c r="Q1386" s="1966" t="s">
        <v>2587</v>
      </c>
    </row>
    <row r="1387" spans="1:17" ht="12.75" customHeight="1">
      <c r="A1387" s="1962"/>
      <c r="B1387" s="1840"/>
      <c r="C1387" s="1850" t="s">
        <v>3854</v>
      </c>
      <c r="D1387" s="1934"/>
      <c r="E1387" s="1934">
        <v>1</v>
      </c>
      <c r="F1387" s="1905"/>
      <c r="G1387" s="1963" t="s">
        <v>3188</v>
      </c>
      <c r="H1387" s="1964" t="s">
        <v>3174</v>
      </c>
      <c r="I1387" s="2310"/>
      <c r="J1387" s="2534">
        <v>0</v>
      </c>
      <c r="K1387" s="1615">
        <v>0</v>
      </c>
      <c r="L1387" s="1637">
        <v>0</v>
      </c>
      <c r="M1387" s="1636"/>
      <c r="N1387" s="1615"/>
      <c r="O1387" s="1635"/>
      <c r="P1387" s="1965" t="s">
        <v>2566</v>
      </c>
      <c r="Q1387" s="1966" t="s">
        <v>2571</v>
      </c>
    </row>
    <row r="1388" spans="1:17" ht="12.75" customHeight="1">
      <c r="A1388" s="1962"/>
      <c r="B1388" s="1840"/>
      <c r="C1388" s="1850" t="s">
        <v>3855</v>
      </c>
      <c r="D1388" s="1934"/>
      <c r="E1388" s="1934">
        <v>1</v>
      </c>
      <c r="F1388" s="1905"/>
      <c r="G1388" s="1963" t="s">
        <v>2573</v>
      </c>
      <c r="H1388" s="1964" t="s">
        <v>3856</v>
      </c>
      <c r="I1388" s="2310"/>
      <c r="J1388" s="2534">
        <v>0</v>
      </c>
      <c r="K1388" s="1615">
        <v>0</v>
      </c>
      <c r="L1388" s="1637">
        <v>0</v>
      </c>
      <c r="M1388" s="1636"/>
      <c r="N1388" s="1615"/>
      <c r="O1388" s="1635"/>
      <c r="P1388" s="1965" t="s">
        <v>2566</v>
      </c>
      <c r="Q1388" s="1966" t="s">
        <v>2571</v>
      </c>
    </row>
    <row r="1389" spans="1:17" ht="12.75" customHeight="1">
      <c r="A1389" s="1962"/>
      <c r="B1389" s="1840"/>
      <c r="C1389" s="1850" t="s">
        <v>4334</v>
      </c>
      <c r="D1389" s="1934"/>
      <c r="E1389" s="1934">
        <v>1</v>
      </c>
      <c r="F1389" s="1905"/>
      <c r="G1389" s="1963" t="s">
        <v>3188</v>
      </c>
      <c r="H1389" s="1964" t="s">
        <v>3174</v>
      </c>
      <c r="I1389" s="2310"/>
      <c r="J1389" s="2534">
        <v>0</v>
      </c>
      <c r="K1389" s="1615">
        <v>0</v>
      </c>
      <c r="L1389" s="1637">
        <v>0</v>
      </c>
      <c r="M1389" s="1636"/>
      <c r="N1389" s="1615"/>
      <c r="O1389" s="1635"/>
      <c r="P1389" s="1965" t="s">
        <v>2566</v>
      </c>
      <c r="Q1389" s="1966" t="s">
        <v>2587</v>
      </c>
    </row>
    <row r="1390" spans="1:17" ht="12.75" customHeight="1">
      <c r="A1390" s="1962"/>
      <c r="B1390" s="1840"/>
      <c r="C1390" s="1850" t="s">
        <v>3857</v>
      </c>
      <c r="D1390" s="1934"/>
      <c r="E1390" s="1934">
        <v>1</v>
      </c>
      <c r="F1390" s="1905"/>
      <c r="G1390" s="1963" t="s">
        <v>3858</v>
      </c>
      <c r="H1390" s="1964" t="s">
        <v>3859</v>
      </c>
      <c r="I1390" s="2310"/>
      <c r="J1390" s="2534">
        <v>0</v>
      </c>
      <c r="K1390" s="1615">
        <v>0</v>
      </c>
      <c r="L1390" s="1637">
        <v>0</v>
      </c>
      <c r="M1390" s="1636"/>
      <c r="N1390" s="1615"/>
      <c r="O1390" s="1635"/>
      <c r="P1390" s="1965" t="s">
        <v>2566</v>
      </c>
      <c r="Q1390" s="1966" t="s">
        <v>2571</v>
      </c>
    </row>
    <row r="1391" spans="1:17" ht="12.75" customHeight="1">
      <c r="A1391" s="1962"/>
      <c r="B1391" s="1840"/>
      <c r="C1391" s="1850" t="s">
        <v>3860</v>
      </c>
      <c r="D1391" s="1934"/>
      <c r="E1391" s="1934">
        <v>1</v>
      </c>
      <c r="F1391" s="1905"/>
      <c r="G1391" s="1963" t="s">
        <v>3188</v>
      </c>
      <c r="H1391" s="1964" t="s">
        <v>2586</v>
      </c>
      <c r="I1391" s="2310"/>
      <c r="J1391" s="2534">
        <v>0</v>
      </c>
      <c r="K1391" s="1615">
        <v>0</v>
      </c>
      <c r="L1391" s="1637">
        <v>0</v>
      </c>
      <c r="M1391" s="1636"/>
      <c r="N1391" s="1615"/>
      <c r="O1391" s="1635"/>
      <c r="P1391" s="1965" t="s">
        <v>2566</v>
      </c>
      <c r="Q1391" s="1966" t="s">
        <v>2587</v>
      </c>
    </row>
    <row r="1392" spans="1:17" ht="12.75" customHeight="1">
      <c r="A1392" s="1962"/>
      <c r="B1392" s="1840"/>
      <c r="C1392" s="1850" t="s">
        <v>3861</v>
      </c>
      <c r="D1392" s="1934"/>
      <c r="E1392" s="1934">
        <v>1</v>
      </c>
      <c r="F1392" s="1905"/>
      <c r="G1392" s="1963" t="s">
        <v>3188</v>
      </c>
      <c r="H1392" s="1964" t="s">
        <v>2586</v>
      </c>
      <c r="I1392" s="2310"/>
      <c r="J1392" s="2534">
        <v>0</v>
      </c>
      <c r="K1392" s="1615">
        <v>0</v>
      </c>
      <c r="L1392" s="1637">
        <v>0</v>
      </c>
      <c r="M1392" s="1636"/>
      <c r="N1392" s="1615"/>
      <c r="O1392" s="1635"/>
      <c r="P1392" s="1965" t="s">
        <v>2566</v>
      </c>
      <c r="Q1392" s="1966" t="s">
        <v>2587</v>
      </c>
    </row>
    <row r="1393" spans="1:17" ht="12.75" customHeight="1">
      <c r="A1393" s="1962"/>
      <c r="B1393" s="1840"/>
      <c r="C1393" s="1850" t="s">
        <v>3862</v>
      </c>
      <c r="D1393" s="1934"/>
      <c r="E1393" s="1934">
        <v>1</v>
      </c>
      <c r="F1393" s="1905"/>
      <c r="G1393" s="1963" t="s">
        <v>3858</v>
      </c>
      <c r="H1393" s="1964" t="s">
        <v>3481</v>
      </c>
      <c r="I1393" s="2310"/>
      <c r="J1393" s="2534">
        <v>0</v>
      </c>
      <c r="K1393" s="1615">
        <v>0</v>
      </c>
      <c r="L1393" s="1637">
        <v>0</v>
      </c>
      <c r="M1393" s="1636"/>
      <c r="N1393" s="1615"/>
      <c r="O1393" s="1635"/>
      <c r="P1393" s="1965" t="s">
        <v>2566</v>
      </c>
      <c r="Q1393" s="1966" t="s">
        <v>2587</v>
      </c>
    </row>
    <row r="1394" spans="1:17" ht="12.75" customHeight="1">
      <c r="A1394" s="1962"/>
      <c r="B1394" s="1840"/>
      <c r="C1394" s="1850" t="s">
        <v>3863</v>
      </c>
      <c r="D1394" s="1934"/>
      <c r="E1394" s="1934">
        <v>1</v>
      </c>
      <c r="F1394" s="1905"/>
      <c r="G1394" s="1963" t="s">
        <v>3188</v>
      </c>
      <c r="H1394" s="1964" t="s">
        <v>2586</v>
      </c>
      <c r="I1394" s="2310"/>
      <c r="J1394" s="2534">
        <v>0</v>
      </c>
      <c r="K1394" s="1615">
        <v>0</v>
      </c>
      <c r="L1394" s="1637">
        <v>0</v>
      </c>
      <c r="M1394" s="1636"/>
      <c r="N1394" s="1615"/>
      <c r="O1394" s="1635"/>
      <c r="P1394" s="1965" t="s">
        <v>2566</v>
      </c>
      <c r="Q1394" s="1966" t="s">
        <v>2587</v>
      </c>
    </row>
    <row r="1395" spans="1:17" ht="12.75" customHeight="1">
      <c r="A1395" s="1962"/>
      <c r="B1395" s="1840"/>
      <c r="C1395" s="1850" t="s">
        <v>3864</v>
      </c>
      <c r="D1395" s="1934"/>
      <c r="E1395" s="1934">
        <v>1</v>
      </c>
      <c r="F1395" s="1905"/>
      <c r="G1395" s="1963" t="s">
        <v>3188</v>
      </c>
      <c r="H1395" s="1964" t="s">
        <v>3174</v>
      </c>
      <c r="I1395" s="2310"/>
      <c r="J1395" s="2534">
        <v>0</v>
      </c>
      <c r="K1395" s="1615">
        <v>0</v>
      </c>
      <c r="L1395" s="1637">
        <v>0</v>
      </c>
      <c r="M1395" s="1636"/>
      <c r="N1395" s="1615"/>
      <c r="O1395" s="1635"/>
      <c r="P1395" s="1965" t="s">
        <v>2566</v>
      </c>
      <c r="Q1395" s="1966" t="s">
        <v>2571</v>
      </c>
    </row>
    <row r="1396" spans="1:17" ht="12.75" customHeight="1">
      <c r="A1396" s="1962"/>
      <c r="B1396" s="1840"/>
      <c r="C1396" s="1850" t="s">
        <v>3865</v>
      </c>
      <c r="D1396" s="1934"/>
      <c r="E1396" s="1934">
        <v>1</v>
      </c>
      <c r="F1396" s="1905"/>
      <c r="G1396" s="1963" t="s">
        <v>3188</v>
      </c>
      <c r="H1396" s="1964" t="s">
        <v>3174</v>
      </c>
      <c r="I1396" s="2310"/>
      <c r="J1396" s="2534">
        <v>0</v>
      </c>
      <c r="K1396" s="1615">
        <v>0</v>
      </c>
      <c r="L1396" s="1637">
        <v>300000</v>
      </c>
      <c r="M1396" s="1636"/>
      <c r="N1396" s="1615"/>
      <c r="O1396" s="1635"/>
      <c r="P1396" s="1965" t="s">
        <v>2566</v>
      </c>
      <c r="Q1396" s="1966" t="s">
        <v>2587</v>
      </c>
    </row>
    <row r="1397" spans="1:17" ht="12.75" customHeight="1">
      <c r="A1397" s="1962"/>
      <c r="B1397" s="1840"/>
      <c r="C1397" s="1850" t="s">
        <v>3866</v>
      </c>
      <c r="D1397" s="1934"/>
      <c r="E1397" s="1934">
        <v>1</v>
      </c>
      <c r="F1397" s="1905"/>
      <c r="G1397" s="1963" t="s">
        <v>2573</v>
      </c>
      <c r="H1397" s="1964" t="s">
        <v>3867</v>
      </c>
      <c r="I1397" s="2310"/>
      <c r="J1397" s="2534">
        <v>0</v>
      </c>
      <c r="K1397" s="1615">
        <v>0</v>
      </c>
      <c r="L1397" s="1637">
        <v>120000</v>
      </c>
      <c r="M1397" s="1636"/>
      <c r="N1397" s="1615"/>
      <c r="O1397" s="1635"/>
      <c r="P1397" s="1965" t="s">
        <v>2566</v>
      </c>
      <c r="Q1397" s="1966" t="s">
        <v>2587</v>
      </c>
    </row>
    <row r="1398" spans="1:17" ht="12.75" customHeight="1">
      <c r="A1398" s="1962"/>
      <c r="B1398" s="1840"/>
      <c r="C1398" s="1850" t="s">
        <v>3868</v>
      </c>
      <c r="D1398" s="1934"/>
      <c r="E1398" s="1934">
        <v>1</v>
      </c>
      <c r="F1398" s="1905"/>
      <c r="G1398" s="1963" t="s">
        <v>3188</v>
      </c>
      <c r="H1398" s="1964" t="s">
        <v>2586</v>
      </c>
      <c r="I1398" s="2310"/>
      <c r="J1398" s="2534">
        <v>0</v>
      </c>
      <c r="K1398" s="1615">
        <v>0</v>
      </c>
      <c r="L1398" s="1637">
        <v>0</v>
      </c>
      <c r="M1398" s="1636"/>
      <c r="N1398" s="1615"/>
      <c r="O1398" s="1635"/>
      <c r="P1398" s="1965" t="s">
        <v>2566</v>
      </c>
      <c r="Q1398" s="1966" t="s">
        <v>2587</v>
      </c>
    </row>
    <row r="1399" spans="1:17" ht="12.75" customHeight="1">
      <c r="A1399" s="1962"/>
      <c r="B1399" s="1840"/>
      <c r="C1399" s="1850" t="s">
        <v>3869</v>
      </c>
      <c r="D1399" s="1934"/>
      <c r="E1399" s="1934">
        <v>1</v>
      </c>
      <c r="F1399" s="1905"/>
      <c r="G1399" s="1963" t="s">
        <v>3188</v>
      </c>
      <c r="H1399" s="1964" t="s">
        <v>2586</v>
      </c>
      <c r="I1399" s="2310"/>
      <c r="J1399" s="2534">
        <v>0</v>
      </c>
      <c r="K1399" s="1615">
        <v>0</v>
      </c>
      <c r="L1399" s="1637">
        <v>0</v>
      </c>
      <c r="M1399" s="1636"/>
      <c r="N1399" s="1615"/>
      <c r="O1399" s="1635"/>
      <c r="P1399" s="1965" t="s">
        <v>2566</v>
      </c>
      <c r="Q1399" s="1966" t="s">
        <v>2587</v>
      </c>
    </row>
    <row r="1400" spans="1:17" ht="12.75" customHeight="1">
      <c r="A1400" s="1962"/>
      <c r="B1400" s="1840"/>
      <c r="C1400" s="1850" t="s">
        <v>3870</v>
      </c>
      <c r="D1400" s="1934"/>
      <c r="E1400" s="1934">
        <v>1</v>
      </c>
      <c r="F1400" s="1905"/>
      <c r="G1400" s="1963" t="s">
        <v>3188</v>
      </c>
      <c r="H1400" s="1964" t="s">
        <v>2586</v>
      </c>
      <c r="I1400" s="2310"/>
      <c r="J1400" s="2534">
        <v>0</v>
      </c>
      <c r="K1400" s="1615">
        <v>0</v>
      </c>
      <c r="L1400" s="1637">
        <v>0</v>
      </c>
      <c r="M1400" s="1636"/>
      <c r="N1400" s="1615"/>
      <c r="O1400" s="1635"/>
      <c r="P1400" s="1965" t="s">
        <v>2566</v>
      </c>
      <c r="Q1400" s="1966" t="s">
        <v>2571</v>
      </c>
    </row>
    <row r="1401" spans="1:17" ht="12.75" customHeight="1">
      <c r="A1401" s="1962"/>
      <c r="B1401" s="1840"/>
      <c r="C1401" s="1850" t="s">
        <v>3871</v>
      </c>
      <c r="D1401" s="1934"/>
      <c r="E1401" s="1934">
        <v>1</v>
      </c>
      <c r="F1401" s="1905"/>
      <c r="G1401" s="1963" t="s">
        <v>3188</v>
      </c>
      <c r="H1401" s="1964" t="s">
        <v>3174</v>
      </c>
      <c r="I1401" s="2310"/>
      <c r="J1401" s="2534">
        <v>0</v>
      </c>
      <c r="K1401" s="1615">
        <v>0</v>
      </c>
      <c r="L1401" s="1637">
        <v>0</v>
      </c>
      <c r="M1401" s="1636"/>
      <c r="N1401" s="1615"/>
      <c r="O1401" s="1635"/>
      <c r="P1401" s="1965" t="s">
        <v>2566</v>
      </c>
      <c r="Q1401" s="1966" t="s">
        <v>2587</v>
      </c>
    </row>
    <row r="1402" spans="1:17" ht="12.75" customHeight="1">
      <c r="A1402" s="1962"/>
      <c r="B1402" s="1840"/>
      <c r="C1402" s="1850" t="s">
        <v>3872</v>
      </c>
      <c r="D1402" s="1934"/>
      <c r="E1402" s="1934">
        <v>1</v>
      </c>
      <c r="F1402" s="1905"/>
      <c r="G1402" s="1963" t="s">
        <v>3188</v>
      </c>
      <c r="H1402" s="1964" t="s">
        <v>2586</v>
      </c>
      <c r="I1402" s="2310"/>
      <c r="J1402" s="2534">
        <v>0</v>
      </c>
      <c r="K1402" s="1615">
        <v>0</v>
      </c>
      <c r="L1402" s="1637">
        <v>0</v>
      </c>
      <c r="M1402" s="1636"/>
      <c r="N1402" s="1615"/>
      <c r="O1402" s="1635"/>
      <c r="P1402" s="1965" t="s">
        <v>2566</v>
      </c>
      <c r="Q1402" s="1966" t="s">
        <v>2571</v>
      </c>
    </row>
    <row r="1403" spans="1:17" ht="12.75" customHeight="1">
      <c r="A1403" s="1962"/>
      <c r="B1403" s="1840"/>
      <c r="C1403" s="1850" t="s">
        <v>3873</v>
      </c>
      <c r="D1403" s="1934"/>
      <c r="E1403" s="1934">
        <v>1</v>
      </c>
      <c r="F1403" s="1905"/>
      <c r="G1403" s="1963" t="s">
        <v>3188</v>
      </c>
      <c r="H1403" s="1964" t="s">
        <v>3174</v>
      </c>
      <c r="I1403" s="2310"/>
      <c r="J1403" s="2534">
        <v>0</v>
      </c>
      <c r="K1403" s="1615">
        <v>0</v>
      </c>
      <c r="L1403" s="1637">
        <v>0</v>
      </c>
      <c r="M1403" s="1636"/>
      <c r="N1403" s="1615"/>
      <c r="O1403" s="1635"/>
      <c r="P1403" s="1965" t="s">
        <v>2566</v>
      </c>
      <c r="Q1403" s="1966" t="s">
        <v>2571</v>
      </c>
    </row>
    <row r="1404" spans="1:17" ht="12.75" customHeight="1">
      <c r="A1404" s="1962"/>
      <c r="B1404" s="1840"/>
      <c r="C1404" s="1850" t="s">
        <v>3874</v>
      </c>
      <c r="D1404" s="1934"/>
      <c r="E1404" s="1934">
        <v>1</v>
      </c>
      <c r="F1404" s="1905"/>
      <c r="G1404" s="1963" t="s">
        <v>3188</v>
      </c>
      <c r="H1404" s="1964" t="s">
        <v>2586</v>
      </c>
      <c r="I1404" s="2310"/>
      <c r="J1404" s="2534">
        <v>0</v>
      </c>
      <c r="K1404" s="1615">
        <v>0</v>
      </c>
      <c r="L1404" s="1637">
        <v>0</v>
      </c>
      <c r="M1404" s="1636"/>
      <c r="N1404" s="1615"/>
      <c r="O1404" s="1635"/>
      <c r="P1404" s="1965" t="s">
        <v>2566</v>
      </c>
      <c r="Q1404" s="1966" t="s">
        <v>2587</v>
      </c>
    </row>
    <row r="1405" spans="1:17" ht="12.75" customHeight="1">
      <c r="A1405" s="1962"/>
      <c r="B1405" s="1840"/>
      <c r="C1405" s="1850" t="s">
        <v>3875</v>
      </c>
      <c r="D1405" s="1934"/>
      <c r="E1405" s="1934">
        <v>1</v>
      </c>
      <c r="F1405" s="1905"/>
      <c r="G1405" s="1963" t="s">
        <v>3188</v>
      </c>
      <c r="H1405" s="1964" t="s">
        <v>3174</v>
      </c>
      <c r="I1405" s="2310"/>
      <c r="J1405" s="2534">
        <v>0</v>
      </c>
      <c r="K1405" s="1615">
        <v>0</v>
      </c>
      <c r="L1405" s="1637">
        <v>0</v>
      </c>
      <c r="M1405" s="1636"/>
      <c r="N1405" s="1615"/>
      <c r="O1405" s="1635"/>
      <c r="P1405" s="1965" t="s">
        <v>2566</v>
      </c>
      <c r="Q1405" s="1966" t="s">
        <v>2571</v>
      </c>
    </row>
    <row r="1406" spans="1:17" ht="12.75" customHeight="1">
      <c r="A1406" s="1962"/>
      <c r="B1406" s="1840"/>
      <c r="C1406" s="1850" t="s">
        <v>3876</v>
      </c>
      <c r="D1406" s="1934"/>
      <c r="E1406" s="1934">
        <v>1</v>
      </c>
      <c r="F1406" s="1905"/>
      <c r="G1406" s="1963" t="s">
        <v>3188</v>
      </c>
      <c r="H1406" s="1964" t="s">
        <v>3335</v>
      </c>
      <c r="I1406" s="2310"/>
      <c r="J1406" s="2534">
        <v>0</v>
      </c>
      <c r="K1406" s="1615">
        <v>0</v>
      </c>
      <c r="L1406" s="1637">
        <v>0</v>
      </c>
      <c r="M1406" s="1636"/>
      <c r="N1406" s="1615"/>
      <c r="O1406" s="1635"/>
      <c r="P1406" s="1965" t="s">
        <v>2566</v>
      </c>
      <c r="Q1406" s="1966" t="s">
        <v>2571</v>
      </c>
    </row>
    <row r="1407" spans="1:17" ht="12.75" customHeight="1">
      <c r="A1407" s="1962"/>
      <c r="B1407" s="1840"/>
      <c r="C1407" s="1850" t="s">
        <v>3877</v>
      </c>
      <c r="D1407" s="1934"/>
      <c r="E1407" s="1934">
        <v>1</v>
      </c>
      <c r="F1407" s="1905"/>
      <c r="G1407" s="1963" t="s">
        <v>3188</v>
      </c>
      <c r="H1407" s="1964" t="s">
        <v>2586</v>
      </c>
      <c r="I1407" s="2310"/>
      <c r="J1407" s="2534">
        <v>0</v>
      </c>
      <c r="K1407" s="1615">
        <v>0</v>
      </c>
      <c r="L1407" s="1637">
        <v>0</v>
      </c>
      <c r="M1407" s="1636"/>
      <c r="N1407" s="1615"/>
      <c r="O1407" s="1635"/>
      <c r="P1407" s="1965" t="s">
        <v>2566</v>
      </c>
      <c r="Q1407" s="1966" t="s">
        <v>2587</v>
      </c>
    </row>
    <row r="1408" spans="1:17" ht="12.75" customHeight="1">
      <c r="A1408" s="1962"/>
      <c r="B1408" s="1840"/>
      <c r="C1408" s="1850" t="s">
        <v>3878</v>
      </c>
      <c r="D1408" s="1934"/>
      <c r="E1408" s="1934">
        <v>1</v>
      </c>
      <c r="F1408" s="1905"/>
      <c r="G1408" s="1963" t="s">
        <v>3188</v>
      </c>
      <c r="H1408" s="1964" t="s">
        <v>3070</v>
      </c>
      <c r="I1408" s="2310"/>
      <c r="J1408" s="2534">
        <v>0</v>
      </c>
      <c r="K1408" s="1615">
        <v>0</v>
      </c>
      <c r="L1408" s="1637">
        <v>0</v>
      </c>
      <c r="M1408" s="1636"/>
      <c r="N1408" s="1615"/>
      <c r="O1408" s="1635"/>
      <c r="P1408" s="1965" t="s">
        <v>2566</v>
      </c>
      <c r="Q1408" s="1966" t="s">
        <v>2587</v>
      </c>
    </row>
    <row r="1409" spans="1:17" ht="12.75" customHeight="1">
      <c r="A1409" s="1962"/>
      <c r="B1409" s="1840"/>
      <c r="C1409" s="1850" t="s">
        <v>3879</v>
      </c>
      <c r="D1409" s="1934"/>
      <c r="E1409" s="1934">
        <v>1</v>
      </c>
      <c r="F1409" s="1905"/>
      <c r="G1409" s="1963" t="s">
        <v>3188</v>
      </c>
      <c r="H1409" s="1964" t="s">
        <v>3174</v>
      </c>
      <c r="I1409" s="2310"/>
      <c r="J1409" s="2534">
        <v>0</v>
      </c>
      <c r="K1409" s="1615">
        <v>0</v>
      </c>
      <c r="L1409" s="1637">
        <v>270000</v>
      </c>
      <c r="M1409" s="1636"/>
      <c r="N1409" s="1615"/>
      <c r="O1409" s="1635"/>
      <c r="P1409" s="1965" t="s">
        <v>2566</v>
      </c>
      <c r="Q1409" s="1966" t="s">
        <v>2587</v>
      </c>
    </row>
    <row r="1410" spans="1:17" ht="12.75" customHeight="1">
      <c r="A1410" s="1962"/>
      <c r="B1410" s="1840"/>
      <c r="C1410" s="1850" t="s">
        <v>3880</v>
      </c>
      <c r="D1410" s="1934"/>
      <c r="E1410" s="1934">
        <v>1</v>
      </c>
      <c r="F1410" s="1905"/>
      <c r="G1410" s="1963" t="s">
        <v>3188</v>
      </c>
      <c r="H1410" s="1964" t="s">
        <v>2586</v>
      </c>
      <c r="I1410" s="2310"/>
      <c r="J1410" s="2534">
        <v>0</v>
      </c>
      <c r="K1410" s="1615">
        <v>0</v>
      </c>
      <c r="L1410" s="1637">
        <v>0</v>
      </c>
      <c r="M1410" s="1636"/>
      <c r="N1410" s="1615"/>
      <c r="O1410" s="1635"/>
      <c r="P1410" s="1965" t="s">
        <v>2566</v>
      </c>
      <c r="Q1410" s="1966" t="s">
        <v>2587</v>
      </c>
    </row>
    <row r="1411" spans="1:17" ht="12.75" customHeight="1">
      <c r="A1411" s="1962"/>
      <c r="B1411" s="1840"/>
      <c r="C1411" s="1850" t="s">
        <v>3881</v>
      </c>
      <c r="D1411" s="1934"/>
      <c r="E1411" s="1934">
        <v>1</v>
      </c>
      <c r="F1411" s="1905"/>
      <c r="G1411" s="1963" t="s">
        <v>3188</v>
      </c>
      <c r="H1411" s="1964" t="s">
        <v>2586</v>
      </c>
      <c r="I1411" s="2310"/>
      <c r="J1411" s="2534">
        <v>0</v>
      </c>
      <c r="K1411" s="1615">
        <v>0</v>
      </c>
      <c r="L1411" s="1637">
        <v>0</v>
      </c>
      <c r="M1411" s="1636"/>
      <c r="N1411" s="1615"/>
      <c r="O1411" s="1635"/>
      <c r="P1411" s="1965" t="s">
        <v>2566</v>
      </c>
      <c r="Q1411" s="1966" t="s">
        <v>2571</v>
      </c>
    </row>
    <row r="1412" spans="1:17" ht="12.75" customHeight="1">
      <c r="A1412" s="1962"/>
      <c r="B1412" s="1840"/>
      <c r="C1412" s="1850" t="s">
        <v>3882</v>
      </c>
      <c r="D1412" s="1934"/>
      <c r="E1412" s="1934">
        <v>1</v>
      </c>
      <c r="F1412" s="1905"/>
      <c r="G1412" s="1963" t="s">
        <v>3188</v>
      </c>
      <c r="H1412" s="1964" t="s">
        <v>2586</v>
      </c>
      <c r="I1412" s="2310"/>
      <c r="J1412" s="2534">
        <v>0</v>
      </c>
      <c r="K1412" s="1615">
        <v>0</v>
      </c>
      <c r="L1412" s="1637">
        <v>2500000</v>
      </c>
      <c r="M1412" s="1636"/>
      <c r="N1412" s="1615"/>
      <c r="O1412" s="1635"/>
      <c r="P1412" s="1965" t="s">
        <v>2566</v>
      </c>
      <c r="Q1412" s="1966" t="s">
        <v>2571</v>
      </c>
    </row>
    <row r="1413" spans="1:17" ht="12.75" customHeight="1">
      <c r="A1413" s="1962"/>
      <c r="B1413" s="1840"/>
      <c r="C1413" s="1850" t="s">
        <v>3883</v>
      </c>
      <c r="D1413" s="1934"/>
      <c r="E1413" s="1934">
        <v>1</v>
      </c>
      <c r="F1413" s="1905"/>
      <c r="G1413" s="1963" t="s">
        <v>3188</v>
      </c>
      <c r="H1413" s="1964" t="s">
        <v>2586</v>
      </c>
      <c r="I1413" s="2310"/>
      <c r="J1413" s="2534">
        <v>0</v>
      </c>
      <c r="K1413" s="1615">
        <v>0</v>
      </c>
      <c r="L1413" s="1637">
        <v>0</v>
      </c>
      <c r="M1413" s="1636"/>
      <c r="N1413" s="1615"/>
      <c r="O1413" s="1635"/>
      <c r="P1413" s="1965" t="s">
        <v>2566</v>
      </c>
      <c r="Q1413" s="1966" t="s">
        <v>2571</v>
      </c>
    </row>
    <row r="1414" spans="1:17" ht="12.75" customHeight="1">
      <c r="A1414" s="1962"/>
      <c r="B1414" s="1840"/>
      <c r="C1414" s="1850" t="s">
        <v>3884</v>
      </c>
      <c r="D1414" s="1934"/>
      <c r="E1414" s="1934">
        <v>1</v>
      </c>
      <c r="F1414" s="1905"/>
      <c r="G1414" s="1963" t="s">
        <v>3188</v>
      </c>
      <c r="H1414" s="1964" t="s">
        <v>3885</v>
      </c>
      <c r="I1414" s="2310"/>
      <c r="J1414" s="2534">
        <v>0</v>
      </c>
      <c r="K1414" s="1615">
        <v>0</v>
      </c>
      <c r="L1414" s="1637">
        <v>0</v>
      </c>
      <c r="M1414" s="1636"/>
      <c r="N1414" s="1615"/>
      <c r="O1414" s="1635"/>
      <c r="P1414" s="1965" t="s">
        <v>2566</v>
      </c>
      <c r="Q1414" s="1966" t="s">
        <v>2571</v>
      </c>
    </row>
    <row r="1415" spans="1:17" ht="12.75" customHeight="1">
      <c r="A1415" s="1962"/>
      <c r="B1415" s="1840"/>
      <c r="C1415" s="1850" t="s">
        <v>3864</v>
      </c>
      <c r="D1415" s="1934"/>
      <c r="E1415" s="1934">
        <v>1</v>
      </c>
      <c r="F1415" s="1905"/>
      <c r="G1415" s="1963" t="s">
        <v>3188</v>
      </c>
      <c r="H1415" s="1964" t="s">
        <v>3885</v>
      </c>
      <c r="I1415" s="2310"/>
      <c r="J1415" s="2534">
        <v>0</v>
      </c>
      <c r="K1415" s="1615">
        <v>0</v>
      </c>
      <c r="L1415" s="1637">
        <v>150000</v>
      </c>
      <c r="M1415" s="1636"/>
      <c r="N1415" s="1615"/>
      <c r="O1415" s="1635"/>
      <c r="P1415" s="1965" t="s">
        <v>2566</v>
      </c>
      <c r="Q1415" s="1966" t="s">
        <v>2571</v>
      </c>
    </row>
    <row r="1416" spans="1:17" ht="12.75" customHeight="1">
      <c r="A1416" s="1962"/>
      <c r="B1416" s="1840"/>
      <c r="C1416" s="1850" t="s">
        <v>3886</v>
      </c>
      <c r="D1416" s="1934"/>
      <c r="E1416" s="1934">
        <v>1</v>
      </c>
      <c r="F1416" s="1905"/>
      <c r="G1416" s="1963" t="s">
        <v>3188</v>
      </c>
      <c r="H1416" s="1964" t="s">
        <v>3839</v>
      </c>
      <c r="I1416" s="2310"/>
      <c r="J1416" s="2534">
        <v>0</v>
      </c>
      <c r="K1416" s="1615">
        <v>0</v>
      </c>
      <c r="L1416" s="1637">
        <v>0</v>
      </c>
      <c r="M1416" s="1636"/>
      <c r="N1416" s="1615"/>
      <c r="O1416" s="1635"/>
      <c r="P1416" s="1965" t="s">
        <v>2566</v>
      </c>
      <c r="Q1416" s="1966" t="s">
        <v>2571</v>
      </c>
    </row>
    <row r="1417" spans="1:17" ht="12.75" customHeight="1">
      <c r="A1417" s="1962"/>
      <c r="B1417" s="1840"/>
      <c r="C1417" s="1850" t="s">
        <v>4335</v>
      </c>
      <c r="D1417" s="1934"/>
      <c r="E1417" s="1934">
        <v>1</v>
      </c>
      <c r="F1417" s="1905"/>
      <c r="G1417" s="1963" t="s">
        <v>3188</v>
      </c>
      <c r="H1417" s="1964" t="s">
        <v>2586</v>
      </c>
      <c r="I1417" s="2310"/>
      <c r="J1417" s="2534"/>
      <c r="K1417" s="1615"/>
      <c r="L1417" s="1637"/>
      <c r="M1417" s="1636"/>
      <c r="N1417" s="1615"/>
      <c r="O1417" s="1635"/>
      <c r="P1417" s="1965" t="s">
        <v>2566</v>
      </c>
      <c r="Q1417" s="1966" t="s">
        <v>2587</v>
      </c>
    </row>
    <row r="1418" spans="1:17" ht="12.75" customHeight="1">
      <c r="A1418" s="1962"/>
      <c r="B1418" s="1840"/>
      <c r="C1418" s="1850" t="s">
        <v>4336</v>
      </c>
      <c r="D1418" s="1934"/>
      <c r="E1418" s="1934">
        <v>1</v>
      </c>
      <c r="F1418" s="1905"/>
      <c r="G1418" s="1963" t="s">
        <v>3188</v>
      </c>
      <c r="H1418" s="1964" t="s">
        <v>3174</v>
      </c>
      <c r="I1418" s="2310"/>
      <c r="J1418" s="2534"/>
      <c r="K1418" s="1615"/>
      <c r="L1418" s="1637"/>
      <c r="M1418" s="1636"/>
      <c r="N1418" s="1615"/>
      <c r="O1418" s="1635"/>
      <c r="P1418" s="1965" t="s">
        <v>2566</v>
      </c>
      <c r="Q1418" s="1966" t="s">
        <v>2571</v>
      </c>
    </row>
    <row r="1419" spans="1:17" ht="12.75" customHeight="1">
      <c r="A1419" s="1962"/>
      <c r="B1419" s="1840"/>
      <c r="C1419" s="1850" t="s">
        <v>4337</v>
      </c>
      <c r="D1419" s="1934"/>
      <c r="E1419" s="1934">
        <v>1</v>
      </c>
      <c r="F1419" s="1905"/>
      <c r="G1419" s="1963" t="s">
        <v>3188</v>
      </c>
      <c r="H1419" s="1964" t="s">
        <v>3174</v>
      </c>
      <c r="I1419" s="2310"/>
      <c r="J1419" s="2534"/>
      <c r="K1419" s="1615"/>
      <c r="L1419" s="1637"/>
      <c r="M1419" s="1636"/>
      <c r="N1419" s="1615"/>
      <c r="O1419" s="1635"/>
      <c r="P1419" s="1965" t="s">
        <v>2566</v>
      </c>
      <c r="Q1419" s="1966" t="s">
        <v>2587</v>
      </c>
    </row>
    <row r="1420" spans="1:17" ht="12.75" customHeight="1">
      <c r="A1420" s="1962"/>
      <c r="B1420" s="1840"/>
      <c r="C1420" s="1850" t="s">
        <v>4338</v>
      </c>
      <c r="D1420" s="1934"/>
      <c r="E1420" s="1934">
        <v>1</v>
      </c>
      <c r="F1420" s="1905"/>
      <c r="G1420" s="1963" t="s">
        <v>3188</v>
      </c>
      <c r="H1420" s="1964" t="s">
        <v>3174</v>
      </c>
      <c r="I1420" s="2310"/>
      <c r="J1420" s="2534"/>
      <c r="K1420" s="1615"/>
      <c r="L1420" s="1637"/>
      <c r="M1420" s="1636"/>
      <c r="N1420" s="1615"/>
      <c r="O1420" s="1635"/>
      <c r="P1420" s="1965" t="s">
        <v>2566</v>
      </c>
      <c r="Q1420" s="1966" t="s">
        <v>2587</v>
      </c>
    </row>
    <row r="1421" spans="1:17" ht="12.75" customHeight="1">
      <c r="A1421" s="1962"/>
      <c r="B1421" s="1840"/>
      <c r="C1421" s="1850" t="s">
        <v>4339</v>
      </c>
      <c r="D1421" s="1934"/>
      <c r="E1421" s="1934">
        <v>1</v>
      </c>
      <c r="F1421" s="1905"/>
      <c r="G1421" s="1963" t="s">
        <v>3188</v>
      </c>
      <c r="H1421" s="1964" t="s">
        <v>3174</v>
      </c>
      <c r="I1421" s="2310"/>
      <c r="J1421" s="2534"/>
      <c r="K1421" s="1615"/>
      <c r="L1421" s="1637"/>
      <c r="M1421" s="1636"/>
      <c r="N1421" s="1615"/>
      <c r="O1421" s="1635"/>
      <c r="P1421" s="1965" t="s">
        <v>2566</v>
      </c>
      <c r="Q1421" s="1966" t="s">
        <v>2571</v>
      </c>
    </row>
    <row r="1422" spans="1:17" ht="12.75" customHeight="1">
      <c r="A1422" s="1962"/>
      <c r="B1422" s="1840"/>
      <c r="C1422" s="1850" t="s">
        <v>4340</v>
      </c>
      <c r="D1422" s="1934"/>
      <c r="E1422" s="1934">
        <v>1</v>
      </c>
      <c r="F1422" s="1905"/>
      <c r="G1422" s="1963" t="s">
        <v>3188</v>
      </c>
      <c r="H1422" s="1964" t="s">
        <v>3174</v>
      </c>
      <c r="I1422" s="2310"/>
      <c r="J1422" s="2534"/>
      <c r="K1422" s="1615"/>
      <c r="L1422" s="1637"/>
      <c r="M1422" s="1636"/>
      <c r="N1422" s="1615"/>
      <c r="O1422" s="1635"/>
      <c r="P1422" s="1965" t="s">
        <v>2566</v>
      </c>
      <c r="Q1422" s="1966" t="s">
        <v>2587</v>
      </c>
    </row>
    <row r="1423" spans="1:17" ht="12.75" customHeight="1">
      <c r="A1423" s="1962"/>
      <c r="B1423" s="1840"/>
      <c r="C1423" s="1850" t="s">
        <v>4341</v>
      </c>
      <c r="D1423" s="1934"/>
      <c r="E1423" s="1934">
        <v>1</v>
      </c>
      <c r="F1423" s="1905"/>
      <c r="G1423" s="1963" t="s">
        <v>3188</v>
      </c>
      <c r="H1423" s="1964" t="s">
        <v>3174</v>
      </c>
      <c r="I1423" s="2310"/>
      <c r="J1423" s="2534"/>
      <c r="K1423" s="1615"/>
      <c r="L1423" s="1637"/>
      <c r="M1423" s="1636"/>
      <c r="N1423" s="1615"/>
      <c r="O1423" s="1635"/>
      <c r="P1423" s="1965" t="s">
        <v>2566</v>
      </c>
      <c r="Q1423" s="1966" t="s">
        <v>2587</v>
      </c>
    </row>
    <row r="1424" spans="1:17" ht="12.75" customHeight="1">
      <c r="A1424" s="1962"/>
      <c r="B1424" s="1840"/>
      <c r="C1424" s="1850" t="s">
        <v>4342</v>
      </c>
      <c r="D1424" s="1934"/>
      <c r="E1424" s="1934">
        <v>1</v>
      </c>
      <c r="F1424" s="1905"/>
      <c r="G1424" s="1963" t="s">
        <v>3188</v>
      </c>
      <c r="H1424" s="1964" t="s">
        <v>3174</v>
      </c>
      <c r="I1424" s="2310"/>
      <c r="J1424" s="2534"/>
      <c r="K1424" s="1615"/>
      <c r="L1424" s="1637"/>
      <c r="M1424" s="1636"/>
      <c r="N1424" s="1615"/>
      <c r="O1424" s="1635"/>
      <c r="P1424" s="1965" t="s">
        <v>4120</v>
      </c>
      <c r="Q1424" s="1966" t="s">
        <v>2571</v>
      </c>
    </row>
    <row r="1425" spans="1:17" ht="12.75" customHeight="1">
      <c r="A1425" s="1962"/>
      <c r="B1425" s="1840"/>
      <c r="C1425" s="1850" t="s">
        <v>4343</v>
      </c>
      <c r="D1425" s="1934"/>
      <c r="E1425" s="1934">
        <v>1</v>
      </c>
      <c r="F1425" s="1905"/>
      <c r="G1425" s="1963" t="s">
        <v>3188</v>
      </c>
      <c r="H1425" s="1964" t="s">
        <v>3174</v>
      </c>
      <c r="I1425" s="2310"/>
      <c r="J1425" s="2534"/>
      <c r="K1425" s="1615"/>
      <c r="L1425" s="1637"/>
      <c r="M1425" s="1636"/>
      <c r="N1425" s="1615"/>
      <c r="O1425" s="1635"/>
      <c r="P1425" s="1965" t="s">
        <v>3382</v>
      </c>
      <c r="Q1425" s="1966" t="s">
        <v>2571</v>
      </c>
    </row>
    <row r="1426" spans="1:17" ht="12.75" customHeight="1">
      <c r="A1426" s="1962"/>
      <c r="B1426" s="1840"/>
      <c r="C1426" s="1850" t="s">
        <v>4344</v>
      </c>
      <c r="D1426" s="1934"/>
      <c r="E1426" s="1934">
        <v>1</v>
      </c>
      <c r="F1426" s="1905"/>
      <c r="G1426" s="1963" t="s">
        <v>3188</v>
      </c>
      <c r="H1426" s="1964" t="s">
        <v>3174</v>
      </c>
      <c r="I1426" s="2310"/>
      <c r="J1426" s="2534"/>
      <c r="K1426" s="1615"/>
      <c r="L1426" s="1637"/>
      <c r="M1426" s="1636"/>
      <c r="N1426" s="1615"/>
      <c r="O1426" s="1635"/>
      <c r="P1426" s="1965" t="s">
        <v>2566</v>
      </c>
      <c r="Q1426" s="1966" t="s">
        <v>2587</v>
      </c>
    </row>
    <row r="1427" spans="1:17" ht="12.75" customHeight="1">
      <c r="A1427" s="1962"/>
      <c r="B1427" s="1840"/>
      <c r="C1427" s="1850" t="s">
        <v>4345</v>
      </c>
      <c r="D1427" s="1934"/>
      <c r="E1427" s="1934">
        <v>1</v>
      </c>
      <c r="F1427" s="1905"/>
      <c r="G1427" s="1963" t="s">
        <v>3188</v>
      </c>
      <c r="H1427" s="1964" t="s">
        <v>3174</v>
      </c>
      <c r="I1427" s="2310"/>
      <c r="J1427" s="2534"/>
      <c r="K1427" s="1615"/>
      <c r="L1427" s="1637"/>
      <c r="M1427" s="1636"/>
      <c r="N1427" s="1615"/>
      <c r="O1427" s="1635"/>
      <c r="P1427" s="1965" t="s">
        <v>2566</v>
      </c>
      <c r="Q1427" s="1966" t="s">
        <v>2571</v>
      </c>
    </row>
    <row r="1428" spans="1:17" ht="12.75" customHeight="1">
      <c r="A1428" s="1962"/>
      <c r="B1428" s="1840"/>
      <c r="C1428" s="1850" t="s">
        <v>4346</v>
      </c>
      <c r="D1428" s="1934"/>
      <c r="E1428" s="1934">
        <v>1</v>
      </c>
      <c r="F1428" s="1905"/>
      <c r="G1428" s="1963" t="s">
        <v>3188</v>
      </c>
      <c r="H1428" s="1964" t="s">
        <v>3174</v>
      </c>
      <c r="I1428" s="2310"/>
      <c r="J1428" s="2534"/>
      <c r="K1428" s="1615"/>
      <c r="L1428" s="1637"/>
      <c r="M1428" s="1636"/>
      <c r="N1428" s="1615"/>
      <c r="O1428" s="1635"/>
      <c r="P1428" s="1965" t="s">
        <v>2566</v>
      </c>
      <c r="Q1428" s="1966" t="s">
        <v>2571</v>
      </c>
    </row>
    <row r="1429" spans="1:17" ht="12.75" customHeight="1">
      <c r="A1429" s="1962"/>
      <c r="B1429" s="1840"/>
      <c r="C1429" s="1850" t="s">
        <v>4347</v>
      </c>
      <c r="D1429" s="1934"/>
      <c r="E1429" s="1934">
        <v>1</v>
      </c>
      <c r="F1429" s="1905"/>
      <c r="G1429" s="1963" t="s">
        <v>3188</v>
      </c>
      <c r="H1429" s="1964" t="s">
        <v>3174</v>
      </c>
      <c r="I1429" s="2310"/>
      <c r="J1429" s="2534"/>
      <c r="K1429" s="1615"/>
      <c r="L1429" s="1637"/>
      <c r="M1429" s="1636"/>
      <c r="N1429" s="1615"/>
      <c r="O1429" s="1635"/>
      <c r="P1429" s="1965" t="s">
        <v>2566</v>
      </c>
      <c r="Q1429" s="1966" t="s">
        <v>2571</v>
      </c>
    </row>
    <row r="1430" spans="1:17" ht="12.75" customHeight="1">
      <c r="A1430" s="1962"/>
      <c r="B1430" s="1840"/>
      <c r="C1430" s="1850"/>
      <c r="D1430" s="1934"/>
      <c r="E1430" s="1934"/>
      <c r="F1430" s="1905"/>
      <c r="G1430" s="1963"/>
      <c r="H1430" s="1964"/>
      <c r="I1430" s="2310"/>
      <c r="J1430" s="2534"/>
      <c r="K1430" s="1615"/>
      <c r="L1430" s="1637"/>
      <c r="M1430" s="1636"/>
      <c r="N1430" s="1615"/>
      <c r="O1430" s="1635"/>
      <c r="P1430" s="1965"/>
      <c r="Q1430" s="1966"/>
    </row>
    <row r="1431" spans="1:17" ht="12.75" customHeight="1">
      <c r="A1431" s="1962"/>
      <c r="B1431" s="1840"/>
      <c r="C1431" s="1850"/>
      <c r="D1431" s="1934"/>
      <c r="E1431" s="1934"/>
      <c r="F1431" s="1905"/>
      <c r="G1431" s="1963"/>
      <c r="H1431" s="1964"/>
      <c r="I1431" s="2310"/>
      <c r="J1431" s="2534"/>
      <c r="K1431" s="1615"/>
      <c r="L1431" s="1637"/>
      <c r="M1431" s="1636"/>
      <c r="N1431" s="1615"/>
      <c r="O1431" s="1635"/>
      <c r="P1431" s="1965"/>
      <c r="Q1431" s="1966"/>
    </row>
    <row r="1432" spans="1:17" ht="12.75" customHeight="1">
      <c r="A1432" s="1962"/>
      <c r="B1432" s="1840"/>
      <c r="C1432" s="1850"/>
      <c r="D1432" s="1934"/>
      <c r="E1432" s="1934"/>
      <c r="F1432" s="1905"/>
      <c r="G1432" s="1963"/>
      <c r="H1432" s="1964"/>
      <c r="I1432" s="2310"/>
      <c r="J1432" s="2534"/>
      <c r="K1432" s="1615"/>
      <c r="L1432" s="1637"/>
      <c r="M1432" s="1636"/>
      <c r="N1432" s="1615"/>
      <c r="O1432" s="1635"/>
      <c r="P1432" s="1965"/>
      <c r="Q1432" s="1966"/>
    </row>
    <row r="1433" spans="1:17" ht="12.75" customHeight="1">
      <c r="A1433" s="1962"/>
      <c r="B1433" s="1840"/>
      <c r="C1433" s="1850"/>
      <c r="D1433" s="1934"/>
      <c r="E1433" s="1934"/>
      <c r="F1433" s="1905"/>
      <c r="G1433" s="1963"/>
      <c r="H1433" s="1964"/>
      <c r="I1433" s="2310"/>
      <c r="J1433" s="2534"/>
      <c r="K1433" s="1615"/>
      <c r="L1433" s="1637"/>
      <c r="M1433" s="1636"/>
      <c r="N1433" s="1615"/>
      <c r="O1433" s="1635"/>
      <c r="P1433" s="1965"/>
      <c r="Q1433" s="1966"/>
    </row>
    <row r="1434" spans="1:17" ht="12.75" customHeight="1">
      <c r="A1434" s="1962"/>
      <c r="B1434" s="1840"/>
      <c r="C1434" s="1850"/>
      <c r="D1434" s="1934"/>
      <c r="E1434" s="1934"/>
      <c r="F1434" s="1905"/>
      <c r="G1434" s="1963"/>
      <c r="H1434" s="1964"/>
      <c r="I1434" s="2310"/>
      <c r="J1434" s="2534"/>
      <c r="K1434" s="1615"/>
      <c r="L1434" s="1637"/>
      <c r="M1434" s="1636"/>
      <c r="N1434" s="1615"/>
      <c r="O1434" s="1635"/>
      <c r="P1434" s="1965"/>
      <c r="Q1434" s="1966"/>
    </row>
    <row r="1435" spans="1:17" ht="12.75" customHeight="1">
      <c r="A1435" s="1962" t="s">
        <v>3887</v>
      </c>
      <c r="B1435" s="1840"/>
      <c r="C1435" s="1850" t="s">
        <v>3888</v>
      </c>
      <c r="D1435" s="1934"/>
      <c r="E1435" s="1934">
        <v>1</v>
      </c>
      <c r="F1435" s="1905"/>
      <c r="G1435" s="1963" t="s">
        <v>3889</v>
      </c>
      <c r="H1435" s="1964" t="s">
        <v>3890</v>
      </c>
      <c r="I1435" s="2310"/>
      <c r="J1435" s="2534">
        <v>0</v>
      </c>
      <c r="K1435" s="1615">
        <v>0</v>
      </c>
      <c r="L1435" s="1637">
        <v>2000000</v>
      </c>
      <c r="M1435" s="1636">
        <v>500000</v>
      </c>
      <c r="N1435" s="1615">
        <v>1500000</v>
      </c>
      <c r="O1435" s="1635">
        <v>1500000</v>
      </c>
      <c r="P1435" s="1965" t="s">
        <v>2566</v>
      </c>
      <c r="Q1435" s="1966" t="s">
        <v>2571</v>
      </c>
    </row>
    <row r="1436" spans="1:17" ht="12.75" customHeight="1">
      <c r="A1436" s="1962"/>
      <c r="B1436" s="1840"/>
      <c r="C1436" s="1850" t="s">
        <v>4348</v>
      </c>
      <c r="D1436" s="1934"/>
      <c r="E1436" s="1934">
        <v>1</v>
      </c>
      <c r="F1436" s="1905"/>
      <c r="G1436" s="1963" t="s">
        <v>3889</v>
      </c>
      <c r="H1436" s="1964" t="s">
        <v>4349</v>
      </c>
      <c r="I1436" s="2310"/>
      <c r="J1436" s="2534"/>
      <c r="K1436" s="1615"/>
      <c r="L1436" s="1637"/>
      <c r="M1436" s="1636">
        <v>500000</v>
      </c>
      <c r="N1436" s="1615">
        <v>1500000</v>
      </c>
      <c r="O1436" s="1635">
        <v>1500000</v>
      </c>
      <c r="P1436" s="1965" t="s">
        <v>2566</v>
      </c>
      <c r="Q1436" s="1966" t="s">
        <v>2571</v>
      </c>
    </row>
    <row r="1437" spans="1:17" ht="12.75" customHeight="1">
      <c r="A1437" s="1962"/>
      <c r="B1437" s="1840"/>
      <c r="C1437" s="1850" t="s">
        <v>4350</v>
      </c>
      <c r="D1437" s="1934"/>
      <c r="E1437" s="1934">
        <v>1</v>
      </c>
      <c r="F1437" s="1905"/>
      <c r="G1437" s="1963" t="s">
        <v>2573</v>
      </c>
      <c r="H1437" s="1964" t="s">
        <v>4351</v>
      </c>
      <c r="I1437" s="2310"/>
      <c r="J1437" s="2534"/>
      <c r="K1437" s="1615"/>
      <c r="L1437" s="1637"/>
      <c r="M1437" s="1636">
        <v>15000</v>
      </c>
      <c r="N1437" s="1615"/>
      <c r="O1437" s="1635"/>
      <c r="P1437" s="1965" t="s">
        <v>2566</v>
      </c>
      <c r="Q1437" s="1966" t="s">
        <v>4352</v>
      </c>
    </row>
    <row r="1438" spans="1:17" ht="12.75" customHeight="1">
      <c r="A1438" s="1962"/>
      <c r="B1438" s="1840"/>
      <c r="C1438" s="1850" t="s">
        <v>4353</v>
      </c>
      <c r="D1438" s="1934"/>
      <c r="E1438" s="1934">
        <v>1</v>
      </c>
      <c r="F1438" s="1905"/>
      <c r="G1438" s="1963" t="s">
        <v>2573</v>
      </c>
      <c r="H1438" s="1964" t="s">
        <v>4354</v>
      </c>
      <c r="I1438" s="2310"/>
      <c r="J1438" s="2534"/>
      <c r="K1438" s="1615"/>
      <c r="L1438" s="1637"/>
      <c r="M1438" s="1636">
        <v>15000</v>
      </c>
      <c r="N1438" s="1615"/>
      <c r="O1438" s="1635"/>
      <c r="P1438" s="1965" t="s">
        <v>2566</v>
      </c>
      <c r="Q1438" s="1966" t="s">
        <v>4352</v>
      </c>
    </row>
    <row r="1439" spans="1:17" ht="12.75" customHeight="1">
      <c r="A1439" s="1962"/>
      <c r="B1439" s="1840"/>
      <c r="C1439" s="1850" t="s">
        <v>2883</v>
      </c>
      <c r="D1439" s="1934"/>
      <c r="E1439" s="1934">
        <v>1</v>
      </c>
      <c r="F1439" s="1905"/>
      <c r="G1439" s="1963" t="s">
        <v>2573</v>
      </c>
      <c r="H1439" s="1964" t="s">
        <v>2883</v>
      </c>
      <c r="I1439" s="2310"/>
      <c r="J1439" s="2534"/>
      <c r="K1439" s="1615"/>
      <c r="L1439" s="1637"/>
      <c r="M1439" s="1636">
        <v>7000</v>
      </c>
      <c r="N1439" s="1615"/>
      <c r="O1439" s="1635"/>
      <c r="P1439" s="1965" t="s">
        <v>2566</v>
      </c>
      <c r="Q1439" s="1966" t="s">
        <v>4352</v>
      </c>
    </row>
    <row r="1440" spans="1:17" ht="12.75" customHeight="1">
      <c r="A1440" s="1962"/>
      <c r="B1440" s="1840"/>
      <c r="C1440" s="1850" t="s">
        <v>4355</v>
      </c>
      <c r="D1440" s="1934"/>
      <c r="E1440" s="1934">
        <v>1</v>
      </c>
      <c r="F1440" s="1905"/>
      <c r="G1440" s="1963" t="s">
        <v>2573</v>
      </c>
      <c r="H1440" s="1964" t="s">
        <v>4356</v>
      </c>
      <c r="I1440" s="2310"/>
      <c r="J1440" s="2534"/>
      <c r="K1440" s="1615"/>
      <c r="L1440" s="1637"/>
      <c r="M1440" s="1636">
        <v>27000</v>
      </c>
      <c r="N1440" s="1615"/>
      <c r="O1440" s="1635"/>
      <c r="P1440" s="1965" t="s">
        <v>2566</v>
      </c>
      <c r="Q1440" s="1966" t="s">
        <v>4352</v>
      </c>
    </row>
    <row r="1441" spans="1:17" ht="12.75" customHeight="1">
      <c r="A1441" s="1962"/>
      <c r="B1441" s="1840"/>
      <c r="C1441" s="1850" t="s">
        <v>4357</v>
      </c>
      <c r="D1441" s="1934"/>
      <c r="E1441" s="1934">
        <v>1</v>
      </c>
      <c r="F1441" s="1905"/>
      <c r="G1441" s="1963" t="s">
        <v>2573</v>
      </c>
      <c r="H1441" s="1964" t="s">
        <v>4358</v>
      </c>
      <c r="I1441" s="2310"/>
      <c r="J1441" s="2534"/>
      <c r="K1441" s="1615"/>
      <c r="L1441" s="1637"/>
      <c r="M1441" s="1636">
        <v>15000</v>
      </c>
      <c r="N1441" s="1615"/>
      <c r="O1441" s="1635"/>
      <c r="P1441" s="1965" t="s">
        <v>2566</v>
      </c>
      <c r="Q1441" s="1966" t="s">
        <v>2571</v>
      </c>
    </row>
    <row r="1442" spans="1:17" ht="12.75" customHeight="1">
      <c r="A1442" s="1962"/>
      <c r="B1442" s="1840"/>
      <c r="C1442" s="1850" t="s">
        <v>4359</v>
      </c>
      <c r="D1442" s="1934"/>
      <c r="E1442" s="1934">
        <v>1</v>
      </c>
      <c r="F1442" s="1905"/>
      <c r="G1442" s="1963" t="s">
        <v>2569</v>
      </c>
      <c r="H1442" s="1964" t="s">
        <v>3272</v>
      </c>
      <c r="I1442" s="2310"/>
      <c r="J1442" s="2534"/>
      <c r="K1442" s="1615"/>
      <c r="L1442" s="1637"/>
      <c r="M1442" s="1636">
        <v>20000</v>
      </c>
      <c r="N1442" s="1615"/>
      <c r="O1442" s="1635"/>
      <c r="P1442" s="1965" t="s">
        <v>2566</v>
      </c>
      <c r="Q1442" s="1966" t="s">
        <v>2571</v>
      </c>
    </row>
    <row r="1443" spans="1:17" ht="12.75" customHeight="1">
      <c r="A1443" s="1962"/>
      <c r="B1443" s="1840"/>
      <c r="C1443" s="1850"/>
      <c r="D1443" s="1934"/>
      <c r="E1443" s="1934"/>
      <c r="F1443" s="1905"/>
      <c r="G1443" s="1963"/>
      <c r="H1443" s="1964"/>
      <c r="I1443" s="2310"/>
      <c r="J1443" s="2534"/>
      <c r="K1443" s="1615"/>
      <c r="L1443" s="1637"/>
      <c r="M1443" s="1636"/>
      <c r="N1443" s="1615"/>
      <c r="O1443" s="1635"/>
      <c r="P1443" s="1965"/>
      <c r="Q1443" s="1966"/>
    </row>
    <row r="1444" spans="1:17" ht="12.75" customHeight="1">
      <c r="A1444" s="1962"/>
      <c r="B1444" s="1840"/>
      <c r="C1444" s="1850"/>
      <c r="D1444" s="1934"/>
      <c r="E1444" s="1934"/>
      <c r="F1444" s="1905"/>
      <c r="G1444" s="1963"/>
      <c r="H1444" s="1964"/>
      <c r="I1444" s="2310"/>
      <c r="J1444" s="2534"/>
      <c r="K1444" s="1615"/>
      <c r="L1444" s="1637"/>
      <c r="M1444" s="1636"/>
      <c r="N1444" s="1615"/>
      <c r="O1444" s="1635"/>
      <c r="P1444" s="1965"/>
      <c r="Q1444" s="1966"/>
    </row>
    <row r="1445" spans="1:17" ht="12.75" customHeight="1">
      <c r="A1445" s="1962"/>
      <c r="B1445" s="1840"/>
      <c r="C1445" s="1850"/>
      <c r="D1445" s="1934"/>
      <c r="E1445" s="1934"/>
      <c r="F1445" s="1905"/>
      <c r="G1445" s="1963"/>
      <c r="H1445" s="1964"/>
      <c r="I1445" s="2310"/>
      <c r="J1445" s="2534"/>
      <c r="K1445" s="1615"/>
      <c r="L1445" s="1637"/>
      <c r="M1445" s="1636"/>
      <c r="N1445" s="1615"/>
      <c r="O1445" s="1635"/>
      <c r="P1445" s="1965"/>
      <c r="Q1445" s="1966"/>
    </row>
    <row r="1446" spans="1:17" ht="12.75" customHeight="1">
      <c r="A1446" s="1962" t="s">
        <v>3891</v>
      </c>
      <c r="B1446" s="1840"/>
      <c r="C1446" s="1850" t="s">
        <v>3892</v>
      </c>
      <c r="D1446" s="1934"/>
      <c r="E1446" s="1934">
        <v>4</v>
      </c>
      <c r="F1446" s="1905"/>
      <c r="G1446" s="1963" t="s">
        <v>2578</v>
      </c>
      <c r="H1446" s="1964" t="s">
        <v>3893</v>
      </c>
      <c r="I1446" s="2310"/>
      <c r="J1446" s="2534">
        <v>0</v>
      </c>
      <c r="K1446" s="1615">
        <v>0</v>
      </c>
      <c r="L1446" s="1637">
        <v>2500000</v>
      </c>
      <c r="M1446" s="1636"/>
      <c r="N1446" s="1615"/>
      <c r="O1446" s="1635"/>
      <c r="P1446" s="1965" t="s">
        <v>2566</v>
      </c>
      <c r="Q1446" s="1966" t="s">
        <v>2571</v>
      </c>
    </row>
    <row r="1447" spans="1:17" ht="12.75" customHeight="1">
      <c r="A1447" s="1962"/>
      <c r="B1447" s="1840"/>
      <c r="C1447" s="1850" t="s">
        <v>3894</v>
      </c>
      <c r="D1447" s="1934"/>
      <c r="E1447" s="1934">
        <v>4</v>
      </c>
      <c r="F1447" s="1905"/>
      <c r="G1447" s="1963" t="s">
        <v>2573</v>
      </c>
      <c r="H1447" s="1964" t="s">
        <v>3169</v>
      </c>
      <c r="I1447" s="2310"/>
      <c r="J1447" s="2534">
        <v>0</v>
      </c>
      <c r="K1447" s="1615">
        <v>0</v>
      </c>
      <c r="L1447" s="1637">
        <v>500000</v>
      </c>
      <c r="M1447" s="1636">
        <v>400000</v>
      </c>
      <c r="N1447" s="1615">
        <v>400000</v>
      </c>
      <c r="O1447" s="1635">
        <v>400000</v>
      </c>
      <c r="P1447" s="1965" t="s">
        <v>2566</v>
      </c>
      <c r="Q1447" s="1966" t="s">
        <v>2571</v>
      </c>
    </row>
    <row r="1448" spans="1:17" ht="12.75" customHeight="1">
      <c r="A1448" s="1962"/>
      <c r="B1448" s="1840"/>
      <c r="C1448" s="1850" t="s">
        <v>3895</v>
      </c>
      <c r="D1448" s="1934"/>
      <c r="E1448" s="1934">
        <v>6</v>
      </c>
      <c r="F1448" s="1905"/>
      <c r="G1448" s="1963" t="s">
        <v>3203</v>
      </c>
      <c r="H1448" s="1964" t="s">
        <v>2749</v>
      </c>
      <c r="I1448" s="2310"/>
      <c r="J1448" s="2534">
        <v>0</v>
      </c>
      <c r="K1448" s="1615">
        <v>0</v>
      </c>
      <c r="L1448" s="1637">
        <v>50000</v>
      </c>
      <c r="M1448" s="1636"/>
      <c r="N1448" s="1615"/>
      <c r="O1448" s="1635"/>
      <c r="P1448" s="1965" t="s">
        <v>2566</v>
      </c>
      <c r="Q1448" s="1966" t="s">
        <v>2571</v>
      </c>
    </row>
    <row r="1449" spans="1:17" ht="12.75" customHeight="1">
      <c r="A1449" s="1962"/>
      <c r="B1449" s="1840"/>
      <c r="C1449" s="1850" t="s">
        <v>3896</v>
      </c>
      <c r="D1449" s="1934"/>
      <c r="E1449" s="1934">
        <v>4</v>
      </c>
      <c r="F1449" s="1905"/>
      <c r="G1449" s="1963" t="s">
        <v>3188</v>
      </c>
      <c r="H1449" s="1964" t="s">
        <v>2586</v>
      </c>
      <c r="I1449" s="2310"/>
      <c r="J1449" s="2534">
        <v>0</v>
      </c>
      <c r="K1449" s="1615">
        <v>0</v>
      </c>
      <c r="L1449" s="1637">
        <v>600000</v>
      </c>
      <c r="M1449" s="1636"/>
      <c r="N1449" s="1615"/>
      <c r="O1449" s="1635"/>
      <c r="P1449" s="1965" t="s">
        <v>2566</v>
      </c>
      <c r="Q1449" s="1966" t="s">
        <v>2587</v>
      </c>
    </row>
    <row r="1450" spans="1:17" ht="12.75" customHeight="1">
      <c r="A1450" s="1962"/>
      <c r="B1450" s="1840"/>
      <c r="C1450" s="1850" t="s">
        <v>3897</v>
      </c>
      <c r="D1450" s="1934"/>
      <c r="E1450" s="1934">
        <v>4</v>
      </c>
      <c r="F1450" s="1905"/>
      <c r="G1450" s="1963" t="s">
        <v>2573</v>
      </c>
      <c r="H1450" s="1964" t="s">
        <v>3898</v>
      </c>
      <c r="I1450" s="2310"/>
      <c r="J1450" s="2534">
        <v>0</v>
      </c>
      <c r="K1450" s="1615">
        <v>0</v>
      </c>
      <c r="L1450" s="1637">
        <v>50000</v>
      </c>
      <c r="M1450" s="1636"/>
      <c r="N1450" s="1615"/>
      <c r="O1450" s="1635"/>
      <c r="P1450" s="1965" t="s">
        <v>2566</v>
      </c>
      <c r="Q1450" s="1966" t="s">
        <v>2571</v>
      </c>
    </row>
    <row r="1451" spans="1:17" ht="12.75" customHeight="1">
      <c r="A1451" s="1962"/>
      <c r="B1451" s="1840"/>
      <c r="C1451" s="1850" t="s">
        <v>3899</v>
      </c>
      <c r="D1451" s="1934"/>
      <c r="E1451" s="1934">
        <v>6</v>
      </c>
      <c r="F1451" s="1905"/>
      <c r="G1451" s="1963" t="s">
        <v>3188</v>
      </c>
      <c r="H1451" s="1964" t="s">
        <v>3174</v>
      </c>
      <c r="I1451" s="2310"/>
      <c r="J1451" s="2534">
        <v>0</v>
      </c>
      <c r="K1451" s="1615">
        <v>0</v>
      </c>
      <c r="L1451" s="1637">
        <v>500000</v>
      </c>
      <c r="M1451" s="1636"/>
      <c r="N1451" s="1615"/>
      <c r="O1451" s="1635"/>
      <c r="P1451" s="1965" t="s">
        <v>2566</v>
      </c>
      <c r="Q1451" s="1966" t="s">
        <v>2571</v>
      </c>
    </row>
    <row r="1452" spans="1:17" ht="12.75" customHeight="1">
      <c r="A1452" s="1962"/>
      <c r="B1452" s="1840"/>
      <c r="C1452" s="1850" t="s">
        <v>3900</v>
      </c>
      <c r="D1452" s="1934"/>
      <c r="E1452" s="1934">
        <v>6</v>
      </c>
      <c r="F1452" s="1963"/>
      <c r="G1452" s="1964" t="s">
        <v>2564</v>
      </c>
      <c r="H1452" s="2310" t="s">
        <v>2591</v>
      </c>
      <c r="I1452" s="2534"/>
      <c r="J1452" s="1615">
        <v>0</v>
      </c>
      <c r="K1452" s="1637">
        <v>0</v>
      </c>
      <c r="L1452" s="1636">
        <v>40000</v>
      </c>
      <c r="M1452" s="1636"/>
      <c r="N1452" s="1615"/>
      <c r="O1452" s="1635"/>
      <c r="P1452" s="1965" t="s">
        <v>2566</v>
      </c>
      <c r="Q1452" s="1966" t="s">
        <v>2587</v>
      </c>
    </row>
    <row r="1453" spans="1:17" ht="12.75" customHeight="1">
      <c r="A1453" s="1962"/>
      <c r="B1453" s="1840"/>
      <c r="C1453" s="1850" t="s">
        <v>3901</v>
      </c>
      <c r="D1453" s="1934"/>
      <c r="E1453" s="1934">
        <v>4</v>
      </c>
      <c r="F1453" s="1905"/>
      <c r="G1453" s="1963" t="s">
        <v>3203</v>
      </c>
      <c r="H1453" s="1964" t="s">
        <v>2623</v>
      </c>
      <c r="I1453" s="2310"/>
      <c r="J1453" s="2534">
        <v>0</v>
      </c>
      <c r="K1453" s="1615">
        <v>0</v>
      </c>
      <c r="L1453" s="1637">
        <v>150000</v>
      </c>
      <c r="M1453" s="1636"/>
      <c r="N1453" s="1615"/>
      <c r="O1453" s="1635"/>
      <c r="P1453" s="1965" t="s">
        <v>2566</v>
      </c>
      <c r="Q1453" s="1966" t="s">
        <v>2571</v>
      </c>
    </row>
    <row r="1454" spans="1:17" ht="12.75" customHeight="1">
      <c r="A1454" s="1962"/>
      <c r="B1454" s="1840"/>
      <c r="C1454" s="1850" t="s">
        <v>3902</v>
      </c>
      <c r="D1454" s="1934"/>
      <c r="E1454" s="1934">
        <v>4</v>
      </c>
      <c r="F1454" s="1905"/>
      <c r="G1454" s="1963" t="s">
        <v>3188</v>
      </c>
      <c r="H1454" s="1964" t="s">
        <v>2586</v>
      </c>
      <c r="I1454" s="2310"/>
      <c r="J1454" s="2534">
        <v>0</v>
      </c>
      <c r="K1454" s="1615">
        <v>0</v>
      </c>
      <c r="L1454" s="1637">
        <v>600000</v>
      </c>
      <c r="M1454" s="1636"/>
      <c r="N1454" s="1615"/>
      <c r="O1454" s="1635"/>
      <c r="P1454" s="1965" t="s">
        <v>2566</v>
      </c>
      <c r="Q1454" s="1966" t="s">
        <v>2587</v>
      </c>
    </row>
    <row r="1455" spans="1:17" ht="12.75" customHeight="1">
      <c r="A1455" s="1962"/>
      <c r="B1455" s="1840"/>
      <c r="C1455" s="1850" t="s">
        <v>3903</v>
      </c>
      <c r="D1455" s="1934"/>
      <c r="E1455" s="1934">
        <v>4</v>
      </c>
      <c r="F1455" s="1905"/>
      <c r="G1455" s="1963" t="s">
        <v>2573</v>
      </c>
      <c r="H1455" s="1964" t="s">
        <v>3168</v>
      </c>
      <c r="I1455" s="2310"/>
      <c r="J1455" s="2534">
        <v>0</v>
      </c>
      <c r="K1455" s="1615">
        <v>0</v>
      </c>
      <c r="L1455" s="1637">
        <v>300000</v>
      </c>
      <c r="M1455" s="1636">
        <v>300000</v>
      </c>
      <c r="N1455" s="1615">
        <v>300000</v>
      </c>
      <c r="O1455" s="1635">
        <v>350000</v>
      </c>
      <c r="P1455" s="1965" t="s">
        <v>2566</v>
      </c>
      <c r="Q1455" s="1966" t="s">
        <v>2587</v>
      </c>
    </row>
    <row r="1456" spans="1:17" ht="12.75" customHeight="1">
      <c r="A1456" s="1962"/>
      <c r="B1456" s="1840"/>
      <c r="C1456" s="1850" t="s">
        <v>3904</v>
      </c>
      <c r="D1456" s="1934"/>
      <c r="E1456" s="1934">
        <v>4</v>
      </c>
      <c r="F1456" s="1905"/>
      <c r="G1456" s="1963" t="s">
        <v>3188</v>
      </c>
      <c r="H1456" s="1964" t="s">
        <v>2586</v>
      </c>
      <c r="I1456" s="2310"/>
      <c r="J1456" s="2534">
        <v>0</v>
      </c>
      <c r="K1456" s="1615">
        <v>0</v>
      </c>
      <c r="L1456" s="1637">
        <v>0</v>
      </c>
      <c r="M1456" s="1636"/>
      <c r="N1456" s="1615"/>
      <c r="O1456" s="1635"/>
      <c r="P1456" s="1965" t="s">
        <v>2566</v>
      </c>
      <c r="Q1456" s="1966" t="s">
        <v>2571</v>
      </c>
    </row>
    <row r="1457" spans="1:17" ht="12.75" customHeight="1">
      <c r="A1457" s="1962"/>
      <c r="B1457" s="1840"/>
      <c r="C1457" s="1850" t="s">
        <v>3905</v>
      </c>
      <c r="D1457" s="1934"/>
      <c r="E1457" s="1934">
        <v>4</v>
      </c>
      <c r="F1457" s="1905"/>
      <c r="G1457" s="1963" t="s">
        <v>2573</v>
      </c>
      <c r="H1457" s="1964" t="s">
        <v>3693</v>
      </c>
      <c r="I1457" s="2310"/>
      <c r="J1457" s="2534">
        <v>0</v>
      </c>
      <c r="K1457" s="1615">
        <v>0</v>
      </c>
      <c r="L1457" s="1637">
        <v>50000</v>
      </c>
      <c r="M1457" s="1636">
        <v>25000</v>
      </c>
      <c r="N1457" s="1615">
        <v>25000</v>
      </c>
      <c r="O1457" s="1635">
        <v>25000</v>
      </c>
      <c r="P1457" s="1965" t="s">
        <v>2566</v>
      </c>
      <c r="Q1457" s="1966" t="s">
        <v>2587</v>
      </c>
    </row>
    <row r="1458" spans="1:17" ht="12.75" customHeight="1">
      <c r="A1458" s="1962"/>
      <c r="B1458" s="1840"/>
      <c r="C1458" s="1850" t="s">
        <v>3906</v>
      </c>
      <c r="D1458" s="1934"/>
      <c r="E1458" s="1934">
        <v>4</v>
      </c>
      <c r="F1458" s="1905"/>
      <c r="G1458" s="1963" t="s">
        <v>3188</v>
      </c>
      <c r="H1458" s="1964" t="s">
        <v>3907</v>
      </c>
      <c r="I1458" s="2310"/>
      <c r="J1458" s="2534">
        <v>0</v>
      </c>
      <c r="K1458" s="1615">
        <v>0</v>
      </c>
      <c r="L1458" s="1637">
        <v>900000</v>
      </c>
      <c r="M1458" s="1636"/>
      <c r="N1458" s="1615"/>
      <c r="O1458" s="1635"/>
      <c r="P1458" s="1965" t="s">
        <v>2566</v>
      </c>
      <c r="Q1458" s="1966" t="s">
        <v>2571</v>
      </c>
    </row>
    <row r="1459" spans="1:17" ht="12.75" customHeight="1">
      <c r="A1459" s="1962"/>
      <c r="B1459" s="1840"/>
      <c r="C1459" s="1850" t="s">
        <v>3908</v>
      </c>
      <c r="D1459" s="1934"/>
      <c r="E1459" s="1934">
        <v>4</v>
      </c>
      <c r="F1459" s="1905"/>
      <c r="G1459" s="1963" t="s">
        <v>3188</v>
      </c>
      <c r="H1459" s="1964" t="s">
        <v>2586</v>
      </c>
      <c r="I1459" s="2310"/>
      <c r="J1459" s="2534">
        <v>0</v>
      </c>
      <c r="K1459" s="1615">
        <v>0</v>
      </c>
      <c r="L1459" s="1637">
        <v>0</v>
      </c>
      <c r="M1459" s="1636"/>
      <c r="N1459" s="1615"/>
      <c r="O1459" s="1635"/>
      <c r="P1459" s="1965" t="s">
        <v>2566</v>
      </c>
      <c r="Q1459" s="1966" t="s">
        <v>2571</v>
      </c>
    </row>
    <row r="1460" spans="1:17" ht="12.75" customHeight="1">
      <c r="A1460" s="1962"/>
      <c r="B1460" s="1840"/>
      <c r="C1460" s="1850" t="s">
        <v>3909</v>
      </c>
      <c r="D1460" s="1934"/>
      <c r="E1460" s="1934">
        <v>4</v>
      </c>
      <c r="F1460" s="1905"/>
      <c r="G1460" s="1963" t="s">
        <v>2569</v>
      </c>
      <c r="H1460" s="1964" t="s">
        <v>3910</v>
      </c>
      <c r="I1460" s="2310"/>
      <c r="J1460" s="2534">
        <v>0</v>
      </c>
      <c r="K1460" s="1615">
        <v>0</v>
      </c>
      <c r="L1460" s="1637">
        <v>250000</v>
      </c>
      <c r="M1460" s="1636"/>
      <c r="N1460" s="1615"/>
      <c r="O1460" s="1635"/>
      <c r="P1460" s="1965" t="s">
        <v>2566</v>
      </c>
      <c r="Q1460" s="1966" t="s">
        <v>2587</v>
      </c>
    </row>
    <row r="1461" spans="1:17" ht="12.75" customHeight="1">
      <c r="A1461" s="1962"/>
      <c r="B1461" s="1840"/>
      <c r="C1461" s="1850" t="s">
        <v>3911</v>
      </c>
      <c r="D1461" s="1934"/>
      <c r="E1461" s="1934">
        <v>4</v>
      </c>
      <c r="F1461" s="1905"/>
      <c r="G1461" s="1963" t="s">
        <v>3188</v>
      </c>
      <c r="H1461" s="1964" t="s">
        <v>3335</v>
      </c>
      <c r="I1461" s="2310"/>
      <c r="J1461" s="2534">
        <v>0</v>
      </c>
      <c r="K1461" s="1615">
        <v>0</v>
      </c>
      <c r="L1461" s="1637">
        <v>0</v>
      </c>
      <c r="M1461" s="1636"/>
      <c r="N1461" s="1615"/>
      <c r="O1461" s="1635"/>
      <c r="P1461" s="1965" t="s">
        <v>2566</v>
      </c>
      <c r="Q1461" s="1966" t="s">
        <v>2587</v>
      </c>
    </row>
    <row r="1462" spans="1:17" ht="12.75" customHeight="1">
      <c r="A1462" s="1962"/>
      <c r="B1462" s="1840"/>
      <c r="C1462" s="1850" t="s">
        <v>3912</v>
      </c>
      <c r="D1462" s="1934"/>
      <c r="E1462" s="1934">
        <v>6</v>
      </c>
      <c r="F1462" s="1905"/>
      <c r="G1462" s="1963" t="s">
        <v>3188</v>
      </c>
      <c r="H1462" s="1964" t="s">
        <v>3174</v>
      </c>
      <c r="I1462" s="2310"/>
      <c r="J1462" s="2534">
        <v>0</v>
      </c>
      <c r="K1462" s="1615">
        <v>0</v>
      </c>
      <c r="L1462" s="1637">
        <v>0</v>
      </c>
      <c r="M1462" s="1636"/>
      <c r="N1462" s="1615"/>
      <c r="O1462" s="1635"/>
      <c r="P1462" s="1965" t="s">
        <v>2566</v>
      </c>
      <c r="Q1462" s="1966" t="s">
        <v>2587</v>
      </c>
    </row>
    <row r="1463" spans="1:17" ht="12.75" customHeight="1">
      <c r="A1463" s="1962"/>
      <c r="B1463" s="1840"/>
      <c r="C1463" s="1850" t="s">
        <v>3913</v>
      </c>
      <c r="D1463" s="1934"/>
      <c r="E1463" s="1934">
        <v>4</v>
      </c>
      <c r="F1463" s="1905"/>
      <c r="G1463" s="1963" t="s">
        <v>2569</v>
      </c>
      <c r="H1463" s="1964" t="s">
        <v>3914</v>
      </c>
      <c r="I1463" s="2310"/>
      <c r="J1463" s="2534">
        <v>0</v>
      </c>
      <c r="K1463" s="1615">
        <v>0</v>
      </c>
      <c r="L1463" s="1637">
        <v>0</v>
      </c>
      <c r="M1463" s="1636"/>
      <c r="N1463" s="1615"/>
      <c r="O1463" s="1635"/>
      <c r="P1463" s="1965" t="s">
        <v>2566</v>
      </c>
      <c r="Q1463" s="1966" t="s">
        <v>2571</v>
      </c>
    </row>
    <row r="1464" spans="1:17" ht="12.75" customHeight="1">
      <c r="A1464" s="1962"/>
      <c r="B1464" s="1840"/>
      <c r="C1464" s="1850" t="s">
        <v>3915</v>
      </c>
      <c r="D1464" s="1934"/>
      <c r="E1464" s="1934">
        <v>4</v>
      </c>
      <c r="F1464" s="1905"/>
      <c r="G1464" s="1963" t="s">
        <v>2578</v>
      </c>
      <c r="H1464" s="1964" t="s">
        <v>2940</v>
      </c>
      <c r="I1464" s="2310"/>
      <c r="J1464" s="2534">
        <v>0</v>
      </c>
      <c r="K1464" s="1615">
        <v>0</v>
      </c>
      <c r="L1464" s="1637">
        <v>0</v>
      </c>
      <c r="M1464" s="1636"/>
      <c r="N1464" s="1615"/>
      <c r="O1464" s="1635"/>
      <c r="P1464" s="1965" t="s">
        <v>2566</v>
      </c>
      <c r="Q1464" s="1966" t="s">
        <v>2571</v>
      </c>
    </row>
    <row r="1465" spans="1:17" ht="12.75" customHeight="1">
      <c r="A1465" s="1962"/>
      <c r="B1465" s="1840"/>
      <c r="C1465" s="1850" t="s">
        <v>3916</v>
      </c>
      <c r="D1465" s="1934"/>
      <c r="E1465" s="1934">
        <v>4</v>
      </c>
      <c r="F1465" s="1905"/>
      <c r="G1465" s="1963" t="s">
        <v>2578</v>
      </c>
      <c r="H1465" s="1964" t="s">
        <v>3917</v>
      </c>
      <c r="I1465" s="2310"/>
      <c r="J1465" s="2534">
        <v>0</v>
      </c>
      <c r="K1465" s="1615">
        <v>0</v>
      </c>
      <c r="L1465" s="1637">
        <v>1600000</v>
      </c>
      <c r="M1465" s="1636">
        <v>6500000</v>
      </c>
      <c r="N1465" s="1615">
        <v>8000000</v>
      </c>
      <c r="O1465" s="1635"/>
      <c r="P1465" s="1965" t="s">
        <v>2566</v>
      </c>
      <c r="Q1465" s="1966" t="s">
        <v>2571</v>
      </c>
    </row>
    <row r="1466" spans="1:17" ht="12.75" customHeight="1">
      <c r="A1466" s="1962"/>
      <c r="B1466" s="1840"/>
      <c r="C1466" s="1850" t="s">
        <v>3918</v>
      </c>
      <c r="D1466" s="1934"/>
      <c r="E1466" s="1934">
        <v>4</v>
      </c>
      <c r="F1466" s="1905"/>
      <c r="G1466" s="1963" t="s">
        <v>2578</v>
      </c>
      <c r="H1466" s="1964" t="s">
        <v>3917</v>
      </c>
      <c r="I1466" s="2310"/>
      <c r="J1466" s="2534">
        <v>0</v>
      </c>
      <c r="K1466" s="1615">
        <v>0</v>
      </c>
      <c r="L1466" s="1637">
        <v>1600000</v>
      </c>
      <c r="M1466" s="1636">
        <v>6500000</v>
      </c>
      <c r="N1466" s="1615">
        <v>8000000</v>
      </c>
      <c r="O1466" s="1635"/>
      <c r="P1466" s="1965" t="s">
        <v>2566</v>
      </c>
      <c r="Q1466" s="1966" t="s">
        <v>2571</v>
      </c>
    </row>
    <row r="1467" spans="1:17" ht="12.75" customHeight="1">
      <c r="A1467" s="1962"/>
      <c r="B1467" s="1840"/>
      <c r="C1467" s="1850" t="s">
        <v>3919</v>
      </c>
      <c r="D1467" s="1934"/>
      <c r="E1467" s="1934">
        <v>4</v>
      </c>
      <c r="F1467" s="1905"/>
      <c r="G1467" s="1963" t="s">
        <v>2573</v>
      </c>
      <c r="H1467" s="1964" t="s">
        <v>3919</v>
      </c>
      <c r="I1467" s="2310"/>
      <c r="J1467" s="2534">
        <v>0</v>
      </c>
      <c r="K1467" s="1615">
        <v>0</v>
      </c>
      <c r="L1467" s="1637">
        <v>600000</v>
      </c>
      <c r="M1467" s="1636"/>
      <c r="N1467" s="1615"/>
      <c r="O1467" s="1635"/>
      <c r="P1467" s="1965" t="s">
        <v>2566</v>
      </c>
      <c r="Q1467" s="1966" t="s">
        <v>2571</v>
      </c>
    </row>
    <row r="1468" spans="1:17" ht="12.75" customHeight="1">
      <c r="A1468" s="1962"/>
      <c r="B1468" s="1840"/>
      <c r="C1468" s="1850" t="s">
        <v>3920</v>
      </c>
      <c r="D1468" s="1934"/>
      <c r="E1468" s="1934">
        <v>4</v>
      </c>
      <c r="F1468" s="1905"/>
      <c r="G1468" s="1963" t="s">
        <v>2578</v>
      </c>
      <c r="H1468" s="1964" t="s">
        <v>3921</v>
      </c>
      <c r="I1468" s="2310"/>
      <c r="J1468" s="2534">
        <v>0</v>
      </c>
      <c r="K1468" s="1615">
        <v>0</v>
      </c>
      <c r="L1468" s="1637">
        <v>1000000</v>
      </c>
      <c r="M1468" s="1636">
        <v>1000000</v>
      </c>
      <c r="N1468" s="1615">
        <v>15000000</v>
      </c>
      <c r="O1468" s="1635">
        <v>4000000</v>
      </c>
      <c r="P1468" s="1965" t="s">
        <v>4360</v>
      </c>
      <c r="Q1468" s="1966" t="s">
        <v>2571</v>
      </c>
    </row>
    <row r="1469" spans="1:17" ht="12.75" customHeight="1">
      <c r="A1469" s="1962"/>
      <c r="B1469" s="1840"/>
      <c r="C1469" s="1850" t="s">
        <v>3922</v>
      </c>
      <c r="D1469" s="1934"/>
      <c r="E1469" s="1934">
        <v>4</v>
      </c>
      <c r="F1469" s="1905"/>
      <c r="G1469" s="1963" t="s">
        <v>2578</v>
      </c>
      <c r="H1469" s="1964" t="s">
        <v>3156</v>
      </c>
      <c r="I1469" s="2310"/>
      <c r="J1469" s="2534">
        <v>0</v>
      </c>
      <c r="K1469" s="1615">
        <v>0</v>
      </c>
      <c r="L1469" s="1637">
        <v>1000000</v>
      </c>
      <c r="M1469" s="1636">
        <v>1000000</v>
      </c>
      <c r="N1469" s="1615">
        <v>15000000</v>
      </c>
      <c r="O1469" s="1635">
        <v>4000000</v>
      </c>
      <c r="P1469" s="1965" t="s">
        <v>3382</v>
      </c>
      <c r="Q1469" s="1966" t="s">
        <v>2571</v>
      </c>
    </row>
    <row r="1470" spans="1:17" ht="12.75" customHeight="1">
      <c r="A1470" s="1962"/>
      <c r="B1470" s="1840"/>
      <c r="C1470" s="1850" t="s">
        <v>4361</v>
      </c>
      <c r="D1470" s="1934"/>
      <c r="E1470" s="1934">
        <v>4</v>
      </c>
      <c r="F1470" s="1905"/>
      <c r="G1470" s="1963" t="s">
        <v>2578</v>
      </c>
      <c r="H1470" s="1964" t="s">
        <v>3156</v>
      </c>
      <c r="I1470" s="2310"/>
      <c r="J1470" s="2534">
        <v>0</v>
      </c>
      <c r="K1470" s="1615">
        <v>0</v>
      </c>
      <c r="L1470" s="1637">
        <v>1000000</v>
      </c>
      <c r="M1470" s="1636">
        <v>1000000</v>
      </c>
      <c r="N1470" s="1615">
        <v>15000000</v>
      </c>
      <c r="O1470" s="1635">
        <v>4000000</v>
      </c>
      <c r="P1470" s="1965" t="s">
        <v>4362</v>
      </c>
      <c r="Q1470" s="1966" t="s">
        <v>2571</v>
      </c>
    </row>
    <row r="1471" spans="1:17" ht="12.75" customHeight="1">
      <c r="A1471" s="1962"/>
      <c r="B1471" s="1840"/>
      <c r="C1471" s="1850" t="s">
        <v>3923</v>
      </c>
      <c r="D1471" s="1934"/>
      <c r="E1471" s="1934">
        <v>4</v>
      </c>
      <c r="F1471" s="1905"/>
      <c r="G1471" s="1963" t="s">
        <v>2578</v>
      </c>
      <c r="H1471" s="1964" t="s">
        <v>2940</v>
      </c>
      <c r="I1471" s="2310"/>
      <c r="J1471" s="2534">
        <v>0</v>
      </c>
      <c r="K1471" s="1615">
        <v>0</v>
      </c>
      <c r="L1471" s="1637">
        <v>20000000</v>
      </c>
      <c r="M1471" s="1636">
        <v>50578000</v>
      </c>
      <c r="N1471" s="1615">
        <v>10528000</v>
      </c>
      <c r="O1471" s="1635">
        <v>40000000</v>
      </c>
      <c r="P1471" s="1965" t="s">
        <v>2566</v>
      </c>
      <c r="Q1471" s="1966" t="s">
        <v>2571</v>
      </c>
    </row>
    <row r="1472" spans="1:17" ht="12.75" customHeight="1">
      <c r="A1472" s="1962"/>
      <c r="B1472" s="1840"/>
      <c r="C1472" s="1850" t="s">
        <v>3924</v>
      </c>
      <c r="D1472" s="1934"/>
      <c r="E1472" s="1934">
        <v>4</v>
      </c>
      <c r="F1472" s="1905"/>
      <c r="G1472" s="1963" t="s">
        <v>2578</v>
      </c>
      <c r="H1472" s="1964" t="s">
        <v>3924</v>
      </c>
      <c r="I1472" s="2310"/>
      <c r="J1472" s="2534">
        <v>0</v>
      </c>
      <c r="K1472" s="1615">
        <v>0</v>
      </c>
      <c r="L1472" s="1637">
        <v>0</v>
      </c>
      <c r="M1472" s="1636"/>
      <c r="N1472" s="1615"/>
      <c r="O1472" s="1635"/>
      <c r="P1472" s="1965" t="s">
        <v>2566</v>
      </c>
      <c r="Q1472" s="1966" t="s">
        <v>2571</v>
      </c>
    </row>
    <row r="1473" spans="1:17" ht="12.75" customHeight="1">
      <c r="A1473" s="1962"/>
      <c r="B1473" s="1840"/>
      <c r="C1473" s="1850" t="s">
        <v>3925</v>
      </c>
      <c r="D1473" s="1934"/>
      <c r="E1473" s="1934">
        <v>4</v>
      </c>
      <c r="F1473" s="1905"/>
      <c r="G1473" s="1963" t="s">
        <v>2578</v>
      </c>
      <c r="H1473" s="1964" t="s">
        <v>2940</v>
      </c>
      <c r="I1473" s="2310"/>
      <c r="J1473" s="2534">
        <v>0</v>
      </c>
      <c r="K1473" s="1615">
        <v>0</v>
      </c>
      <c r="L1473" s="1637">
        <v>0</v>
      </c>
      <c r="M1473" s="1636"/>
      <c r="N1473" s="1615"/>
      <c r="O1473" s="1635"/>
      <c r="P1473" s="1965" t="s">
        <v>2566</v>
      </c>
      <c r="Q1473" s="1966" t="s">
        <v>2571</v>
      </c>
    </row>
    <row r="1474" spans="1:17" ht="12.75" customHeight="1">
      <c r="A1474" s="1962"/>
      <c r="B1474" s="1840"/>
      <c r="C1474" s="1850" t="s">
        <v>3926</v>
      </c>
      <c r="D1474" s="1934"/>
      <c r="E1474" s="1934">
        <v>4</v>
      </c>
      <c r="F1474" s="1905"/>
      <c r="G1474" s="1963" t="s">
        <v>2573</v>
      </c>
      <c r="H1474" s="1964" t="s">
        <v>3927</v>
      </c>
      <c r="I1474" s="2310"/>
      <c r="J1474" s="2534">
        <v>0</v>
      </c>
      <c r="K1474" s="1615">
        <v>0</v>
      </c>
      <c r="L1474" s="1637">
        <v>0</v>
      </c>
      <c r="M1474" s="1636"/>
      <c r="N1474" s="1615"/>
      <c r="O1474" s="1635"/>
      <c r="P1474" s="1965" t="s">
        <v>2566</v>
      </c>
      <c r="Q1474" s="1966" t="s">
        <v>2571</v>
      </c>
    </row>
    <row r="1475" spans="1:17" ht="12.75" customHeight="1">
      <c r="A1475" s="1962"/>
      <c r="B1475" s="1840"/>
      <c r="C1475" s="1850" t="s">
        <v>3928</v>
      </c>
      <c r="D1475" s="1934"/>
      <c r="E1475" s="1934">
        <v>4</v>
      </c>
      <c r="F1475" s="1905"/>
      <c r="G1475" s="1963" t="s">
        <v>2578</v>
      </c>
      <c r="H1475" s="1964" t="s">
        <v>3929</v>
      </c>
      <c r="I1475" s="2310"/>
      <c r="J1475" s="2534">
        <v>0</v>
      </c>
      <c r="K1475" s="1615">
        <v>0</v>
      </c>
      <c r="L1475" s="1637">
        <v>0</v>
      </c>
      <c r="M1475" s="1636"/>
      <c r="N1475" s="1615"/>
      <c r="O1475" s="1635"/>
      <c r="P1475" s="1965" t="s">
        <v>2566</v>
      </c>
      <c r="Q1475" s="1966" t="s">
        <v>2571</v>
      </c>
    </row>
    <row r="1476" spans="1:17" ht="12.75" customHeight="1">
      <c r="A1476" s="1962"/>
      <c r="B1476" s="1840"/>
      <c r="C1476" s="1850" t="s">
        <v>4363</v>
      </c>
      <c r="D1476" s="1934"/>
      <c r="E1476" s="1934">
        <v>4</v>
      </c>
      <c r="F1476" s="1905"/>
      <c r="G1476" s="1963" t="s">
        <v>2564</v>
      </c>
      <c r="H1476" s="1964" t="s">
        <v>2623</v>
      </c>
      <c r="I1476" s="2310"/>
      <c r="J1476" s="2534"/>
      <c r="K1476" s="1615"/>
      <c r="L1476" s="1637"/>
      <c r="M1476" s="1636">
        <v>10000</v>
      </c>
      <c r="N1476" s="1615">
        <v>15000</v>
      </c>
      <c r="O1476" s="1635">
        <v>20000</v>
      </c>
      <c r="P1476" s="1965" t="s">
        <v>2566</v>
      </c>
      <c r="Q1476" s="1966" t="s">
        <v>2571</v>
      </c>
    </row>
    <row r="1477" spans="1:17" ht="12.75" customHeight="1">
      <c r="A1477" s="1962"/>
      <c r="B1477" s="1840"/>
      <c r="C1477" s="1850" t="s">
        <v>4364</v>
      </c>
      <c r="D1477" s="1934"/>
      <c r="E1477" s="1934">
        <v>4</v>
      </c>
      <c r="F1477" s="1905"/>
      <c r="G1477" s="1963" t="s">
        <v>2564</v>
      </c>
      <c r="H1477" s="1964" t="s">
        <v>2749</v>
      </c>
      <c r="I1477" s="2310"/>
      <c r="J1477" s="2534"/>
      <c r="K1477" s="1615"/>
      <c r="L1477" s="1637"/>
      <c r="M1477" s="1636">
        <v>20000</v>
      </c>
      <c r="N1477" s="1615">
        <v>20000</v>
      </c>
      <c r="O1477" s="1635">
        <v>30000</v>
      </c>
      <c r="P1477" s="1965" t="s">
        <v>2566</v>
      </c>
      <c r="Q1477" s="1966" t="s">
        <v>2571</v>
      </c>
    </row>
    <row r="1478" spans="1:17" ht="12.75" customHeight="1">
      <c r="A1478" s="1962"/>
      <c r="B1478" s="1840"/>
      <c r="C1478" s="1850" t="s">
        <v>4365</v>
      </c>
      <c r="D1478" s="1934"/>
      <c r="E1478" s="1934">
        <v>4</v>
      </c>
      <c r="F1478" s="1905"/>
      <c r="G1478" s="1963" t="s">
        <v>2564</v>
      </c>
      <c r="H1478" s="1964" t="s">
        <v>2871</v>
      </c>
      <c r="I1478" s="2310"/>
      <c r="J1478" s="2534"/>
      <c r="K1478" s="1615"/>
      <c r="L1478" s="1637"/>
      <c r="M1478" s="1636">
        <v>50000</v>
      </c>
      <c r="N1478" s="1615">
        <v>50000</v>
      </c>
      <c r="O1478" s="1635">
        <v>50000</v>
      </c>
      <c r="P1478" s="1965" t="s">
        <v>2566</v>
      </c>
      <c r="Q1478" s="1966" t="s">
        <v>2587</v>
      </c>
    </row>
    <row r="1479" spans="1:17" ht="12.75" customHeight="1">
      <c r="A1479" s="1962"/>
      <c r="B1479" s="1840"/>
      <c r="C1479" s="1850" t="s">
        <v>4366</v>
      </c>
      <c r="D1479" s="1934"/>
      <c r="E1479" s="1934">
        <v>4</v>
      </c>
      <c r="F1479" s="1905"/>
      <c r="G1479" s="1963" t="s">
        <v>2573</v>
      </c>
      <c r="H1479" s="1964" t="s">
        <v>4367</v>
      </c>
      <c r="I1479" s="2310"/>
      <c r="J1479" s="2534"/>
      <c r="K1479" s="1615"/>
      <c r="L1479" s="1637"/>
      <c r="M1479" s="1636">
        <v>350000</v>
      </c>
      <c r="N1479" s="1615">
        <v>350000</v>
      </c>
      <c r="O1479" s="1635">
        <v>300000</v>
      </c>
      <c r="P1479" s="1965" t="s">
        <v>2566</v>
      </c>
      <c r="Q1479" s="1966" t="s">
        <v>2571</v>
      </c>
    </row>
    <row r="1480" spans="1:17" ht="12.75" customHeight="1">
      <c r="A1480" s="1962"/>
      <c r="B1480" s="1840"/>
      <c r="C1480" s="1850" t="s">
        <v>4368</v>
      </c>
      <c r="D1480" s="1934"/>
      <c r="E1480" s="1934">
        <v>4</v>
      </c>
      <c r="F1480" s="1905"/>
      <c r="G1480" s="1963" t="s">
        <v>2573</v>
      </c>
      <c r="H1480" s="1964" t="s">
        <v>4369</v>
      </c>
      <c r="I1480" s="2310"/>
      <c r="J1480" s="2534"/>
      <c r="K1480" s="1615"/>
      <c r="L1480" s="1637"/>
      <c r="M1480" s="1636">
        <v>500000</v>
      </c>
      <c r="N1480" s="1615">
        <v>800000</v>
      </c>
      <c r="O1480" s="1635">
        <v>1000000</v>
      </c>
      <c r="P1480" s="1965" t="s">
        <v>2566</v>
      </c>
      <c r="Q1480" s="1966" t="s">
        <v>2571</v>
      </c>
    </row>
    <row r="1481" spans="1:17" ht="12.75" customHeight="1">
      <c r="A1481" s="1962"/>
      <c r="B1481" s="1840"/>
      <c r="C1481" s="1850" t="s">
        <v>4370</v>
      </c>
      <c r="D1481" s="1934"/>
      <c r="E1481" s="1934">
        <v>4</v>
      </c>
      <c r="F1481" s="1905"/>
      <c r="G1481" s="1963" t="s">
        <v>2578</v>
      </c>
      <c r="H1481" s="1964" t="s">
        <v>2940</v>
      </c>
      <c r="I1481" s="2310"/>
      <c r="J1481" s="2534"/>
      <c r="K1481" s="1615"/>
      <c r="L1481" s="1637"/>
      <c r="M1481" s="1636">
        <v>700000</v>
      </c>
      <c r="N1481" s="1615"/>
      <c r="O1481" s="1635"/>
      <c r="P1481" s="1965" t="s">
        <v>2566</v>
      </c>
      <c r="Q1481" s="1966" t="s">
        <v>2571</v>
      </c>
    </row>
    <row r="1482" spans="1:17" ht="12.75" customHeight="1">
      <c r="A1482" s="1962"/>
      <c r="B1482" s="1840"/>
      <c r="C1482" s="1850" t="s">
        <v>4371</v>
      </c>
      <c r="D1482" s="1934"/>
      <c r="E1482" s="1934">
        <v>4</v>
      </c>
      <c r="F1482" s="1905"/>
      <c r="G1482" s="1963" t="s">
        <v>2578</v>
      </c>
      <c r="H1482" s="1964" t="s">
        <v>4372</v>
      </c>
      <c r="I1482" s="2310"/>
      <c r="J1482" s="2534"/>
      <c r="K1482" s="1615"/>
      <c r="L1482" s="1637"/>
      <c r="M1482" s="1636">
        <v>200000</v>
      </c>
      <c r="N1482" s="1615"/>
      <c r="O1482" s="1635"/>
      <c r="P1482" s="1965" t="s">
        <v>2566</v>
      </c>
      <c r="Q1482" s="1966" t="s">
        <v>2571</v>
      </c>
    </row>
    <row r="1483" spans="1:17" ht="12.75" customHeight="1">
      <c r="A1483" s="1962"/>
      <c r="B1483" s="1840"/>
      <c r="C1483" s="1850" t="s">
        <v>4373</v>
      </c>
      <c r="D1483" s="1934"/>
      <c r="E1483" s="1934">
        <v>4</v>
      </c>
      <c r="F1483" s="1905"/>
      <c r="G1483" s="1963" t="s">
        <v>2564</v>
      </c>
      <c r="H1483" s="1964" t="s">
        <v>2591</v>
      </c>
      <c r="I1483" s="2310"/>
      <c r="J1483" s="2534"/>
      <c r="K1483" s="1615"/>
      <c r="L1483" s="1637"/>
      <c r="M1483" s="1636">
        <v>40000</v>
      </c>
      <c r="N1483" s="1615"/>
      <c r="O1483" s="1635"/>
      <c r="P1483" s="1965" t="s">
        <v>2566</v>
      </c>
      <c r="Q1483" s="1966" t="s">
        <v>2571</v>
      </c>
    </row>
    <row r="1484" spans="1:17" ht="12.75" customHeight="1">
      <c r="A1484" s="1962"/>
      <c r="B1484" s="1840"/>
      <c r="C1484" s="1850"/>
      <c r="D1484" s="1934"/>
      <c r="E1484" s="1934"/>
      <c r="F1484" s="1905"/>
      <c r="G1484" s="1963"/>
      <c r="H1484" s="1964"/>
      <c r="I1484" s="2310"/>
      <c r="J1484" s="2534"/>
      <c r="K1484" s="1615"/>
      <c r="L1484" s="1637"/>
      <c r="M1484" s="1636"/>
      <c r="N1484" s="1615"/>
      <c r="O1484" s="1635"/>
      <c r="P1484" s="1965"/>
      <c r="Q1484" s="1966"/>
    </row>
    <row r="1485" spans="1:17" ht="12.75" customHeight="1">
      <c r="A1485" s="1962"/>
      <c r="B1485" s="1840"/>
      <c r="C1485" s="1850"/>
      <c r="D1485" s="1934"/>
      <c r="E1485" s="1934"/>
      <c r="F1485" s="1905"/>
      <c r="G1485" s="1963"/>
      <c r="H1485" s="1964"/>
      <c r="I1485" s="2310"/>
      <c r="J1485" s="2534"/>
      <c r="K1485" s="1615"/>
      <c r="L1485" s="1637"/>
      <c r="M1485" s="1636"/>
      <c r="N1485" s="1615"/>
      <c r="O1485" s="1635"/>
      <c r="P1485" s="1965"/>
      <c r="Q1485" s="1966"/>
    </row>
    <row r="1486" spans="1:17" ht="12.75" customHeight="1">
      <c r="A1486" s="1962" t="s">
        <v>4374</v>
      </c>
      <c r="B1486" s="1840"/>
      <c r="C1486" s="1850"/>
      <c r="D1486" s="1934"/>
      <c r="E1486" s="1934"/>
      <c r="F1486" s="1905"/>
      <c r="G1486" s="1963"/>
      <c r="H1486" s="1964"/>
      <c r="I1486" s="2310"/>
      <c r="J1486" s="2534"/>
      <c r="K1486" s="1615"/>
      <c r="L1486" s="1637"/>
      <c r="M1486" s="1636"/>
      <c r="N1486" s="1615"/>
      <c r="O1486" s="1635"/>
      <c r="P1486" s="1965"/>
      <c r="Q1486" s="1966"/>
    </row>
    <row r="1487" spans="1:17" ht="12.75" customHeight="1">
      <c r="A1487" s="1962"/>
      <c r="B1487" s="1840"/>
      <c r="C1487" s="1850" t="s">
        <v>3255</v>
      </c>
      <c r="D1487" s="1934"/>
      <c r="E1487" s="1934">
        <v>1</v>
      </c>
      <c r="F1487" s="1905"/>
      <c r="G1487" s="1963" t="s">
        <v>2564</v>
      </c>
      <c r="H1487" s="1964" t="s">
        <v>3255</v>
      </c>
      <c r="I1487" s="2310"/>
      <c r="J1487" s="2534"/>
      <c r="K1487" s="1615"/>
      <c r="L1487" s="1637"/>
      <c r="M1487" s="1636">
        <v>2000</v>
      </c>
      <c r="N1487" s="1615"/>
      <c r="O1487" s="1635"/>
      <c r="P1487" s="1965" t="s">
        <v>2566</v>
      </c>
      <c r="Q1487" s="1966" t="s">
        <v>2571</v>
      </c>
    </row>
    <row r="1488" spans="1:17" ht="12.75" customHeight="1">
      <c r="A1488" s="1962"/>
      <c r="B1488" s="1840"/>
      <c r="C1488" s="1850" t="s">
        <v>4375</v>
      </c>
      <c r="D1488" s="1934"/>
      <c r="E1488" s="1934">
        <v>1</v>
      </c>
      <c r="F1488" s="1905"/>
      <c r="G1488" s="1963" t="s">
        <v>2573</v>
      </c>
      <c r="H1488" s="1964" t="s">
        <v>4376</v>
      </c>
      <c r="I1488" s="2310"/>
      <c r="J1488" s="2534"/>
      <c r="K1488" s="1615"/>
      <c r="L1488" s="1637"/>
      <c r="M1488" s="1636">
        <v>7000</v>
      </c>
      <c r="N1488" s="1615"/>
      <c r="O1488" s="1635"/>
      <c r="P1488" s="1965" t="s">
        <v>2566</v>
      </c>
      <c r="Q1488" s="1966" t="s">
        <v>2571</v>
      </c>
    </row>
    <row r="1489" spans="1:17" ht="12.75" customHeight="1">
      <c r="A1489" s="1962"/>
      <c r="B1489" s="1840"/>
      <c r="C1489" s="1850" t="s">
        <v>3229</v>
      </c>
      <c r="D1489" s="1934"/>
      <c r="E1489" s="1934">
        <v>1</v>
      </c>
      <c r="F1489" s="1905"/>
      <c r="G1489" s="1963" t="s">
        <v>2573</v>
      </c>
      <c r="H1489" s="1964" t="s">
        <v>3229</v>
      </c>
      <c r="I1489" s="2310"/>
      <c r="J1489" s="2534"/>
      <c r="K1489" s="1615"/>
      <c r="L1489" s="1637"/>
      <c r="M1489" s="1636">
        <v>2500</v>
      </c>
      <c r="N1489" s="1615"/>
      <c r="O1489" s="1635"/>
      <c r="P1489" s="1965" t="s">
        <v>2566</v>
      </c>
      <c r="Q1489" s="1966" t="s">
        <v>2571</v>
      </c>
    </row>
    <row r="1490" spans="1:17" ht="12.75" customHeight="1">
      <c r="A1490" s="1962"/>
      <c r="B1490" s="1840"/>
      <c r="C1490" s="1850" t="s">
        <v>3278</v>
      </c>
      <c r="D1490" s="1934"/>
      <c r="E1490" s="1934">
        <v>1</v>
      </c>
      <c r="F1490" s="1905"/>
      <c r="G1490" s="1963" t="s">
        <v>2564</v>
      </c>
      <c r="H1490" s="1964" t="s">
        <v>3291</v>
      </c>
      <c r="I1490" s="2310"/>
      <c r="J1490" s="2534"/>
      <c r="K1490" s="1615"/>
      <c r="L1490" s="1637"/>
      <c r="M1490" s="1636">
        <v>5000</v>
      </c>
      <c r="N1490" s="1615"/>
      <c r="O1490" s="1635"/>
      <c r="P1490" s="1965" t="s">
        <v>2566</v>
      </c>
      <c r="Q1490" s="1966" t="s">
        <v>2571</v>
      </c>
    </row>
    <row r="1491" spans="1:17" ht="12.75" customHeight="1">
      <c r="A1491" s="1962"/>
      <c r="B1491" s="1840"/>
      <c r="C1491" s="1850" t="s">
        <v>2593</v>
      </c>
      <c r="D1491" s="1934"/>
      <c r="E1491" s="1934">
        <v>1</v>
      </c>
      <c r="F1491" s="1905"/>
      <c r="G1491" s="1963" t="s">
        <v>2564</v>
      </c>
      <c r="H1491" s="1964" t="s">
        <v>2593</v>
      </c>
      <c r="I1491" s="2310"/>
      <c r="J1491" s="2534"/>
      <c r="K1491" s="1615"/>
      <c r="L1491" s="1637"/>
      <c r="M1491" s="1636">
        <v>5000</v>
      </c>
      <c r="N1491" s="1615"/>
      <c r="O1491" s="1635"/>
      <c r="P1491" s="1965" t="s">
        <v>2566</v>
      </c>
      <c r="Q1491" s="1966" t="s">
        <v>2571</v>
      </c>
    </row>
    <row r="1492" spans="1:17" ht="12.75" customHeight="1">
      <c r="A1492" s="1962"/>
      <c r="B1492" s="1840"/>
      <c r="C1492" s="1850" t="s">
        <v>4377</v>
      </c>
      <c r="D1492" s="1934"/>
      <c r="E1492" s="1934">
        <v>1</v>
      </c>
      <c r="F1492" s="1905"/>
      <c r="G1492" s="1963" t="s">
        <v>2573</v>
      </c>
      <c r="H1492" s="1964" t="s">
        <v>4378</v>
      </c>
      <c r="I1492" s="2310"/>
      <c r="J1492" s="2534"/>
      <c r="K1492" s="1615"/>
      <c r="L1492" s="1637"/>
      <c r="M1492" s="1636">
        <v>300000</v>
      </c>
      <c r="N1492" s="1615"/>
      <c r="O1492" s="1635"/>
      <c r="P1492" s="1965" t="s">
        <v>2566</v>
      </c>
      <c r="Q1492" s="1966" t="s">
        <v>2571</v>
      </c>
    </row>
    <row r="1493" spans="1:17" ht="12.75" customHeight="1">
      <c r="A1493" s="1962"/>
      <c r="B1493" s="1840"/>
      <c r="C1493" s="1850" t="s">
        <v>2565</v>
      </c>
      <c r="D1493" s="1934"/>
      <c r="E1493" s="1934">
        <v>1</v>
      </c>
      <c r="F1493" s="1905"/>
      <c r="G1493" s="1963" t="s">
        <v>2564</v>
      </c>
      <c r="H1493" s="1964" t="s">
        <v>2565</v>
      </c>
      <c r="I1493" s="2310"/>
      <c r="J1493" s="2534"/>
      <c r="K1493" s="1615"/>
      <c r="L1493" s="1637"/>
      <c r="M1493" s="1636">
        <v>15000</v>
      </c>
      <c r="N1493" s="1615"/>
      <c r="O1493" s="1635"/>
      <c r="P1493" s="1965" t="s">
        <v>2566</v>
      </c>
      <c r="Q1493" s="1966" t="s">
        <v>2587</v>
      </c>
    </row>
    <row r="1494" spans="1:17" ht="12.75" customHeight="1">
      <c r="A1494" s="1962"/>
      <c r="B1494" s="1840"/>
      <c r="C1494" s="1850"/>
      <c r="D1494" s="1934"/>
      <c r="E1494" s="1934"/>
      <c r="F1494" s="1905"/>
      <c r="G1494" s="1963"/>
      <c r="H1494" s="1964"/>
      <c r="I1494" s="2310"/>
      <c r="J1494" s="2534"/>
      <c r="K1494" s="1615"/>
      <c r="L1494" s="1637"/>
      <c r="M1494" s="1636"/>
      <c r="N1494" s="1615"/>
      <c r="O1494" s="1635"/>
      <c r="P1494" s="1965"/>
      <c r="Q1494" s="1966"/>
    </row>
    <row r="1495" spans="1:17" ht="12.75" customHeight="1">
      <c r="A1495" s="1962"/>
      <c r="B1495" s="1840"/>
      <c r="C1495" s="1850" t="s">
        <v>4415</v>
      </c>
      <c r="D1495" s="1934"/>
      <c r="E1495" s="1934">
        <v>1</v>
      </c>
      <c r="F1495" s="1905"/>
      <c r="G1495" s="1963"/>
      <c r="H1495" s="1964"/>
      <c r="I1495" s="2310"/>
      <c r="J1495" s="2534">
        <v>200000000</v>
      </c>
      <c r="K1495" s="1615"/>
      <c r="L1495" s="1637"/>
      <c r="M1495" s="1636"/>
      <c r="N1495" s="1615">
        <v>200000000</v>
      </c>
      <c r="O1495" s="1635"/>
      <c r="P1495" s="1965"/>
      <c r="Q1495" s="1966"/>
    </row>
    <row r="1496" spans="1:17" ht="12.75" customHeight="1">
      <c r="A1496" s="1962"/>
      <c r="B1496" s="1840"/>
      <c r="C1496" s="1850" t="s">
        <v>4416</v>
      </c>
      <c r="D1496" s="1934"/>
      <c r="E1496" s="1934">
        <v>1</v>
      </c>
      <c r="F1496" s="1905"/>
      <c r="G1496" s="1963"/>
      <c r="H1496" s="1964"/>
      <c r="I1496" s="2310"/>
      <c r="J1496" s="2534">
        <v>150000000</v>
      </c>
      <c r="K1496" s="1615"/>
      <c r="L1496" s="1637"/>
      <c r="M1496" s="1636"/>
      <c r="N1496" s="1615">
        <v>150000000</v>
      </c>
      <c r="O1496" s="1635"/>
      <c r="P1496" s="1965"/>
      <c r="Q1496" s="1966"/>
    </row>
    <row r="1497" spans="1:17" ht="12.75" customHeight="1">
      <c r="A1497" s="1962"/>
      <c r="B1497" s="1840"/>
      <c r="C1497" s="1850" t="s">
        <v>4417</v>
      </c>
      <c r="D1497" s="1934"/>
      <c r="E1497" s="1934">
        <v>1</v>
      </c>
      <c r="F1497" s="1905"/>
      <c r="G1497" s="1963"/>
      <c r="H1497" s="1964"/>
      <c r="I1497" s="2310"/>
      <c r="J1497" s="2534">
        <v>120000000</v>
      </c>
      <c r="K1497" s="1615"/>
      <c r="L1497" s="1637"/>
      <c r="M1497" s="1636"/>
      <c r="N1497" s="1615">
        <v>120000000</v>
      </c>
      <c r="O1497" s="1635"/>
      <c r="P1497" s="1965"/>
      <c r="Q1497" s="1966"/>
    </row>
    <row r="1498" spans="1:17" ht="12.75" customHeight="1">
      <c r="A1498" s="1962"/>
      <c r="B1498" s="1840"/>
      <c r="C1498" s="1850" t="s">
        <v>4418</v>
      </c>
      <c r="D1498" s="1934"/>
      <c r="E1498" s="1934">
        <v>1</v>
      </c>
      <c r="F1498" s="1905"/>
      <c r="G1498" s="1963"/>
      <c r="H1498" s="1964"/>
      <c r="I1498" s="2310"/>
      <c r="J1498" s="2534">
        <v>100000000</v>
      </c>
      <c r="K1498" s="1615"/>
      <c r="L1498" s="1637"/>
      <c r="M1498" s="1636">
        <v>50000000</v>
      </c>
      <c r="N1498" s="1615">
        <v>50000000</v>
      </c>
      <c r="O1498" s="1635"/>
      <c r="P1498" s="1965"/>
      <c r="Q1498" s="1966"/>
    </row>
    <row r="1499" spans="1:17" ht="12.75" customHeight="1">
      <c r="A1499" s="1962"/>
      <c r="B1499" s="1840"/>
      <c r="C1499" s="1850" t="s">
        <v>4419</v>
      </c>
      <c r="D1499" s="1934"/>
      <c r="E1499" s="1934">
        <v>1</v>
      </c>
      <c r="F1499" s="1905"/>
      <c r="G1499" s="1963"/>
      <c r="H1499" s="1964"/>
      <c r="I1499" s="2310"/>
      <c r="J1499" s="2534">
        <v>105000000</v>
      </c>
      <c r="K1499" s="1615"/>
      <c r="L1499" s="1637"/>
      <c r="M1499" s="1636">
        <v>50000000</v>
      </c>
      <c r="N1499" s="1615">
        <v>55000000</v>
      </c>
      <c r="O1499" s="1635"/>
      <c r="P1499" s="1965"/>
      <c r="Q1499" s="1966"/>
    </row>
    <row r="1500" spans="1:17" ht="12.75" customHeight="1">
      <c r="A1500" s="1962"/>
      <c r="B1500" s="1840"/>
      <c r="C1500" s="1850" t="s">
        <v>4420</v>
      </c>
      <c r="D1500" s="1934"/>
      <c r="E1500" s="1934">
        <v>1</v>
      </c>
      <c r="F1500" s="1905"/>
      <c r="G1500" s="1963"/>
      <c r="H1500" s="1964"/>
      <c r="I1500" s="2310"/>
      <c r="J1500" s="2534">
        <v>130000000</v>
      </c>
      <c r="K1500" s="1615"/>
      <c r="L1500" s="1637"/>
      <c r="M1500" s="1636"/>
      <c r="N1500" s="1615">
        <v>130000000</v>
      </c>
      <c r="O1500" s="1635"/>
      <c r="P1500" s="1965"/>
      <c r="Q1500" s="1966"/>
    </row>
    <row r="1501" spans="1:17" ht="12.75" customHeight="1">
      <c r="A1501" s="1962"/>
      <c r="B1501" s="1840"/>
      <c r="C1501" s="1850"/>
      <c r="D1501" s="1934"/>
      <c r="E1501" s="1934"/>
      <c r="F1501" s="1905"/>
      <c r="G1501" s="1963"/>
      <c r="H1501" s="1964"/>
      <c r="I1501" s="2310"/>
      <c r="J1501" s="2534"/>
      <c r="K1501" s="1615"/>
      <c r="L1501" s="1637"/>
      <c r="M1501" s="1636"/>
      <c r="N1501" s="1615"/>
      <c r="O1501" s="1635"/>
      <c r="P1501" s="1965"/>
      <c r="Q1501" s="1966"/>
    </row>
    <row r="1502" spans="1:17" ht="12.75" customHeight="1">
      <c r="A1502" s="1962"/>
      <c r="B1502" s="1840"/>
      <c r="C1502" s="1850"/>
      <c r="D1502" s="1934"/>
      <c r="E1502" s="1934"/>
      <c r="F1502" s="1905"/>
      <c r="G1502" s="1963"/>
      <c r="H1502" s="1964"/>
      <c r="I1502" s="2310"/>
      <c r="J1502" s="2534"/>
      <c r="K1502" s="1615"/>
      <c r="L1502" s="1637"/>
      <c r="M1502" s="1636"/>
      <c r="N1502" s="1615"/>
      <c r="O1502" s="1635"/>
      <c r="P1502" s="1965"/>
      <c r="Q1502" s="1966"/>
    </row>
    <row r="1503" spans="1:17" ht="12.75" customHeight="1">
      <c r="A1503" s="1962"/>
      <c r="B1503" s="1840"/>
      <c r="C1503" s="1850"/>
      <c r="D1503" s="1934"/>
      <c r="E1503" s="1934"/>
      <c r="F1503" s="1905"/>
      <c r="G1503" s="1963"/>
      <c r="H1503" s="1964"/>
      <c r="I1503" s="2310"/>
      <c r="J1503" s="2534"/>
      <c r="K1503" s="1615"/>
      <c r="L1503" s="1637"/>
      <c r="M1503" s="1636"/>
      <c r="N1503" s="1615"/>
      <c r="O1503" s="1635"/>
      <c r="P1503" s="1965"/>
      <c r="Q1503" s="1966"/>
    </row>
    <row r="1504" spans="1:17" ht="12.75" customHeight="1">
      <c r="A1504" s="1962"/>
      <c r="B1504" s="1840"/>
      <c r="C1504" s="1850"/>
      <c r="D1504" s="1934"/>
      <c r="E1504" s="1934"/>
      <c r="F1504" s="1905"/>
      <c r="G1504" s="1963"/>
      <c r="H1504" s="1964"/>
      <c r="I1504" s="2310"/>
      <c r="J1504" s="2534"/>
      <c r="K1504" s="1615"/>
      <c r="L1504" s="1637"/>
      <c r="M1504" s="1636"/>
      <c r="N1504" s="1615"/>
      <c r="O1504" s="1635"/>
      <c r="P1504" s="1965"/>
      <c r="Q1504" s="1966"/>
    </row>
    <row r="1505" spans="1:17" ht="12.75" customHeight="1">
      <c r="A1505" s="1962"/>
      <c r="B1505" s="1840"/>
      <c r="C1505" s="1850"/>
      <c r="D1505" s="1934"/>
      <c r="E1505" s="1934"/>
      <c r="F1505" s="1905"/>
      <c r="G1505" s="1963"/>
      <c r="H1505" s="1964"/>
      <c r="I1505" s="2310"/>
      <c r="J1505" s="2534"/>
      <c r="K1505" s="1615"/>
      <c r="L1505" s="1637"/>
      <c r="M1505" s="1636"/>
      <c r="N1505" s="1615"/>
      <c r="O1505" s="1635"/>
      <c r="P1505" s="1965"/>
      <c r="Q1505" s="1966"/>
    </row>
    <row r="1506" spans="1:17" ht="12.75" customHeight="1">
      <c r="A1506" s="1962"/>
      <c r="B1506" s="1840"/>
      <c r="C1506" s="1850"/>
      <c r="D1506" s="1934"/>
      <c r="E1506" s="1934"/>
      <c r="F1506" s="1905"/>
      <c r="G1506" s="1963"/>
      <c r="H1506" s="1964"/>
      <c r="I1506" s="2310"/>
      <c r="J1506" s="2534"/>
      <c r="K1506" s="1615"/>
      <c r="L1506" s="1637"/>
      <c r="M1506" s="1636"/>
      <c r="N1506" s="1615"/>
      <c r="O1506" s="1635"/>
      <c r="P1506" s="1965"/>
      <c r="Q1506" s="1966"/>
    </row>
    <row r="1507" spans="1:17" ht="12.75" customHeight="1">
      <c r="A1507" s="1962"/>
      <c r="B1507" s="1840"/>
      <c r="C1507" s="1850"/>
      <c r="D1507" s="1934"/>
      <c r="E1507" s="1934"/>
      <c r="F1507" s="1905"/>
      <c r="G1507" s="1963"/>
      <c r="H1507" s="1964"/>
      <c r="I1507" s="2310"/>
      <c r="J1507" s="2534"/>
      <c r="K1507" s="1615"/>
      <c r="L1507" s="1637"/>
      <c r="M1507" s="1636"/>
      <c r="N1507" s="1615"/>
      <c r="O1507" s="1635"/>
      <c r="P1507" s="1965"/>
      <c r="Q1507" s="1966"/>
    </row>
    <row r="1508" spans="1:17" ht="12.75" customHeight="1">
      <c r="A1508" s="1962"/>
      <c r="B1508" s="1840"/>
      <c r="C1508" s="1850"/>
      <c r="D1508" s="1934"/>
      <c r="E1508" s="1934"/>
      <c r="F1508" s="1905"/>
      <c r="G1508" s="1963"/>
      <c r="H1508" s="1964"/>
      <c r="I1508" s="2310"/>
      <c r="J1508" s="2534"/>
      <c r="K1508" s="1615"/>
      <c r="L1508" s="1637"/>
      <c r="M1508" s="1636"/>
      <c r="N1508" s="1615"/>
      <c r="O1508" s="1635"/>
      <c r="P1508" s="1965"/>
      <c r="Q1508" s="1966"/>
    </row>
    <row r="1509" spans="1:17" ht="12.75" customHeight="1">
      <c r="A1509" s="1962"/>
      <c r="B1509" s="1840"/>
      <c r="C1509" s="1850"/>
      <c r="D1509" s="1934"/>
      <c r="E1509" s="1934"/>
      <c r="F1509" s="1905"/>
      <c r="G1509" s="1963"/>
      <c r="H1509" s="1964"/>
      <c r="I1509" s="2310"/>
      <c r="J1509" s="2534"/>
      <c r="K1509" s="1615"/>
      <c r="L1509" s="1637"/>
      <c r="M1509" s="1636"/>
      <c r="N1509" s="1615"/>
      <c r="O1509" s="1635"/>
      <c r="P1509" s="1965"/>
      <c r="Q1509" s="1966"/>
    </row>
    <row r="1510" spans="1:17" ht="12.75" customHeight="1">
      <c r="A1510" s="1962"/>
      <c r="B1510" s="1840"/>
      <c r="C1510" s="1850"/>
      <c r="D1510" s="1934"/>
      <c r="E1510" s="1934"/>
      <c r="F1510" s="1905"/>
      <c r="G1510" s="1963"/>
      <c r="H1510" s="1964"/>
      <c r="I1510" s="2310"/>
      <c r="J1510" s="2534"/>
      <c r="K1510" s="1615"/>
      <c r="L1510" s="1637"/>
      <c r="M1510" s="1636"/>
      <c r="N1510" s="1615"/>
      <c r="O1510" s="1635"/>
      <c r="P1510" s="1965"/>
      <c r="Q1510" s="1966"/>
    </row>
    <row r="1511" spans="1:17" ht="12.75" customHeight="1">
      <c r="A1511" s="1962"/>
      <c r="B1511" s="1840"/>
      <c r="C1511" s="1850"/>
      <c r="D1511" s="1934"/>
      <c r="E1511" s="1934"/>
      <c r="F1511" s="1905"/>
      <c r="G1511" s="1963"/>
      <c r="H1511" s="1964"/>
      <c r="I1511" s="2310"/>
      <c r="J1511" s="2534"/>
      <c r="K1511" s="1615"/>
      <c r="L1511" s="1637"/>
      <c r="M1511" s="1636"/>
      <c r="N1511" s="1615"/>
      <c r="O1511" s="1635"/>
      <c r="P1511" s="1965"/>
      <c r="Q1511" s="1966"/>
    </row>
    <row r="1512" spans="1:17" ht="12.75" customHeight="1">
      <c r="A1512" s="1962"/>
      <c r="B1512" s="1840"/>
      <c r="C1512" s="1850"/>
      <c r="D1512" s="1934"/>
      <c r="E1512" s="1934"/>
      <c r="F1512" s="1905"/>
      <c r="G1512" s="1963"/>
      <c r="H1512" s="1964"/>
      <c r="I1512" s="2310"/>
      <c r="J1512" s="2534"/>
      <c r="K1512" s="1615"/>
      <c r="L1512" s="1637"/>
      <c r="M1512" s="1636"/>
      <c r="N1512" s="1615"/>
      <c r="O1512" s="1635"/>
      <c r="P1512" s="1965"/>
      <c r="Q1512" s="1966"/>
    </row>
    <row r="1513" spans="1:17" ht="12.75" customHeight="1">
      <c r="A1513" s="1962"/>
      <c r="B1513" s="1840"/>
      <c r="C1513" s="1850"/>
      <c r="D1513" s="1934"/>
      <c r="E1513" s="1934"/>
      <c r="F1513" s="1905"/>
      <c r="G1513" s="1963"/>
      <c r="H1513" s="1964"/>
      <c r="I1513" s="2310"/>
      <c r="J1513" s="2534"/>
      <c r="K1513" s="1615"/>
      <c r="L1513" s="1637"/>
      <c r="M1513" s="1636"/>
      <c r="N1513" s="1615"/>
      <c r="O1513" s="1635"/>
      <c r="P1513" s="1965"/>
      <c r="Q1513" s="1966"/>
    </row>
    <row r="1514" spans="1:17" ht="12.75" customHeight="1">
      <c r="A1514" s="1962"/>
      <c r="B1514" s="1840"/>
      <c r="C1514" s="1850"/>
      <c r="D1514" s="1934"/>
      <c r="E1514" s="1934"/>
      <c r="F1514" s="1905"/>
      <c r="G1514" s="1963"/>
      <c r="H1514" s="1964"/>
      <c r="I1514" s="2310"/>
      <c r="J1514" s="2534"/>
      <c r="K1514" s="1615"/>
      <c r="L1514" s="1637"/>
      <c r="M1514" s="1636"/>
      <c r="N1514" s="1615"/>
      <c r="O1514" s="1635"/>
      <c r="P1514" s="1965"/>
      <c r="Q1514" s="1966"/>
    </row>
    <row r="1515" spans="1:17" ht="12.75" customHeight="1">
      <c r="A1515" s="1962"/>
      <c r="B1515" s="1840"/>
      <c r="C1515" s="1850"/>
      <c r="D1515" s="1934"/>
      <c r="E1515" s="1934"/>
      <c r="F1515" s="1905"/>
      <c r="G1515" s="1963"/>
      <c r="H1515" s="1964"/>
      <c r="I1515" s="2310"/>
      <c r="J1515" s="2534"/>
      <c r="K1515" s="1615"/>
      <c r="L1515" s="1637"/>
      <c r="M1515" s="1636"/>
      <c r="N1515" s="1615"/>
      <c r="O1515" s="1635"/>
      <c r="P1515" s="1965"/>
      <c r="Q1515" s="1966"/>
    </row>
    <row r="1516" spans="1:17" ht="12.75" customHeight="1">
      <c r="A1516" s="1962"/>
      <c r="B1516" s="1840"/>
      <c r="C1516" s="1850"/>
      <c r="D1516" s="1934"/>
      <c r="E1516" s="1934"/>
      <c r="F1516" s="1905"/>
      <c r="G1516" s="1963"/>
      <c r="H1516" s="1964"/>
      <c r="I1516" s="2310"/>
      <c r="J1516" s="2534"/>
      <c r="K1516" s="1615"/>
      <c r="L1516" s="1637"/>
      <c r="M1516" s="1636"/>
      <c r="N1516" s="1615"/>
      <c r="O1516" s="1635"/>
      <c r="P1516" s="1965"/>
      <c r="Q1516" s="1966"/>
    </row>
    <row r="1517" spans="1:17" ht="12.75" customHeight="1">
      <c r="A1517" s="1962"/>
      <c r="B1517" s="1840"/>
      <c r="C1517" s="1850"/>
      <c r="D1517" s="1934"/>
      <c r="E1517" s="1934"/>
      <c r="F1517" s="1905"/>
      <c r="G1517" s="1963"/>
      <c r="H1517" s="1964"/>
      <c r="I1517" s="2310"/>
      <c r="J1517" s="2534"/>
      <c r="K1517" s="1615"/>
      <c r="L1517" s="1637"/>
      <c r="M1517" s="1636"/>
      <c r="N1517" s="1615"/>
      <c r="O1517" s="1635"/>
      <c r="P1517" s="1965"/>
      <c r="Q1517" s="1966"/>
    </row>
    <row r="1518" spans="1:17" ht="12.75" customHeight="1">
      <c r="A1518" s="1962"/>
      <c r="B1518" s="1840"/>
      <c r="C1518" s="1850"/>
      <c r="D1518" s="1934"/>
      <c r="E1518" s="1934"/>
      <c r="F1518" s="1905"/>
      <c r="G1518" s="1963"/>
      <c r="H1518" s="1964"/>
      <c r="I1518" s="2310"/>
      <c r="J1518" s="2534"/>
      <c r="K1518" s="1615"/>
      <c r="L1518" s="1637"/>
      <c r="M1518" s="1636"/>
      <c r="N1518" s="1615"/>
      <c r="O1518" s="1635"/>
      <c r="P1518" s="1965"/>
      <c r="Q1518" s="1966"/>
    </row>
    <row r="1519" spans="1:17" ht="12.75" customHeight="1">
      <c r="A1519" s="1962"/>
      <c r="B1519" s="1840"/>
      <c r="C1519" s="1850"/>
      <c r="D1519" s="1934"/>
      <c r="E1519" s="1934"/>
      <c r="F1519" s="1905"/>
      <c r="G1519" s="1963"/>
      <c r="H1519" s="1964"/>
      <c r="I1519" s="2310"/>
      <c r="J1519" s="2534"/>
      <c r="K1519" s="1615"/>
      <c r="L1519" s="1637"/>
      <c r="M1519" s="1636"/>
      <c r="N1519" s="1615"/>
      <c r="O1519" s="1635"/>
      <c r="P1519" s="1965"/>
      <c r="Q1519" s="1966"/>
    </row>
    <row r="1520" spans="1:17" ht="12.75" customHeight="1">
      <c r="A1520" s="1962"/>
      <c r="B1520" s="1840"/>
      <c r="C1520" s="1850"/>
      <c r="D1520" s="1934"/>
      <c r="E1520" s="1934"/>
      <c r="F1520" s="1905"/>
      <c r="G1520" s="1963"/>
      <c r="H1520" s="1964"/>
      <c r="I1520" s="2310"/>
      <c r="J1520" s="2534"/>
      <c r="K1520" s="1615"/>
      <c r="L1520" s="1637"/>
      <c r="M1520" s="1636"/>
      <c r="N1520" s="1615"/>
      <c r="O1520" s="1635"/>
      <c r="P1520" s="1965"/>
      <c r="Q1520" s="1966"/>
    </row>
    <row r="1521" spans="1:17" ht="12.75" customHeight="1">
      <c r="A1521" s="1962"/>
      <c r="B1521" s="1840"/>
      <c r="C1521" s="1850"/>
      <c r="D1521" s="1934"/>
      <c r="E1521" s="1934"/>
      <c r="F1521" s="1905"/>
      <c r="G1521" s="1963"/>
      <c r="H1521" s="1964"/>
      <c r="I1521" s="2310"/>
      <c r="J1521" s="2534"/>
      <c r="K1521" s="1615"/>
      <c r="L1521" s="1637"/>
      <c r="M1521" s="1636"/>
      <c r="N1521" s="1615"/>
      <c r="O1521" s="1635"/>
      <c r="P1521" s="1965"/>
      <c r="Q1521" s="1966"/>
    </row>
    <row r="1522" spans="1:17" ht="12.75" customHeight="1">
      <c r="A1522" s="1962"/>
      <c r="B1522" s="1840"/>
      <c r="C1522" s="1850"/>
      <c r="D1522" s="1934"/>
      <c r="E1522" s="1934"/>
      <c r="F1522" s="1905"/>
      <c r="G1522" s="1963"/>
      <c r="H1522" s="1964"/>
      <c r="I1522" s="2310"/>
      <c r="J1522" s="2534"/>
      <c r="K1522" s="1615"/>
      <c r="L1522" s="1637"/>
      <c r="M1522" s="1636"/>
      <c r="N1522" s="1615"/>
      <c r="O1522" s="1635"/>
      <c r="P1522" s="1965"/>
      <c r="Q1522" s="1966"/>
    </row>
    <row r="1523" spans="1:17" ht="12.75" customHeight="1">
      <c r="A1523" s="1962"/>
      <c r="B1523" s="1840"/>
      <c r="C1523" s="1850"/>
      <c r="D1523" s="1934"/>
      <c r="E1523" s="1934"/>
      <c r="F1523" s="1905"/>
      <c r="G1523" s="1963"/>
      <c r="H1523" s="1964"/>
      <c r="I1523" s="2310"/>
      <c r="J1523" s="2534"/>
      <c r="K1523" s="1615"/>
      <c r="L1523" s="1637"/>
      <c r="M1523" s="1636"/>
      <c r="N1523" s="1615"/>
      <c r="O1523" s="1635"/>
      <c r="P1523" s="1965"/>
      <c r="Q1523" s="1966"/>
    </row>
    <row r="1524" spans="1:17" ht="12.75" customHeight="1">
      <c r="A1524" s="1962"/>
      <c r="B1524" s="1840"/>
      <c r="C1524" s="1850"/>
      <c r="D1524" s="1934"/>
      <c r="E1524" s="1934"/>
      <c r="F1524" s="1905"/>
      <c r="G1524" s="1963"/>
      <c r="H1524" s="1964"/>
      <c r="I1524" s="2310"/>
      <c r="J1524" s="2534"/>
      <c r="K1524" s="1615"/>
      <c r="L1524" s="1637"/>
      <c r="M1524" s="1636"/>
      <c r="N1524" s="1615"/>
      <c r="O1524" s="1635"/>
      <c r="P1524" s="1965"/>
      <c r="Q1524" s="1966"/>
    </row>
    <row r="1525" spans="1:17" ht="12.75" customHeight="1">
      <c r="A1525" s="1962"/>
      <c r="B1525" s="1840"/>
      <c r="C1525" s="1850"/>
      <c r="D1525" s="1934"/>
      <c r="E1525" s="1934"/>
      <c r="F1525" s="1905"/>
      <c r="G1525" s="1963"/>
      <c r="H1525" s="1964"/>
      <c r="I1525" s="2310"/>
      <c r="J1525" s="2534"/>
      <c r="K1525" s="1615"/>
      <c r="L1525" s="1637"/>
      <c r="M1525" s="1636"/>
      <c r="N1525" s="1615"/>
      <c r="O1525" s="1635"/>
      <c r="P1525" s="1965"/>
      <c r="Q1525" s="1966"/>
    </row>
    <row r="1526" spans="1:17" ht="12.75" customHeight="1">
      <c r="A1526" s="1962"/>
      <c r="B1526" s="1840"/>
      <c r="C1526" s="1850"/>
      <c r="D1526" s="1934"/>
      <c r="E1526" s="1934"/>
      <c r="F1526" s="1905"/>
      <c r="G1526" s="1963"/>
      <c r="H1526" s="1964"/>
      <c r="I1526" s="2310"/>
      <c r="J1526" s="2534"/>
      <c r="K1526" s="1615"/>
      <c r="L1526" s="1637"/>
      <c r="M1526" s="1636"/>
      <c r="N1526" s="1615"/>
      <c r="O1526" s="1635"/>
      <c r="P1526" s="1965"/>
      <c r="Q1526" s="1966"/>
    </row>
    <row r="1527" spans="1:17" ht="12.75" customHeight="1">
      <c r="A1527" s="1962"/>
      <c r="B1527" s="1840"/>
      <c r="C1527" s="1850"/>
      <c r="D1527" s="1934"/>
      <c r="E1527" s="1934"/>
      <c r="F1527" s="1905"/>
      <c r="G1527" s="1963"/>
      <c r="H1527" s="1964"/>
      <c r="I1527" s="2310"/>
      <c r="J1527" s="2534"/>
      <c r="K1527" s="1615"/>
      <c r="L1527" s="1637"/>
      <c r="M1527" s="1636"/>
      <c r="N1527" s="1615"/>
      <c r="O1527" s="1635"/>
      <c r="P1527" s="1965"/>
      <c r="Q1527" s="1966"/>
    </row>
    <row r="1528" spans="1:17" ht="12.75" customHeight="1">
      <c r="A1528" s="1962"/>
      <c r="B1528" s="1840"/>
      <c r="C1528" s="1850"/>
      <c r="D1528" s="1934"/>
      <c r="E1528" s="1934"/>
      <c r="F1528" s="1905"/>
      <c r="G1528" s="1963"/>
      <c r="H1528" s="1964"/>
      <c r="I1528" s="2310"/>
      <c r="J1528" s="2534"/>
      <c r="K1528" s="1615"/>
      <c r="L1528" s="1637"/>
      <c r="M1528" s="1636"/>
      <c r="N1528" s="1615"/>
      <c r="O1528" s="1635"/>
      <c r="P1528" s="1965"/>
      <c r="Q1528" s="1966"/>
    </row>
    <row r="1529" spans="1:17" ht="12.75" customHeight="1">
      <c r="A1529" s="1962"/>
      <c r="B1529" s="1840"/>
      <c r="C1529" s="1850"/>
      <c r="D1529" s="1934"/>
      <c r="E1529" s="1934"/>
      <c r="F1529" s="1905"/>
      <c r="G1529" s="1963"/>
      <c r="H1529" s="1964"/>
      <c r="I1529" s="2310"/>
      <c r="J1529" s="2534"/>
      <c r="K1529" s="1615"/>
      <c r="L1529" s="1637"/>
      <c r="M1529" s="1636"/>
      <c r="N1529" s="1615"/>
      <c r="O1529" s="1635"/>
      <c r="P1529" s="1965"/>
      <c r="Q1529" s="1966"/>
    </row>
    <row r="1530" spans="1:17" ht="12.75" customHeight="1">
      <c r="A1530" s="1962"/>
      <c r="B1530" s="1840"/>
      <c r="C1530" s="1850"/>
      <c r="D1530" s="1934"/>
      <c r="E1530" s="1934"/>
      <c r="F1530" s="1905"/>
      <c r="G1530" s="1963"/>
      <c r="H1530" s="1964"/>
      <c r="I1530" s="2310"/>
      <c r="J1530" s="2534"/>
      <c r="K1530" s="1615"/>
      <c r="L1530" s="1637"/>
      <c r="M1530" s="1636"/>
      <c r="N1530" s="1615"/>
      <c r="O1530" s="1635"/>
      <c r="P1530" s="1965"/>
      <c r="Q1530" s="1966"/>
    </row>
    <row r="1531" spans="1:17" ht="12.75" customHeight="1">
      <c r="A1531" s="1962"/>
      <c r="B1531" s="1840"/>
      <c r="C1531" s="1850"/>
      <c r="D1531" s="1934"/>
      <c r="E1531" s="1934"/>
      <c r="F1531" s="1905"/>
      <c r="G1531" s="1963"/>
      <c r="H1531" s="1964"/>
      <c r="I1531" s="2310"/>
      <c r="J1531" s="2534"/>
      <c r="K1531" s="1615"/>
      <c r="L1531" s="1637"/>
      <c r="M1531" s="1636"/>
      <c r="N1531" s="1615"/>
      <c r="O1531" s="1635"/>
      <c r="P1531" s="1965"/>
      <c r="Q1531" s="1966"/>
    </row>
    <row r="1532" spans="1:17" ht="12.75" customHeight="1">
      <c r="A1532" s="1962"/>
      <c r="B1532" s="1840"/>
      <c r="C1532" s="1850"/>
      <c r="D1532" s="1934"/>
      <c r="E1532" s="1934"/>
      <c r="F1532" s="1905"/>
      <c r="G1532" s="1963"/>
      <c r="H1532" s="1964"/>
      <c r="I1532" s="2310"/>
      <c r="J1532" s="2534"/>
      <c r="K1532" s="1615"/>
      <c r="L1532" s="1637"/>
      <c r="M1532" s="1636"/>
      <c r="N1532" s="1615"/>
      <c r="O1532" s="1635"/>
      <c r="P1532" s="1965"/>
      <c r="Q1532" s="1966"/>
    </row>
    <row r="1533" spans="1:17" ht="12.75" customHeight="1">
      <c r="A1533" s="1962"/>
      <c r="B1533" s="1840"/>
      <c r="C1533" s="1850"/>
      <c r="D1533" s="1934"/>
      <c r="E1533" s="1934"/>
      <c r="F1533" s="1905"/>
      <c r="G1533" s="1963"/>
      <c r="H1533" s="1964"/>
      <c r="I1533" s="2310"/>
      <c r="J1533" s="2534"/>
      <c r="K1533" s="1615"/>
      <c r="L1533" s="1637"/>
      <c r="M1533" s="1636"/>
      <c r="N1533" s="1615"/>
      <c r="O1533" s="1635"/>
      <c r="P1533" s="1965"/>
      <c r="Q1533" s="1966"/>
    </row>
    <row r="1534" spans="1:17" ht="12.75" customHeight="1">
      <c r="A1534" s="1962"/>
      <c r="B1534" s="1840"/>
      <c r="C1534" s="1850"/>
      <c r="D1534" s="1934"/>
      <c r="E1534" s="1934"/>
      <c r="F1534" s="1905"/>
      <c r="G1534" s="1963"/>
      <c r="H1534" s="1964"/>
      <c r="I1534" s="2310"/>
      <c r="J1534" s="2534"/>
      <c r="K1534" s="1615"/>
      <c r="L1534" s="1637"/>
      <c r="M1534" s="1636"/>
      <c r="N1534" s="1615"/>
      <c r="O1534" s="1635"/>
      <c r="P1534" s="1965"/>
      <c r="Q1534" s="1966"/>
    </row>
    <row r="1535" spans="1:17" ht="12.75" customHeight="1">
      <c r="A1535" s="1962"/>
      <c r="B1535" s="1840"/>
      <c r="C1535" s="1850"/>
      <c r="D1535" s="1934"/>
      <c r="E1535" s="1934"/>
      <c r="F1535" s="1905"/>
      <c r="G1535" s="1963"/>
      <c r="H1535" s="1964"/>
      <c r="I1535" s="2310"/>
      <c r="J1535" s="2534"/>
      <c r="K1535" s="1615"/>
      <c r="L1535" s="1637"/>
      <c r="M1535" s="1636"/>
      <c r="N1535" s="1615"/>
      <c r="O1535" s="1635"/>
      <c r="P1535" s="1965"/>
      <c r="Q1535" s="1966"/>
    </row>
    <row r="1536" spans="1:17" ht="12.75" customHeight="1">
      <c r="A1536" s="1962"/>
      <c r="B1536" s="1840"/>
      <c r="C1536" s="1850"/>
      <c r="D1536" s="1934"/>
      <c r="E1536" s="1934"/>
      <c r="F1536" s="1905"/>
      <c r="G1536" s="1963"/>
      <c r="H1536" s="1964"/>
      <c r="I1536" s="2310"/>
      <c r="J1536" s="2534"/>
      <c r="K1536" s="1615"/>
      <c r="L1536" s="1637"/>
      <c r="M1536" s="1636"/>
      <c r="N1536" s="1615"/>
      <c r="O1536" s="1635"/>
      <c r="P1536" s="1965"/>
      <c r="Q1536" s="1966"/>
    </row>
    <row r="1537" spans="1:17" ht="12.75" customHeight="1">
      <c r="A1537" s="1962"/>
      <c r="B1537" s="1840"/>
      <c r="C1537" s="1850"/>
      <c r="D1537" s="1934"/>
      <c r="E1537" s="1934"/>
      <c r="F1537" s="1905"/>
      <c r="G1537" s="1963"/>
      <c r="H1537" s="1964"/>
      <c r="I1537" s="2310"/>
      <c r="J1537" s="2534"/>
      <c r="K1537" s="1615"/>
      <c r="L1537" s="1637"/>
      <c r="M1537" s="1636"/>
      <c r="N1537" s="1615"/>
      <c r="O1537" s="1635"/>
      <c r="P1537" s="1965"/>
      <c r="Q1537" s="1966"/>
    </row>
    <row r="1538" spans="1:17" ht="12.75" customHeight="1">
      <c r="A1538" s="1962"/>
      <c r="B1538" s="1840"/>
      <c r="C1538" s="1850"/>
      <c r="D1538" s="1934"/>
      <c r="E1538" s="1934"/>
      <c r="F1538" s="1905"/>
      <c r="G1538" s="1963"/>
      <c r="H1538" s="1964"/>
      <c r="I1538" s="2310"/>
      <c r="J1538" s="2534"/>
      <c r="K1538" s="1615"/>
      <c r="L1538" s="1637"/>
      <c r="M1538" s="1636"/>
      <c r="N1538" s="1615"/>
      <c r="O1538" s="1635"/>
      <c r="P1538" s="1965"/>
      <c r="Q1538" s="1966"/>
    </row>
    <row r="1539" spans="1:17" ht="12.75" customHeight="1">
      <c r="A1539" s="1962"/>
      <c r="B1539" s="1840"/>
      <c r="C1539" s="1850"/>
      <c r="D1539" s="1934"/>
      <c r="E1539" s="1934"/>
      <c r="F1539" s="1905"/>
      <c r="G1539" s="1963"/>
      <c r="H1539" s="1964"/>
      <c r="I1539" s="2310"/>
      <c r="J1539" s="2534"/>
      <c r="K1539" s="1615"/>
      <c r="L1539" s="1637"/>
      <c r="M1539" s="1636"/>
      <c r="N1539" s="1615"/>
      <c r="O1539" s="1635"/>
      <c r="P1539" s="1965"/>
      <c r="Q1539" s="1966"/>
    </row>
    <row r="1540" spans="1:17" ht="12.75" customHeight="1">
      <c r="A1540" s="1962"/>
      <c r="B1540" s="1840"/>
      <c r="C1540" s="1850"/>
      <c r="D1540" s="1934"/>
      <c r="E1540" s="1934"/>
      <c r="F1540" s="1905"/>
      <c r="G1540" s="1963"/>
      <c r="H1540" s="1964"/>
      <c r="I1540" s="2310"/>
      <c r="J1540" s="2534"/>
      <c r="K1540" s="1615"/>
      <c r="L1540" s="1637"/>
      <c r="M1540" s="1636"/>
      <c r="N1540" s="1615"/>
      <c r="O1540" s="1635"/>
      <c r="P1540" s="1965"/>
      <c r="Q1540" s="1966"/>
    </row>
    <row r="1541" spans="1:17" ht="12.75" customHeight="1">
      <c r="A1541" s="1962"/>
      <c r="B1541" s="1840"/>
      <c r="C1541" s="1850"/>
      <c r="D1541" s="1934"/>
      <c r="E1541" s="1934"/>
      <c r="F1541" s="1905"/>
      <c r="G1541" s="1963"/>
      <c r="H1541" s="1964"/>
      <c r="I1541" s="2310"/>
      <c r="J1541" s="2534"/>
      <c r="K1541" s="1615"/>
      <c r="L1541" s="1637"/>
      <c r="M1541" s="1636"/>
      <c r="N1541" s="1615"/>
      <c r="O1541" s="1635"/>
      <c r="P1541" s="1965"/>
      <c r="Q1541" s="1966"/>
    </row>
    <row r="1542" spans="1:17" ht="12.75" customHeight="1">
      <c r="A1542" s="1962"/>
      <c r="B1542" s="1840"/>
      <c r="C1542" s="1850"/>
      <c r="D1542" s="1934"/>
      <c r="E1542" s="1934"/>
      <c r="F1542" s="1905"/>
      <c r="G1542" s="1963"/>
      <c r="H1542" s="1964"/>
      <c r="I1542" s="2310"/>
      <c r="J1542" s="2534"/>
      <c r="K1542" s="1615"/>
      <c r="L1542" s="1637"/>
      <c r="M1542" s="1636"/>
      <c r="N1542" s="1615"/>
      <c r="O1542" s="1635"/>
      <c r="P1542" s="1965"/>
      <c r="Q1542" s="1966"/>
    </row>
    <row r="1543" spans="1:17" ht="12.75" customHeight="1">
      <c r="A1543" s="1962"/>
      <c r="B1543" s="1840"/>
      <c r="C1543" s="1850"/>
      <c r="D1543" s="1934"/>
      <c r="E1543" s="1934"/>
      <c r="F1543" s="1905"/>
      <c r="G1543" s="1963"/>
      <c r="H1543" s="1964"/>
      <c r="I1543" s="2310"/>
      <c r="J1543" s="2534"/>
      <c r="K1543" s="1615"/>
      <c r="L1543" s="1637"/>
      <c r="M1543" s="1636"/>
      <c r="N1543" s="1615"/>
      <c r="O1543" s="1635"/>
      <c r="P1543" s="1965"/>
      <c r="Q1543" s="1966"/>
    </row>
    <row r="1544" spans="1:17" ht="12.75" customHeight="1">
      <c r="A1544" s="1962"/>
      <c r="B1544" s="1840"/>
      <c r="C1544" s="1850"/>
      <c r="D1544" s="1934"/>
      <c r="E1544" s="1934"/>
      <c r="F1544" s="1905"/>
      <c r="G1544" s="1963"/>
      <c r="H1544" s="1964"/>
      <c r="I1544" s="2310"/>
      <c r="J1544" s="2534"/>
      <c r="K1544" s="1615"/>
      <c r="L1544" s="1637"/>
      <c r="M1544" s="1636"/>
      <c r="N1544" s="1615"/>
      <c r="O1544" s="1635"/>
      <c r="P1544" s="1965"/>
      <c r="Q1544" s="1966"/>
    </row>
    <row r="1545" spans="1:17" ht="12.75" customHeight="1">
      <c r="A1545" s="1962"/>
      <c r="B1545" s="1840"/>
      <c r="C1545" s="1850"/>
      <c r="D1545" s="1934"/>
      <c r="E1545" s="1934"/>
      <c r="F1545" s="1905"/>
      <c r="G1545" s="1963"/>
      <c r="H1545" s="1964"/>
      <c r="I1545" s="2310"/>
      <c r="J1545" s="2534"/>
      <c r="K1545" s="1615"/>
      <c r="L1545" s="1637"/>
      <c r="M1545" s="1636"/>
      <c r="N1545" s="1615"/>
      <c r="O1545" s="1635"/>
      <c r="P1545" s="1965"/>
      <c r="Q1545" s="1966"/>
    </row>
    <row r="1546" spans="1:17" ht="12.75" customHeight="1">
      <c r="A1546" s="1962"/>
      <c r="B1546" s="1840"/>
      <c r="C1546" s="1850"/>
      <c r="D1546" s="1934"/>
      <c r="E1546" s="1934"/>
      <c r="F1546" s="1905"/>
      <c r="G1546" s="1963"/>
      <c r="H1546" s="1964"/>
      <c r="I1546" s="2310"/>
      <c r="J1546" s="2534"/>
      <c r="K1546" s="1615"/>
      <c r="L1546" s="1637"/>
      <c r="M1546" s="1636"/>
      <c r="N1546" s="1615"/>
      <c r="O1546" s="1635"/>
      <c r="P1546" s="1965"/>
      <c r="Q1546" s="1966"/>
    </row>
    <row r="1547" spans="1:17" ht="12.75" customHeight="1">
      <c r="A1547" s="1962"/>
      <c r="B1547" s="1840"/>
      <c r="C1547" s="1850"/>
      <c r="D1547" s="1934"/>
      <c r="E1547" s="1934"/>
      <c r="F1547" s="1905"/>
      <c r="G1547" s="1963"/>
      <c r="H1547" s="1964"/>
      <c r="I1547" s="2310"/>
      <c r="J1547" s="2534"/>
      <c r="K1547" s="1615"/>
      <c r="L1547" s="1637"/>
      <c r="M1547" s="1636"/>
      <c r="N1547" s="1615"/>
      <c r="O1547" s="1635"/>
      <c r="P1547" s="1965"/>
      <c r="Q1547" s="1966"/>
    </row>
    <row r="1548" spans="1:17" ht="12.75" customHeight="1">
      <c r="A1548" s="1962"/>
      <c r="B1548" s="1840"/>
      <c r="C1548" s="1850"/>
      <c r="D1548" s="1934"/>
      <c r="E1548" s="1934"/>
      <c r="F1548" s="1905"/>
      <c r="G1548" s="1963"/>
      <c r="H1548" s="1964"/>
      <c r="I1548" s="2310"/>
      <c r="J1548" s="2534"/>
      <c r="K1548" s="1615"/>
      <c r="L1548" s="1637"/>
      <c r="M1548" s="1636"/>
      <c r="N1548" s="1615"/>
      <c r="O1548" s="1635"/>
      <c r="P1548" s="1965"/>
      <c r="Q1548" s="1966"/>
    </row>
    <row r="1549" spans="1:17" ht="12.75" customHeight="1">
      <c r="A1549" s="1962"/>
      <c r="B1549" s="1840"/>
      <c r="C1549" s="1850"/>
      <c r="D1549" s="1934"/>
      <c r="E1549" s="1934"/>
      <c r="F1549" s="1905"/>
      <c r="G1549" s="1963"/>
      <c r="H1549" s="1964"/>
      <c r="I1549" s="2310"/>
      <c r="J1549" s="2534"/>
      <c r="K1549" s="1615"/>
      <c r="L1549" s="1637"/>
      <c r="M1549" s="1636"/>
      <c r="N1549" s="1615"/>
      <c r="O1549" s="1635"/>
      <c r="P1549" s="1965"/>
      <c r="Q1549" s="1966"/>
    </row>
    <row r="1550" spans="1:17" ht="12.75" customHeight="1">
      <c r="A1550" s="1962"/>
      <c r="B1550" s="1840"/>
      <c r="C1550" s="1850"/>
      <c r="D1550" s="1934"/>
      <c r="E1550" s="1934"/>
      <c r="F1550" s="1905"/>
      <c r="G1550" s="1963"/>
      <c r="H1550" s="1964"/>
      <c r="I1550" s="2310"/>
      <c r="J1550" s="2534"/>
      <c r="K1550" s="1615"/>
      <c r="L1550" s="1637"/>
      <c r="M1550" s="1636"/>
      <c r="N1550" s="1615"/>
      <c r="O1550" s="1635"/>
      <c r="P1550" s="1965"/>
      <c r="Q1550" s="1966"/>
    </row>
    <row r="1551" spans="1:17" ht="12.75" customHeight="1">
      <c r="A1551" s="1962"/>
      <c r="B1551" s="1840"/>
      <c r="C1551" s="1850"/>
      <c r="D1551" s="1934"/>
      <c r="E1551" s="1934"/>
      <c r="F1551" s="1905"/>
      <c r="G1551" s="1963"/>
      <c r="H1551" s="1964"/>
      <c r="I1551" s="2310"/>
      <c r="J1551" s="2534"/>
      <c r="K1551" s="1615"/>
      <c r="L1551" s="1637"/>
      <c r="M1551" s="1636"/>
      <c r="N1551" s="1615"/>
      <c r="O1551" s="1635"/>
      <c r="P1551" s="1965"/>
      <c r="Q1551" s="1966"/>
    </row>
    <row r="1552" spans="1:17" ht="12.75" customHeight="1">
      <c r="A1552" s="1962"/>
      <c r="B1552" s="1840"/>
      <c r="C1552" s="1850"/>
      <c r="D1552" s="1934"/>
      <c r="E1552" s="1934"/>
      <c r="F1552" s="1905"/>
      <c r="G1552" s="1963"/>
      <c r="H1552" s="1964"/>
      <c r="I1552" s="2310"/>
      <c r="J1552" s="2534"/>
      <c r="K1552" s="1615"/>
      <c r="L1552" s="1637"/>
      <c r="M1552" s="1636"/>
      <c r="N1552" s="1615"/>
      <c r="O1552" s="1635"/>
      <c r="P1552" s="1965"/>
      <c r="Q1552" s="1966"/>
    </row>
    <row r="1553" spans="1:17" ht="12.75" customHeight="1">
      <c r="A1553" s="1962"/>
      <c r="B1553" s="1840"/>
      <c r="C1553" s="1850"/>
      <c r="D1553" s="1934"/>
      <c r="E1553" s="1934"/>
      <c r="F1553" s="1905"/>
      <c r="G1553" s="1963"/>
      <c r="H1553" s="1964"/>
      <c r="I1553" s="2310"/>
      <c r="J1553" s="2534"/>
      <c r="K1553" s="1615"/>
      <c r="L1553" s="1637"/>
      <c r="M1553" s="1636"/>
      <c r="N1553" s="1615"/>
      <c r="O1553" s="1635"/>
      <c r="P1553" s="1965"/>
      <c r="Q1553" s="1966"/>
    </row>
    <row r="1554" spans="1:17" ht="12.75" customHeight="1">
      <c r="A1554" s="1962"/>
      <c r="B1554" s="1840"/>
      <c r="C1554" s="1850"/>
      <c r="D1554" s="1934"/>
      <c r="E1554" s="1934"/>
      <c r="F1554" s="1905"/>
      <c r="G1554" s="1963"/>
      <c r="H1554" s="1964"/>
      <c r="I1554" s="2310"/>
      <c r="J1554" s="2534"/>
      <c r="K1554" s="1615"/>
      <c r="L1554" s="1637"/>
      <c r="M1554" s="1636"/>
      <c r="N1554" s="1615"/>
      <c r="O1554" s="1635"/>
      <c r="P1554" s="1965"/>
      <c r="Q1554" s="1966"/>
    </row>
    <row r="1555" spans="1:17" ht="12.75" customHeight="1">
      <c r="A1555" s="1962"/>
      <c r="B1555" s="1840"/>
      <c r="C1555" s="1850"/>
      <c r="D1555" s="1934"/>
      <c r="E1555" s="1934"/>
      <c r="F1555" s="1905"/>
      <c r="G1555" s="1963"/>
      <c r="H1555" s="1964"/>
      <c r="I1555" s="2310"/>
      <c r="J1555" s="2534"/>
      <c r="K1555" s="1615"/>
      <c r="L1555" s="1637"/>
      <c r="M1555" s="1636"/>
      <c r="N1555" s="1615"/>
      <c r="O1555" s="1635"/>
      <c r="P1555" s="1965"/>
      <c r="Q1555" s="1966"/>
    </row>
    <row r="1556" spans="1:17" ht="12.75" customHeight="1">
      <c r="A1556" s="1962"/>
      <c r="B1556" s="1840"/>
      <c r="C1556" s="1850"/>
      <c r="D1556" s="1934"/>
      <c r="E1556" s="1934"/>
      <c r="F1556" s="1905"/>
      <c r="G1556" s="1963"/>
      <c r="H1556" s="1964"/>
      <c r="I1556" s="2310"/>
      <c r="J1556" s="2534"/>
      <c r="K1556" s="1615"/>
      <c r="L1556" s="1637"/>
      <c r="M1556" s="1636"/>
      <c r="N1556" s="1615"/>
      <c r="O1556" s="1635"/>
      <c r="P1556" s="1965"/>
      <c r="Q1556" s="1966"/>
    </row>
    <row r="1557" spans="1:17" ht="12.75" customHeight="1">
      <c r="A1557" s="1962"/>
      <c r="B1557" s="1840"/>
      <c r="C1557" s="1850"/>
      <c r="D1557" s="1934"/>
      <c r="E1557" s="1934"/>
      <c r="F1557" s="1905"/>
      <c r="G1557" s="1963"/>
      <c r="H1557" s="1964"/>
      <c r="I1557" s="2310"/>
      <c r="J1557" s="2534"/>
      <c r="K1557" s="1615"/>
      <c r="L1557" s="1637"/>
      <c r="M1557" s="1636"/>
      <c r="N1557" s="1615"/>
      <c r="O1557" s="1635"/>
      <c r="P1557" s="1965"/>
      <c r="Q1557" s="1966"/>
    </row>
    <row r="1558" spans="1:17" ht="12.75" customHeight="1">
      <c r="A1558" s="1962"/>
      <c r="B1558" s="1840"/>
      <c r="C1558" s="1850"/>
      <c r="D1558" s="1934"/>
      <c r="E1558" s="1934"/>
      <c r="F1558" s="1905"/>
      <c r="G1558" s="1963"/>
      <c r="H1558" s="1964"/>
      <c r="I1558" s="2310"/>
      <c r="J1558" s="2534"/>
      <c r="K1558" s="1615"/>
      <c r="L1558" s="1637"/>
      <c r="M1558" s="1636"/>
      <c r="N1558" s="1615"/>
      <c r="O1558" s="1635"/>
      <c r="P1558" s="1965"/>
      <c r="Q1558" s="1966"/>
    </row>
    <row r="1559" spans="1:17" ht="12.75" customHeight="1">
      <c r="A1559" s="1962"/>
      <c r="B1559" s="1840"/>
      <c r="C1559" s="1850"/>
      <c r="D1559" s="1934"/>
      <c r="E1559" s="1934"/>
      <c r="F1559" s="1905"/>
      <c r="G1559" s="1963"/>
      <c r="H1559" s="1964"/>
      <c r="I1559" s="2310"/>
      <c r="J1559" s="2534"/>
      <c r="K1559" s="1615"/>
      <c r="L1559" s="1637"/>
      <c r="M1559" s="1636"/>
      <c r="N1559" s="1615"/>
      <c r="O1559" s="1635"/>
      <c r="P1559" s="1965"/>
      <c r="Q1559" s="1966"/>
    </row>
    <row r="1560" spans="1:17" ht="12.75" customHeight="1">
      <c r="A1560" s="1962"/>
      <c r="B1560" s="1840"/>
      <c r="C1560" s="1850"/>
      <c r="D1560" s="1934"/>
      <c r="E1560" s="1934"/>
      <c r="F1560" s="1905"/>
      <c r="G1560" s="1963"/>
      <c r="H1560" s="1964"/>
      <c r="I1560" s="2310"/>
      <c r="J1560" s="2534"/>
      <c r="K1560" s="1615"/>
      <c r="L1560" s="1637"/>
      <c r="M1560" s="1636"/>
      <c r="N1560" s="1615"/>
      <c r="O1560" s="1635"/>
      <c r="P1560" s="1965"/>
      <c r="Q1560" s="1966"/>
    </row>
    <row r="1561" spans="1:17" ht="12.75" customHeight="1">
      <c r="A1561" s="1962"/>
      <c r="B1561" s="1840"/>
      <c r="C1561" s="1850"/>
      <c r="D1561" s="1934"/>
      <c r="E1561" s="1934"/>
      <c r="F1561" s="1905"/>
      <c r="G1561" s="1963"/>
      <c r="H1561" s="1964"/>
      <c r="I1561" s="2310"/>
      <c r="J1561" s="2534"/>
      <c r="K1561" s="1615"/>
      <c r="L1561" s="1637"/>
      <c r="M1561" s="1636"/>
      <c r="N1561" s="1615"/>
      <c r="O1561" s="1635"/>
      <c r="P1561" s="1965"/>
      <c r="Q1561" s="1966"/>
    </row>
    <row r="1562" spans="1:17" ht="12.75" customHeight="1">
      <c r="A1562" s="1962"/>
      <c r="B1562" s="1840"/>
      <c r="C1562" s="1850"/>
      <c r="D1562" s="1934"/>
      <c r="E1562" s="1934"/>
      <c r="F1562" s="1905"/>
      <c r="G1562" s="1963"/>
      <c r="H1562" s="1964"/>
      <c r="I1562" s="2310"/>
      <c r="J1562" s="2534"/>
      <c r="K1562" s="1615"/>
      <c r="L1562" s="1637"/>
      <c r="M1562" s="1636"/>
      <c r="N1562" s="1615"/>
      <c r="O1562" s="1635"/>
      <c r="P1562" s="1965"/>
      <c r="Q1562" s="1966"/>
    </row>
    <row r="1563" spans="1:17" ht="12.75" customHeight="1">
      <c r="A1563" s="1962"/>
      <c r="B1563" s="1840"/>
      <c r="C1563" s="1850"/>
      <c r="D1563" s="1934"/>
      <c r="E1563" s="1934"/>
      <c r="F1563" s="1905"/>
      <c r="G1563" s="1963"/>
      <c r="H1563" s="1964"/>
      <c r="I1563" s="2310"/>
      <c r="J1563" s="2534"/>
      <c r="K1563" s="1615"/>
      <c r="L1563" s="1637"/>
      <c r="M1563" s="1636"/>
      <c r="N1563" s="1615"/>
      <c r="O1563" s="1635"/>
      <c r="P1563" s="1965"/>
      <c r="Q1563" s="1966"/>
    </row>
    <row r="1564" spans="1:17" ht="12.75" customHeight="1">
      <c r="A1564" s="1962"/>
      <c r="B1564" s="1840"/>
      <c r="C1564" s="1850"/>
      <c r="D1564" s="1934"/>
      <c r="E1564" s="1934"/>
      <c r="F1564" s="1905"/>
      <c r="G1564" s="1963"/>
      <c r="H1564" s="1964"/>
      <c r="I1564" s="2310"/>
      <c r="J1564" s="2534"/>
      <c r="K1564" s="1615"/>
      <c r="L1564" s="1637"/>
      <c r="M1564" s="1636"/>
      <c r="N1564" s="1615"/>
      <c r="O1564" s="1635"/>
      <c r="P1564" s="1965"/>
      <c r="Q1564" s="1966"/>
    </row>
    <row r="1565" spans="1:17" ht="12.75" customHeight="1">
      <c r="A1565" s="1962"/>
      <c r="B1565" s="1840"/>
      <c r="C1565" s="1850"/>
      <c r="D1565" s="1934"/>
      <c r="E1565" s="1934"/>
      <c r="F1565" s="1905"/>
      <c r="G1565" s="1963"/>
      <c r="H1565" s="1964"/>
      <c r="I1565" s="2310"/>
      <c r="J1565" s="2534"/>
      <c r="K1565" s="1615"/>
      <c r="L1565" s="1637"/>
      <c r="M1565" s="1636"/>
      <c r="N1565" s="1615"/>
      <c r="O1565" s="1635"/>
      <c r="P1565" s="1965"/>
      <c r="Q1565" s="1966"/>
    </row>
    <row r="1566" spans="1:17" ht="12.75" customHeight="1">
      <c r="A1566" s="1962"/>
      <c r="B1566" s="1840"/>
      <c r="C1566" s="1850"/>
      <c r="D1566" s="1934"/>
      <c r="E1566" s="1934"/>
      <c r="F1566" s="1905"/>
      <c r="G1566" s="1963"/>
      <c r="H1566" s="1964"/>
      <c r="I1566" s="2310"/>
      <c r="J1566" s="2534"/>
      <c r="K1566" s="1615"/>
      <c r="L1566" s="1637"/>
      <c r="M1566" s="1636"/>
      <c r="N1566" s="1615"/>
      <c r="O1566" s="1635"/>
      <c r="P1566" s="1965"/>
      <c r="Q1566" s="1966"/>
    </row>
    <row r="1567" spans="1:17" ht="12.75" customHeight="1">
      <c r="A1567" s="1962"/>
      <c r="B1567" s="1840"/>
      <c r="C1567" s="1850"/>
      <c r="D1567" s="1934"/>
      <c r="E1567" s="1934"/>
      <c r="F1567" s="1905"/>
      <c r="G1567" s="1963"/>
      <c r="H1567" s="1964"/>
      <c r="I1567" s="2310"/>
      <c r="J1567" s="2534"/>
      <c r="K1567" s="1615"/>
      <c r="L1567" s="1637"/>
      <c r="M1567" s="1636"/>
      <c r="N1567" s="1615"/>
      <c r="O1567" s="1635"/>
      <c r="P1567" s="1965"/>
      <c r="Q1567" s="1966"/>
    </row>
    <row r="1568" spans="1:17" ht="12.75" customHeight="1">
      <c r="A1568" s="1962"/>
      <c r="B1568" s="1840"/>
      <c r="C1568" s="1850"/>
      <c r="D1568" s="1934"/>
      <c r="E1568" s="1934"/>
      <c r="F1568" s="1905"/>
      <c r="G1568" s="1963"/>
      <c r="H1568" s="1964"/>
      <c r="I1568" s="2310"/>
      <c r="J1568" s="2534"/>
      <c r="K1568" s="1615"/>
      <c r="L1568" s="1637"/>
      <c r="M1568" s="1636"/>
      <c r="N1568" s="1615"/>
      <c r="O1568" s="1635"/>
      <c r="P1568" s="1965"/>
      <c r="Q1568" s="1966"/>
    </row>
    <row r="1569" spans="1:17" ht="12.75" customHeight="1">
      <c r="A1569" s="1962"/>
      <c r="B1569" s="1840"/>
      <c r="C1569" s="1850"/>
      <c r="D1569" s="1934"/>
      <c r="E1569" s="1934"/>
      <c r="F1569" s="1905"/>
      <c r="G1569" s="1963"/>
      <c r="H1569" s="1964"/>
      <c r="I1569" s="2310"/>
      <c r="J1569" s="2534"/>
      <c r="K1569" s="1615"/>
      <c r="L1569" s="1637"/>
      <c r="M1569" s="1636"/>
      <c r="N1569" s="1615"/>
      <c r="O1569" s="1635"/>
      <c r="P1569" s="1965"/>
      <c r="Q1569" s="1966"/>
    </row>
    <row r="1570" spans="1:17" ht="12.75" customHeight="1">
      <c r="A1570" s="1962"/>
      <c r="B1570" s="1840"/>
      <c r="C1570" s="1850"/>
      <c r="D1570" s="1934"/>
      <c r="E1570" s="1934"/>
      <c r="F1570" s="1905"/>
      <c r="G1570" s="1963"/>
      <c r="H1570" s="1964"/>
      <c r="I1570" s="2310"/>
      <c r="J1570" s="2534"/>
      <c r="K1570" s="1615"/>
      <c r="L1570" s="1637"/>
      <c r="M1570" s="1636"/>
      <c r="N1570" s="1615"/>
      <c r="O1570" s="1635"/>
      <c r="P1570" s="1965"/>
      <c r="Q1570" s="1966"/>
    </row>
    <row r="1571" spans="1:17" ht="12.75" customHeight="1">
      <c r="A1571" s="1962"/>
      <c r="B1571" s="1840"/>
      <c r="C1571" s="1850"/>
      <c r="D1571" s="1934"/>
      <c r="E1571" s="1934"/>
      <c r="F1571" s="1905"/>
      <c r="G1571" s="1963"/>
      <c r="H1571" s="1964"/>
      <c r="I1571" s="2310"/>
      <c r="J1571" s="2534"/>
      <c r="K1571" s="1615"/>
      <c r="L1571" s="1637"/>
      <c r="M1571" s="1636"/>
      <c r="N1571" s="1615"/>
      <c r="O1571" s="1635"/>
      <c r="P1571" s="1965"/>
      <c r="Q1571" s="1966"/>
    </row>
    <row r="1572" spans="1:17" ht="12.75" customHeight="1">
      <c r="A1572" s="1962"/>
      <c r="B1572" s="1840"/>
      <c r="C1572" s="1850"/>
      <c r="D1572" s="1934"/>
      <c r="E1572" s="1934"/>
      <c r="F1572" s="1905"/>
      <c r="G1572" s="1963"/>
      <c r="H1572" s="1964"/>
      <c r="I1572" s="2310"/>
      <c r="J1572" s="2534"/>
      <c r="K1572" s="1615"/>
      <c r="L1572" s="1637"/>
      <c r="M1572" s="1636"/>
      <c r="N1572" s="1615"/>
      <c r="O1572" s="1635"/>
      <c r="P1572" s="1965"/>
      <c r="Q1572" s="1966"/>
    </row>
    <row r="1573" spans="1:17" ht="12.75" customHeight="1">
      <c r="A1573" s="1962"/>
      <c r="B1573" s="1840"/>
      <c r="C1573" s="1850"/>
      <c r="D1573" s="1934"/>
      <c r="E1573" s="1934"/>
      <c r="F1573" s="1905"/>
      <c r="G1573" s="1963"/>
      <c r="H1573" s="1964"/>
      <c r="I1573" s="2310"/>
      <c r="J1573" s="2534"/>
      <c r="K1573" s="1615"/>
      <c r="L1573" s="1637"/>
      <c r="M1573" s="1636"/>
      <c r="N1573" s="1615"/>
      <c r="O1573" s="1635"/>
      <c r="P1573" s="1965"/>
      <c r="Q1573" s="1966"/>
    </row>
    <row r="1574" spans="1:17" ht="12.75" customHeight="1">
      <c r="A1574" s="1962"/>
      <c r="B1574" s="1840"/>
      <c r="C1574" s="1850"/>
      <c r="D1574" s="1934"/>
      <c r="E1574" s="1934"/>
      <c r="F1574" s="1905"/>
      <c r="G1574" s="1963"/>
      <c r="H1574" s="1964"/>
      <c r="I1574" s="2310"/>
      <c r="J1574" s="2534"/>
      <c r="K1574" s="1615"/>
      <c r="L1574" s="1637"/>
      <c r="M1574" s="1636"/>
      <c r="N1574" s="1615"/>
      <c r="O1574" s="1635"/>
      <c r="P1574" s="1965"/>
      <c r="Q1574" s="1966"/>
    </row>
    <row r="1575" spans="1:17" ht="12.75" customHeight="1">
      <c r="A1575" s="1962"/>
      <c r="B1575" s="1840"/>
      <c r="C1575" s="1850"/>
      <c r="D1575" s="1934"/>
      <c r="E1575" s="1934"/>
      <c r="F1575" s="1905"/>
      <c r="G1575" s="1963"/>
      <c r="H1575" s="1964"/>
      <c r="I1575" s="2310"/>
      <c r="J1575" s="2534"/>
      <c r="K1575" s="1615"/>
      <c r="L1575" s="1637"/>
      <c r="M1575" s="1636"/>
      <c r="N1575" s="1615"/>
      <c r="O1575" s="1635"/>
      <c r="P1575" s="1965"/>
      <c r="Q1575" s="1966"/>
    </row>
    <row r="1576" spans="1:17" ht="12.75" customHeight="1">
      <c r="A1576" s="1962"/>
      <c r="B1576" s="1840"/>
      <c r="C1576" s="1850"/>
      <c r="D1576" s="1934"/>
      <c r="E1576" s="1934"/>
      <c r="F1576" s="1905"/>
      <c r="G1576" s="1963"/>
      <c r="H1576" s="1964"/>
      <c r="I1576" s="2310"/>
      <c r="J1576" s="2534"/>
      <c r="K1576" s="1615"/>
      <c r="L1576" s="1637"/>
      <c r="M1576" s="1636"/>
      <c r="N1576" s="1615"/>
      <c r="O1576" s="1635"/>
      <c r="P1576" s="1965"/>
      <c r="Q1576" s="1966"/>
    </row>
    <row r="1577" spans="1:17" ht="12.75" customHeight="1">
      <c r="A1577" s="1962"/>
      <c r="B1577" s="1840"/>
      <c r="C1577" s="1850"/>
      <c r="D1577" s="1934"/>
      <c r="E1577" s="1934"/>
      <c r="F1577" s="1905"/>
      <c r="G1577" s="1963"/>
      <c r="H1577" s="1964"/>
      <c r="I1577" s="2310"/>
      <c r="J1577" s="2534"/>
      <c r="K1577" s="1615"/>
      <c r="L1577" s="1637"/>
      <c r="M1577" s="1636"/>
      <c r="N1577" s="1615"/>
      <c r="O1577" s="1635"/>
      <c r="P1577" s="1965"/>
      <c r="Q1577" s="1966"/>
    </row>
    <row r="1578" spans="1:17" ht="12.75" customHeight="1">
      <c r="A1578" s="1962"/>
      <c r="B1578" s="1840"/>
      <c r="C1578" s="1850"/>
      <c r="D1578" s="1934"/>
      <c r="E1578" s="1934"/>
      <c r="F1578" s="1905"/>
      <c r="G1578" s="1963"/>
      <c r="H1578" s="1964"/>
      <c r="I1578" s="2310"/>
      <c r="J1578" s="2534"/>
      <c r="K1578" s="1615"/>
      <c r="L1578" s="1637"/>
      <c r="M1578" s="1636"/>
      <c r="N1578" s="1615"/>
      <c r="O1578" s="1635"/>
      <c r="P1578" s="1965"/>
      <c r="Q1578" s="1966"/>
    </row>
    <row r="1579" spans="1:17" ht="12.75" customHeight="1">
      <c r="A1579" s="1962"/>
      <c r="B1579" s="1840"/>
      <c r="C1579" s="1850"/>
      <c r="D1579" s="1934"/>
      <c r="E1579" s="1934"/>
      <c r="F1579" s="1905"/>
      <c r="G1579" s="1963"/>
      <c r="H1579" s="1964"/>
      <c r="I1579" s="2310"/>
      <c r="J1579" s="2534"/>
      <c r="K1579" s="1615"/>
      <c r="L1579" s="1637"/>
      <c r="M1579" s="1636"/>
      <c r="N1579" s="1615"/>
      <c r="O1579" s="1635"/>
      <c r="P1579" s="1965"/>
      <c r="Q1579" s="1966"/>
    </row>
    <row r="1580" spans="1:17" ht="12.75" customHeight="1">
      <c r="A1580" s="1962"/>
      <c r="B1580" s="1840"/>
      <c r="C1580" s="1850"/>
      <c r="D1580" s="1934"/>
      <c r="E1580" s="1934"/>
      <c r="F1580" s="1905"/>
      <c r="G1580" s="1963"/>
      <c r="H1580" s="1964"/>
      <c r="I1580" s="2310"/>
      <c r="J1580" s="2534"/>
      <c r="K1580" s="1615"/>
      <c r="L1580" s="1637"/>
      <c r="M1580" s="1636"/>
      <c r="N1580" s="1615"/>
      <c r="O1580" s="1635"/>
      <c r="P1580" s="1965"/>
      <c r="Q1580" s="1966"/>
    </row>
    <row r="1581" spans="1:17" ht="12.75" customHeight="1">
      <c r="A1581" s="1962"/>
      <c r="B1581" s="1840"/>
      <c r="C1581" s="1850"/>
      <c r="D1581" s="1934"/>
      <c r="E1581" s="1934"/>
      <c r="F1581" s="1905"/>
      <c r="G1581" s="1963"/>
      <c r="H1581" s="1964"/>
      <c r="I1581" s="2310"/>
      <c r="J1581" s="2534"/>
      <c r="K1581" s="1615"/>
      <c r="L1581" s="1637"/>
      <c r="M1581" s="1636"/>
      <c r="N1581" s="1615"/>
      <c r="O1581" s="1635"/>
      <c r="P1581" s="1965"/>
      <c r="Q1581" s="1966"/>
    </row>
    <row r="1582" spans="1:17" ht="12.75" customHeight="1">
      <c r="A1582" s="1962"/>
      <c r="B1582" s="1840"/>
      <c r="C1582" s="1850"/>
      <c r="D1582" s="1934"/>
      <c r="E1582" s="1934"/>
      <c r="F1582" s="1905"/>
      <c r="G1582" s="1963"/>
      <c r="H1582" s="1964"/>
      <c r="I1582" s="2310"/>
      <c r="J1582" s="2534"/>
      <c r="K1582" s="1615"/>
      <c r="L1582" s="1637"/>
      <c r="M1582" s="1636"/>
      <c r="N1582" s="1615"/>
      <c r="O1582" s="1635"/>
      <c r="P1582" s="1965"/>
      <c r="Q1582" s="1966"/>
    </row>
    <row r="1583" spans="1:17" ht="12.75" customHeight="1">
      <c r="A1583" s="1962"/>
      <c r="B1583" s="1840"/>
      <c r="C1583" s="1850"/>
      <c r="D1583" s="1934"/>
      <c r="E1583" s="1934"/>
      <c r="F1583" s="1905"/>
      <c r="G1583" s="1963"/>
      <c r="H1583" s="1964"/>
      <c r="I1583" s="2310"/>
      <c r="J1583" s="2534"/>
      <c r="K1583" s="1615"/>
      <c r="L1583" s="1637"/>
      <c r="M1583" s="1636"/>
      <c r="N1583" s="1615"/>
      <c r="O1583" s="1635"/>
      <c r="P1583" s="1965"/>
      <c r="Q1583" s="1966"/>
    </row>
    <row r="1584" spans="1:17" ht="12.75" customHeight="1">
      <c r="A1584" s="1962"/>
      <c r="B1584" s="1840"/>
      <c r="C1584" s="1850"/>
      <c r="D1584" s="1934"/>
      <c r="E1584" s="1934"/>
      <c r="F1584" s="1905"/>
      <c r="G1584" s="1963"/>
      <c r="H1584" s="1964"/>
      <c r="I1584" s="2310"/>
      <c r="J1584" s="2534"/>
      <c r="K1584" s="1615"/>
      <c r="L1584" s="1637"/>
      <c r="M1584" s="1636"/>
      <c r="N1584" s="1615"/>
      <c r="O1584" s="1635"/>
      <c r="P1584" s="1965"/>
      <c r="Q1584" s="1966"/>
    </row>
    <row r="1585" spans="1:17" ht="12.75" customHeight="1">
      <c r="A1585" s="1962"/>
      <c r="B1585" s="1840"/>
      <c r="C1585" s="1850"/>
      <c r="D1585" s="1934"/>
      <c r="E1585" s="1934"/>
      <c r="F1585" s="1905"/>
      <c r="G1585" s="1963"/>
      <c r="H1585" s="1964"/>
      <c r="I1585" s="2310"/>
      <c r="J1585" s="2534"/>
      <c r="K1585" s="1615"/>
      <c r="L1585" s="1637"/>
      <c r="M1585" s="1636"/>
      <c r="N1585" s="1615"/>
      <c r="O1585" s="1635"/>
      <c r="P1585" s="1965"/>
      <c r="Q1585" s="1966"/>
    </row>
    <row r="1586" spans="1:17" ht="12.75" customHeight="1">
      <c r="A1586" s="1962"/>
      <c r="B1586" s="1840"/>
      <c r="C1586" s="1850"/>
      <c r="D1586" s="1934"/>
      <c r="E1586" s="1934"/>
      <c r="F1586" s="1905"/>
      <c r="G1586" s="1963"/>
      <c r="H1586" s="1964"/>
      <c r="I1586" s="2310"/>
      <c r="J1586" s="2534"/>
      <c r="K1586" s="1615"/>
      <c r="L1586" s="1637"/>
      <c r="M1586" s="1636"/>
      <c r="N1586" s="1615"/>
      <c r="O1586" s="1635"/>
      <c r="P1586" s="1965"/>
      <c r="Q1586" s="1966"/>
    </row>
    <row r="1587" spans="1:17" ht="12.75" customHeight="1">
      <c r="A1587" s="1962"/>
      <c r="B1587" s="1840"/>
      <c r="C1587" s="1850"/>
      <c r="D1587" s="1934"/>
      <c r="E1587" s="1934"/>
      <c r="F1587" s="1905"/>
      <c r="G1587" s="1963"/>
      <c r="H1587" s="1964"/>
      <c r="I1587" s="2310"/>
      <c r="J1587" s="2534"/>
      <c r="K1587" s="1615"/>
      <c r="L1587" s="1637"/>
      <c r="M1587" s="1636"/>
      <c r="N1587" s="1615"/>
      <c r="O1587" s="1635"/>
      <c r="P1587" s="1965"/>
      <c r="Q1587" s="1966"/>
    </row>
    <row r="1588" spans="1:17" ht="12.75" customHeight="1">
      <c r="A1588" s="1962"/>
      <c r="B1588" s="1840"/>
      <c r="C1588" s="1850"/>
      <c r="D1588" s="1934"/>
      <c r="E1588" s="1934"/>
      <c r="F1588" s="1905"/>
      <c r="G1588" s="1963"/>
      <c r="H1588" s="1964"/>
      <c r="I1588" s="2310"/>
      <c r="J1588" s="2534"/>
      <c r="K1588" s="1615"/>
      <c r="L1588" s="1637"/>
      <c r="M1588" s="1636"/>
      <c r="N1588" s="1615"/>
      <c r="O1588" s="1635"/>
      <c r="P1588" s="1965"/>
      <c r="Q1588" s="1966"/>
    </row>
    <row r="1589" spans="1:17" ht="12.75" customHeight="1">
      <c r="A1589" s="1962"/>
      <c r="B1589" s="1840"/>
      <c r="C1589" s="1850"/>
      <c r="D1589" s="1934"/>
      <c r="E1589" s="1934"/>
      <c r="F1589" s="1905"/>
      <c r="G1589" s="1963"/>
      <c r="H1589" s="1964"/>
      <c r="I1589" s="2310"/>
      <c r="J1589" s="2534"/>
      <c r="K1589" s="1615"/>
      <c r="L1589" s="1637"/>
      <c r="M1589" s="1636"/>
      <c r="N1589" s="1615"/>
      <c r="O1589" s="1635"/>
      <c r="P1589" s="1965"/>
      <c r="Q1589" s="1966"/>
    </row>
    <row r="1590" spans="1:17" ht="12.75" customHeight="1">
      <c r="A1590" s="1962"/>
      <c r="B1590" s="1840"/>
      <c r="C1590" s="1850"/>
      <c r="D1590" s="1934"/>
      <c r="E1590" s="1934"/>
      <c r="F1590" s="1905"/>
      <c r="G1590" s="1963"/>
      <c r="H1590" s="1964"/>
      <c r="I1590" s="2310"/>
      <c r="J1590" s="2534"/>
      <c r="K1590" s="1615"/>
      <c r="L1590" s="1637"/>
      <c r="M1590" s="1636"/>
      <c r="N1590" s="1615"/>
      <c r="O1590" s="1635"/>
      <c r="P1590" s="1965"/>
      <c r="Q1590" s="1966"/>
    </row>
    <row r="1591" spans="1:17" ht="12.75" customHeight="1">
      <c r="A1591" s="1962"/>
      <c r="B1591" s="1840"/>
      <c r="C1591" s="1850"/>
      <c r="D1591" s="1934"/>
      <c r="E1591" s="1934"/>
      <c r="F1591" s="1905"/>
      <c r="G1591" s="1963"/>
      <c r="H1591" s="1964"/>
      <c r="I1591" s="2310"/>
      <c r="J1591" s="2534"/>
      <c r="K1591" s="1615"/>
      <c r="L1591" s="1637"/>
      <c r="M1591" s="1636"/>
      <c r="N1591" s="1615"/>
      <c r="O1591" s="1635"/>
      <c r="P1591" s="1965"/>
      <c r="Q1591" s="1966"/>
    </row>
    <row r="1592" spans="1:17" ht="12.75" customHeight="1">
      <c r="A1592" s="1962"/>
      <c r="B1592" s="1840"/>
      <c r="C1592" s="1850"/>
      <c r="D1592" s="1934"/>
      <c r="E1592" s="1934"/>
      <c r="F1592" s="1905"/>
      <c r="G1592" s="1963"/>
      <c r="H1592" s="1964"/>
      <c r="I1592" s="2310"/>
      <c r="J1592" s="2534"/>
      <c r="K1592" s="1615"/>
      <c r="L1592" s="1637"/>
      <c r="M1592" s="1636"/>
      <c r="N1592" s="1615"/>
      <c r="O1592" s="1635"/>
      <c r="P1592" s="1965"/>
      <c r="Q1592" s="1966"/>
    </row>
    <row r="1593" spans="1:17" ht="12.75" customHeight="1">
      <c r="A1593" s="1962"/>
      <c r="B1593" s="1840"/>
      <c r="C1593" s="1850"/>
      <c r="D1593" s="1934"/>
      <c r="E1593" s="1934"/>
      <c r="F1593" s="1905"/>
      <c r="G1593" s="1963"/>
      <c r="H1593" s="1964"/>
      <c r="I1593" s="2310"/>
      <c r="J1593" s="2534"/>
      <c r="K1593" s="1615"/>
      <c r="L1593" s="1637"/>
      <c r="M1593" s="1636"/>
      <c r="N1593" s="1615"/>
      <c r="O1593" s="1635"/>
      <c r="P1593" s="1965"/>
      <c r="Q1593" s="1966"/>
    </row>
    <row r="1594" spans="1:17" ht="12.75" customHeight="1">
      <c r="A1594" s="1962"/>
      <c r="B1594" s="1840"/>
      <c r="C1594" s="1850"/>
      <c r="D1594" s="1934"/>
      <c r="E1594" s="1934"/>
      <c r="F1594" s="1905"/>
      <c r="G1594" s="1963"/>
      <c r="H1594" s="1964"/>
      <c r="I1594" s="2310"/>
      <c r="J1594" s="2534"/>
      <c r="K1594" s="1615"/>
      <c r="L1594" s="1637"/>
      <c r="M1594" s="1636"/>
      <c r="N1594" s="1615"/>
      <c r="O1594" s="1635"/>
      <c r="P1594" s="1965"/>
      <c r="Q1594" s="1966"/>
    </row>
    <row r="1595" spans="1:17" ht="12.75" customHeight="1">
      <c r="A1595" s="1962"/>
      <c r="B1595" s="1840"/>
      <c r="C1595" s="1850"/>
      <c r="D1595" s="1934"/>
      <c r="E1595" s="1934"/>
      <c r="F1595" s="1905"/>
      <c r="G1595" s="1963"/>
      <c r="H1595" s="1964"/>
      <c r="I1595" s="2310"/>
      <c r="J1595" s="2534"/>
      <c r="K1595" s="1615"/>
      <c r="L1595" s="1637"/>
      <c r="M1595" s="1636"/>
      <c r="N1595" s="1615"/>
      <c r="O1595" s="1635"/>
      <c r="P1595" s="1965"/>
      <c r="Q1595" s="1966"/>
    </row>
    <row r="1596" spans="1:17" ht="12.75" customHeight="1">
      <c r="A1596" s="1962"/>
      <c r="B1596" s="1840"/>
      <c r="C1596" s="1850"/>
      <c r="D1596" s="1934"/>
      <c r="E1596" s="1934"/>
      <c r="F1596" s="1905"/>
      <c r="G1596" s="1963"/>
      <c r="H1596" s="1964"/>
      <c r="I1596" s="2310"/>
      <c r="J1596" s="2534"/>
      <c r="K1596" s="1615"/>
      <c r="L1596" s="1637"/>
      <c r="M1596" s="1636"/>
      <c r="N1596" s="1615"/>
      <c r="O1596" s="1635"/>
      <c r="P1596" s="1965"/>
      <c r="Q1596" s="1966"/>
    </row>
    <row r="1597" spans="1:17" ht="12.75" customHeight="1">
      <c r="A1597" s="1962"/>
      <c r="B1597" s="1840"/>
      <c r="C1597" s="1850"/>
      <c r="D1597" s="1934"/>
      <c r="E1597" s="1934"/>
      <c r="F1597" s="1905"/>
      <c r="G1597" s="1963"/>
      <c r="H1597" s="1964"/>
      <c r="I1597" s="2310"/>
      <c r="J1597" s="2534"/>
      <c r="K1597" s="1615"/>
      <c r="L1597" s="1637"/>
      <c r="M1597" s="1636"/>
      <c r="N1597" s="1615"/>
      <c r="O1597" s="1635"/>
      <c r="P1597" s="1965"/>
      <c r="Q1597" s="1966"/>
    </row>
    <row r="1598" spans="1:17" ht="12.75" customHeight="1">
      <c r="A1598" s="1962"/>
      <c r="B1598" s="1840"/>
      <c r="C1598" s="1850"/>
      <c r="D1598" s="1934"/>
      <c r="E1598" s="1934"/>
      <c r="F1598" s="1905"/>
      <c r="G1598" s="1963"/>
      <c r="H1598" s="1964"/>
      <c r="I1598" s="2310"/>
      <c r="J1598" s="2534"/>
      <c r="K1598" s="1615"/>
      <c r="L1598" s="1637"/>
      <c r="M1598" s="1636"/>
      <c r="N1598" s="1615"/>
      <c r="O1598" s="1635"/>
      <c r="P1598" s="1965"/>
      <c r="Q1598" s="1966"/>
    </row>
    <row r="1599" spans="1:17" ht="12.75" customHeight="1">
      <c r="A1599" s="1962"/>
      <c r="B1599" s="1840"/>
      <c r="C1599" s="1850"/>
      <c r="D1599" s="1934"/>
      <c r="E1599" s="1934"/>
      <c r="F1599" s="1905"/>
      <c r="G1599" s="1963"/>
      <c r="H1599" s="1964"/>
      <c r="I1599" s="2310"/>
      <c r="J1599" s="2534"/>
      <c r="K1599" s="1615"/>
      <c r="L1599" s="1637"/>
      <c r="M1599" s="1636"/>
      <c r="N1599" s="1615"/>
      <c r="O1599" s="1635"/>
      <c r="P1599" s="1965"/>
      <c r="Q1599" s="1966"/>
    </row>
    <row r="1600" spans="1:17" ht="12.75" customHeight="1">
      <c r="A1600" s="1962"/>
      <c r="B1600" s="1840"/>
      <c r="C1600" s="1850"/>
      <c r="D1600" s="1934"/>
      <c r="E1600" s="1934"/>
      <c r="F1600" s="1905"/>
      <c r="G1600" s="1963"/>
      <c r="H1600" s="1964"/>
      <c r="I1600" s="2310"/>
      <c r="J1600" s="2534"/>
      <c r="K1600" s="1615"/>
      <c r="L1600" s="1637"/>
      <c r="M1600" s="1636"/>
      <c r="N1600" s="1615"/>
      <c r="O1600" s="1635"/>
      <c r="P1600" s="1965"/>
      <c r="Q1600" s="1966"/>
    </row>
    <row r="1601" spans="1:17" ht="12.75" customHeight="1">
      <c r="A1601" s="1962"/>
      <c r="B1601" s="1840"/>
      <c r="C1601" s="1850"/>
      <c r="D1601" s="1934"/>
      <c r="E1601" s="1934"/>
      <c r="F1601" s="1905"/>
      <c r="G1601" s="1963"/>
      <c r="H1601" s="1964"/>
      <c r="I1601" s="2310"/>
      <c r="J1601" s="2534"/>
      <c r="K1601" s="1615"/>
      <c r="L1601" s="1637"/>
      <c r="M1601" s="1636"/>
      <c r="N1601" s="1615"/>
      <c r="O1601" s="1635"/>
      <c r="P1601" s="1965"/>
      <c r="Q1601" s="1966"/>
    </row>
    <row r="1602" spans="1:17" ht="12.75" customHeight="1">
      <c r="A1602" s="1962"/>
      <c r="B1602" s="1840"/>
      <c r="C1602" s="1850"/>
      <c r="D1602" s="1934"/>
      <c r="E1602" s="1934"/>
      <c r="F1602" s="1905"/>
      <c r="G1602" s="1963"/>
      <c r="H1602" s="1964"/>
      <c r="I1602" s="2310"/>
      <c r="J1602" s="2534"/>
      <c r="K1602" s="1615"/>
      <c r="L1602" s="1637"/>
      <c r="M1602" s="1636"/>
      <c r="N1602" s="1615"/>
      <c r="O1602" s="1635"/>
      <c r="P1602" s="1965"/>
      <c r="Q1602" s="1966"/>
    </row>
    <row r="1603" spans="1:17" ht="12.75" customHeight="1">
      <c r="A1603" s="1962"/>
      <c r="B1603" s="1840"/>
      <c r="C1603" s="1850"/>
      <c r="D1603" s="1934"/>
      <c r="E1603" s="1934"/>
      <c r="F1603" s="1905"/>
      <c r="G1603" s="1963"/>
      <c r="H1603" s="1964"/>
      <c r="I1603" s="2310"/>
      <c r="J1603" s="2534"/>
      <c r="K1603" s="1615"/>
      <c r="L1603" s="1637"/>
      <c r="M1603" s="1636"/>
      <c r="N1603" s="1615"/>
      <c r="O1603" s="1635"/>
      <c r="P1603" s="1965"/>
      <c r="Q1603" s="1966"/>
    </row>
    <row r="1604" spans="1:17" ht="12.75" customHeight="1">
      <c r="A1604" s="1962"/>
      <c r="B1604" s="1840"/>
      <c r="C1604" s="1850"/>
      <c r="D1604" s="1934"/>
      <c r="E1604" s="1934"/>
      <c r="F1604" s="1905"/>
      <c r="G1604" s="1963"/>
      <c r="H1604" s="1964"/>
      <c r="I1604" s="2310"/>
      <c r="J1604" s="2534"/>
      <c r="K1604" s="1615"/>
      <c r="L1604" s="1637"/>
      <c r="M1604" s="1636"/>
      <c r="N1604" s="1615"/>
      <c r="O1604" s="1635"/>
      <c r="P1604" s="1965"/>
      <c r="Q1604" s="1966"/>
    </row>
    <row r="1605" spans="1:17" ht="12.75" customHeight="1">
      <c r="A1605" s="1962"/>
      <c r="B1605" s="1840"/>
      <c r="C1605" s="1850"/>
      <c r="D1605" s="1934"/>
      <c r="E1605" s="1934"/>
      <c r="F1605" s="1905"/>
      <c r="G1605" s="1963"/>
      <c r="H1605" s="1964"/>
      <c r="I1605" s="2310"/>
      <c r="J1605" s="2534"/>
      <c r="K1605" s="1615"/>
      <c r="L1605" s="1637"/>
      <c r="M1605" s="1636"/>
      <c r="N1605" s="1615"/>
      <c r="O1605" s="1635"/>
      <c r="P1605" s="1965"/>
      <c r="Q1605" s="1966"/>
    </row>
    <row r="1606" spans="1:17" ht="12.75" customHeight="1">
      <c r="A1606" s="1962"/>
      <c r="B1606" s="1840"/>
      <c r="C1606" s="1850"/>
      <c r="D1606" s="1934"/>
      <c r="E1606" s="1934"/>
      <c r="F1606" s="1905"/>
      <c r="G1606" s="1963"/>
      <c r="H1606" s="1964"/>
      <c r="I1606" s="2310"/>
      <c r="J1606" s="2534"/>
      <c r="K1606" s="1615"/>
      <c r="L1606" s="1637"/>
      <c r="M1606" s="1636"/>
      <c r="N1606" s="1615"/>
      <c r="O1606" s="1635"/>
      <c r="P1606" s="1965"/>
      <c r="Q1606" s="1966"/>
    </row>
    <row r="1607" spans="1:17" ht="12.75" customHeight="1">
      <c r="A1607" s="1962"/>
      <c r="B1607" s="1840"/>
      <c r="C1607" s="1850"/>
      <c r="D1607" s="1934"/>
      <c r="E1607" s="1934"/>
      <c r="F1607" s="1905"/>
      <c r="G1607" s="1963"/>
      <c r="H1607" s="1964"/>
      <c r="I1607" s="2310"/>
      <c r="J1607" s="2534"/>
      <c r="K1607" s="1615"/>
      <c r="L1607" s="1637"/>
      <c r="M1607" s="1636"/>
      <c r="N1607" s="1615"/>
      <c r="O1607" s="1635"/>
      <c r="P1607" s="1965"/>
      <c r="Q1607" s="1966"/>
    </row>
    <row r="1608" spans="1:17" ht="12.75" customHeight="1">
      <c r="A1608" s="1962"/>
      <c r="B1608" s="1840"/>
      <c r="C1608" s="1850"/>
      <c r="D1608" s="1934"/>
      <c r="E1608" s="1934"/>
      <c r="F1608" s="1905"/>
      <c r="G1608" s="1963"/>
      <c r="H1608" s="1964"/>
      <c r="I1608" s="2310"/>
      <c r="J1608" s="2534"/>
      <c r="K1608" s="1615"/>
      <c r="L1608" s="1637"/>
      <c r="M1608" s="1636"/>
      <c r="N1608" s="1615"/>
      <c r="O1608" s="1635"/>
      <c r="P1608" s="1965"/>
      <c r="Q1608" s="1966"/>
    </row>
    <row r="1609" spans="1:17" ht="12.75" customHeight="1">
      <c r="A1609" s="1962"/>
      <c r="B1609" s="1840"/>
      <c r="C1609" s="1850"/>
      <c r="D1609" s="1934"/>
      <c r="E1609" s="1934"/>
      <c r="F1609" s="1905"/>
      <c r="G1609" s="1963"/>
      <c r="H1609" s="1964"/>
      <c r="I1609" s="2310"/>
      <c r="J1609" s="2534"/>
      <c r="K1609" s="1615"/>
      <c r="L1609" s="1637"/>
      <c r="M1609" s="1636"/>
      <c r="N1609" s="1615"/>
      <c r="O1609" s="1635"/>
      <c r="P1609" s="1965"/>
      <c r="Q1609" s="1966"/>
    </row>
    <row r="1610" spans="1:17" ht="12.75" customHeight="1">
      <c r="A1610" s="1962"/>
      <c r="B1610" s="1840"/>
      <c r="C1610" s="1850"/>
      <c r="D1610" s="1934"/>
      <c r="E1610" s="1934"/>
      <c r="F1610" s="1905"/>
      <c r="G1610" s="1963"/>
      <c r="H1610" s="1964"/>
      <c r="I1610" s="2310"/>
      <c r="J1610" s="2534"/>
      <c r="K1610" s="1615"/>
      <c r="L1610" s="1637"/>
      <c r="M1610" s="1636"/>
      <c r="N1610" s="1615"/>
      <c r="O1610" s="1635"/>
      <c r="P1610" s="1965"/>
      <c r="Q1610" s="1966"/>
    </row>
    <row r="1611" spans="1:17" ht="12.75" customHeight="1">
      <c r="A1611" s="1962"/>
      <c r="B1611" s="1840"/>
      <c r="C1611" s="1850"/>
      <c r="D1611" s="1934"/>
      <c r="E1611" s="1934"/>
      <c r="F1611" s="1905"/>
      <c r="G1611" s="1963"/>
      <c r="H1611" s="1964"/>
      <c r="I1611" s="2310"/>
      <c r="J1611" s="2534"/>
      <c r="K1611" s="1615"/>
      <c r="L1611" s="1637"/>
      <c r="M1611" s="1636"/>
      <c r="N1611" s="1615"/>
      <c r="O1611" s="1635"/>
      <c r="P1611" s="1965"/>
      <c r="Q1611" s="1966"/>
    </row>
    <row r="1612" spans="1:17" ht="12.75" customHeight="1">
      <c r="A1612" s="1962"/>
      <c r="B1612" s="1840"/>
      <c r="C1612" s="1850"/>
      <c r="D1612" s="1934"/>
      <c r="E1612" s="1934"/>
      <c r="F1612" s="1905"/>
      <c r="G1612" s="1963"/>
      <c r="H1612" s="1964"/>
      <c r="I1612" s="2310"/>
      <c r="J1612" s="2534"/>
      <c r="K1612" s="1615"/>
      <c r="L1612" s="1637"/>
      <c r="M1612" s="1636"/>
      <c r="N1612" s="1615"/>
      <c r="O1612" s="1635"/>
      <c r="P1612" s="1965"/>
      <c r="Q1612" s="1966"/>
    </row>
    <row r="1613" spans="1:17" ht="12.75" customHeight="1">
      <c r="A1613" s="1962"/>
      <c r="B1613" s="1840"/>
      <c r="C1613" s="1850"/>
      <c r="D1613" s="1934"/>
      <c r="E1613" s="1934"/>
      <c r="F1613" s="1905"/>
      <c r="G1613" s="1963"/>
      <c r="H1613" s="1964"/>
      <c r="I1613" s="2310"/>
      <c r="J1613" s="2534"/>
      <c r="K1613" s="1615"/>
      <c r="L1613" s="1637"/>
      <c r="M1613" s="1636"/>
      <c r="N1613" s="1615"/>
      <c r="O1613" s="1635"/>
      <c r="P1613" s="1965"/>
      <c r="Q1613" s="1966"/>
    </row>
    <row r="1614" spans="1:17" ht="12.75" customHeight="1">
      <c r="A1614" s="1962"/>
      <c r="B1614" s="1840"/>
      <c r="C1614" s="1850"/>
      <c r="D1614" s="1934"/>
      <c r="E1614" s="1934"/>
      <c r="F1614" s="1905"/>
      <c r="G1614" s="1963"/>
      <c r="H1614" s="1964"/>
      <c r="I1614" s="2310"/>
      <c r="J1614" s="2534"/>
      <c r="K1614" s="1615"/>
      <c r="L1614" s="1637"/>
      <c r="M1614" s="1636"/>
      <c r="N1614" s="1615"/>
      <c r="O1614" s="1635"/>
      <c r="P1614" s="1965"/>
      <c r="Q1614" s="1966"/>
    </row>
    <row r="1615" spans="1:17" ht="12.75" customHeight="1">
      <c r="A1615" s="1962"/>
      <c r="B1615" s="1840"/>
      <c r="C1615" s="1850"/>
      <c r="D1615" s="1934"/>
      <c r="E1615" s="1934"/>
      <c r="F1615" s="1905"/>
      <c r="G1615" s="1963"/>
      <c r="H1615" s="1964"/>
      <c r="I1615" s="2310"/>
      <c r="J1615" s="2534"/>
      <c r="K1615" s="1615"/>
      <c r="L1615" s="1637"/>
      <c r="M1615" s="1636"/>
      <c r="N1615" s="1615"/>
      <c r="O1615" s="1635"/>
      <c r="P1615" s="1965"/>
      <c r="Q1615" s="1966"/>
    </row>
    <row r="1616" spans="1:17" ht="12.75" customHeight="1">
      <c r="A1616" s="1962"/>
      <c r="B1616" s="1840"/>
      <c r="C1616" s="1850"/>
      <c r="D1616" s="1934"/>
      <c r="E1616" s="1934"/>
      <c r="F1616" s="1905"/>
      <c r="G1616" s="1963"/>
      <c r="H1616" s="1964"/>
      <c r="I1616" s="2310"/>
      <c r="J1616" s="2534"/>
      <c r="K1616" s="1615"/>
      <c r="L1616" s="1637"/>
      <c r="M1616" s="1636"/>
      <c r="N1616" s="1615"/>
      <c r="O1616" s="1635"/>
      <c r="P1616" s="1965"/>
      <c r="Q1616" s="1966"/>
    </row>
    <row r="1617" spans="1:17" ht="12.75" customHeight="1">
      <c r="A1617" s="1962"/>
      <c r="B1617" s="1840"/>
      <c r="C1617" s="1850"/>
      <c r="D1617" s="1934"/>
      <c r="E1617" s="1934"/>
      <c r="F1617" s="1905"/>
      <c r="G1617" s="1963"/>
      <c r="H1617" s="1964"/>
      <c r="I1617" s="2310"/>
      <c r="J1617" s="2534"/>
      <c r="K1617" s="1615"/>
      <c r="L1617" s="1637"/>
      <c r="M1617" s="1636"/>
      <c r="N1617" s="1615"/>
      <c r="O1617" s="1635"/>
      <c r="P1617" s="1965"/>
      <c r="Q1617" s="1966"/>
    </row>
    <row r="1618" spans="1:17" ht="12.75" customHeight="1">
      <c r="A1618" s="1962"/>
      <c r="B1618" s="1840"/>
      <c r="C1618" s="1850"/>
      <c r="D1618" s="1934"/>
      <c r="E1618" s="1934"/>
      <c r="F1618" s="1905"/>
      <c r="G1618" s="1963"/>
      <c r="H1618" s="1964"/>
      <c r="I1618" s="2310"/>
      <c r="J1618" s="2534"/>
      <c r="K1618" s="1615"/>
      <c r="L1618" s="1637"/>
      <c r="M1618" s="1636"/>
      <c r="N1618" s="1615"/>
      <c r="O1618" s="1635"/>
      <c r="P1618" s="1965"/>
      <c r="Q1618" s="1966"/>
    </row>
    <row r="1619" spans="1:17" ht="12.75" customHeight="1">
      <c r="A1619" s="1962"/>
      <c r="B1619" s="1840"/>
      <c r="C1619" s="1850"/>
      <c r="D1619" s="1934"/>
      <c r="E1619" s="1934"/>
      <c r="F1619" s="1905"/>
      <c r="G1619" s="1963"/>
      <c r="H1619" s="1964"/>
      <c r="I1619" s="2310"/>
      <c r="J1619" s="2534"/>
      <c r="K1619" s="1615"/>
      <c r="L1619" s="1637"/>
      <c r="M1619" s="1636"/>
      <c r="N1619" s="1615"/>
      <c r="O1619" s="1635"/>
      <c r="P1619" s="1965"/>
      <c r="Q1619" s="1966"/>
    </row>
    <row r="1620" spans="1:17" ht="12.75" customHeight="1">
      <c r="A1620" s="1962"/>
      <c r="B1620" s="1840"/>
      <c r="C1620" s="1850"/>
      <c r="D1620" s="1934"/>
      <c r="E1620" s="1934"/>
      <c r="F1620" s="1905"/>
      <c r="G1620" s="1963"/>
      <c r="H1620" s="1964"/>
      <c r="I1620" s="2310"/>
      <c r="J1620" s="2534"/>
      <c r="K1620" s="1615"/>
      <c r="L1620" s="1637"/>
      <c r="M1620" s="1636"/>
      <c r="N1620" s="1615"/>
      <c r="O1620" s="1635"/>
      <c r="P1620" s="1965"/>
      <c r="Q1620" s="1966"/>
    </row>
    <row r="1621" spans="1:17" ht="12.75" customHeight="1">
      <c r="A1621" s="1962"/>
      <c r="B1621" s="1840"/>
      <c r="C1621" s="1850"/>
      <c r="D1621" s="1934"/>
      <c r="E1621" s="1934"/>
      <c r="F1621" s="1905"/>
      <c r="G1621" s="1963"/>
      <c r="H1621" s="1964"/>
      <c r="I1621" s="2310"/>
      <c r="J1621" s="2534"/>
      <c r="K1621" s="1615"/>
      <c r="L1621" s="1637"/>
      <c r="M1621" s="1636"/>
      <c r="N1621" s="1615"/>
      <c r="O1621" s="1635"/>
      <c r="P1621" s="1965"/>
      <c r="Q1621" s="1966"/>
    </row>
    <row r="1622" spans="1:17" ht="12.75" customHeight="1">
      <c r="A1622" s="1962"/>
      <c r="B1622" s="1840"/>
      <c r="C1622" s="1850"/>
      <c r="D1622" s="1934"/>
      <c r="E1622" s="1934"/>
      <c r="F1622" s="1905"/>
      <c r="G1622" s="1963"/>
      <c r="H1622" s="1964"/>
      <c r="I1622" s="2310"/>
      <c r="J1622" s="2534"/>
      <c r="K1622" s="1615"/>
      <c r="L1622" s="1637"/>
      <c r="M1622" s="1636"/>
      <c r="N1622" s="1615"/>
      <c r="O1622" s="1635"/>
      <c r="P1622" s="1965"/>
      <c r="Q1622" s="1966"/>
    </row>
    <row r="1623" spans="1:17" ht="12.75" customHeight="1">
      <c r="A1623" s="1962"/>
      <c r="B1623" s="1840"/>
      <c r="C1623" s="1850"/>
      <c r="D1623" s="1934"/>
      <c r="E1623" s="1934"/>
      <c r="F1623" s="1905"/>
      <c r="G1623" s="1963"/>
      <c r="H1623" s="1964"/>
      <c r="I1623" s="2310"/>
      <c r="J1623" s="2534"/>
      <c r="K1623" s="1615"/>
      <c r="L1623" s="1637"/>
      <c r="M1623" s="1636"/>
      <c r="N1623" s="1615"/>
      <c r="O1623" s="1635"/>
      <c r="P1623" s="1965"/>
      <c r="Q1623" s="1966"/>
    </row>
    <row r="1624" spans="1:17" ht="12.75" customHeight="1">
      <c r="A1624" s="1962"/>
      <c r="B1624" s="1840"/>
      <c r="C1624" s="1850"/>
      <c r="D1624" s="1934"/>
      <c r="E1624" s="1934"/>
      <c r="F1624" s="1905"/>
      <c r="G1624" s="1963"/>
      <c r="H1624" s="1964"/>
      <c r="I1624" s="2310"/>
      <c r="J1624" s="2534"/>
      <c r="K1624" s="1615"/>
      <c r="L1624" s="1637"/>
      <c r="M1624" s="1636"/>
      <c r="N1624" s="1615"/>
      <c r="O1624" s="1635"/>
      <c r="P1624" s="1965"/>
      <c r="Q1624" s="1966"/>
    </row>
    <row r="1625" spans="1:17" ht="12.75" customHeight="1">
      <c r="A1625" s="1962"/>
      <c r="B1625" s="1840"/>
      <c r="C1625" s="1850"/>
      <c r="D1625" s="1934"/>
      <c r="E1625" s="1934"/>
      <c r="F1625" s="1905"/>
      <c r="G1625" s="1963"/>
      <c r="H1625" s="1964"/>
      <c r="I1625" s="2310"/>
      <c r="J1625" s="2534"/>
      <c r="K1625" s="1615"/>
      <c r="L1625" s="1637"/>
      <c r="M1625" s="1636"/>
      <c r="N1625" s="1615"/>
      <c r="O1625" s="1635"/>
      <c r="P1625" s="1965"/>
      <c r="Q1625" s="1966"/>
    </row>
    <row r="1626" spans="1:17" ht="12.75" customHeight="1">
      <c r="A1626" s="1962"/>
      <c r="B1626" s="1840"/>
      <c r="C1626" s="1850"/>
      <c r="D1626" s="1934"/>
      <c r="E1626" s="1934"/>
      <c r="F1626" s="1905"/>
      <c r="G1626" s="1963"/>
      <c r="H1626" s="1964"/>
      <c r="I1626" s="2310"/>
      <c r="J1626" s="2534"/>
      <c r="K1626" s="1615"/>
      <c r="L1626" s="1637"/>
      <c r="M1626" s="1636"/>
      <c r="N1626" s="1615"/>
      <c r="O1626" s="1635"/>
      <c r="P1626" s="1965"/>
      <c r="Q1626" s="1966"/>
    </row>
    <row r="1627" spans="1:17" ht="12.75" customHeight="1">
      <c r="A1627" s="1962"/>
      <c r="B1627" s="1840"/>
      <c r="C1627" s="1850"/>
      <c r="D1627" s="1934"/>
      <c r="E1627" s="1934"/>
      <c r="F1627" s="1905"/>
      <c r="G1627" s="1963"/>
      <c r="H1627" s="1964"/>
      <c r="I1627" s="2310"/>
      <c r="J1627" s="2534"/>
      <c r="K1627" s="1615"/>
      <c r="L1627" s="1637"/>
      <c r="M1627" s="1636"/>
      <c r="N1627" s="1615"/>
      <c r="O1627" s="1635"/>
      <c r="P1627" s="1965"/>
      <c r="Q1627" s="1966"/>
    </row>
    <row r="1628" spans="1:17" ht="12.75" customHeight="1">
      <c r="A1628" s="1962"/>
      <c r="B1628" s="1840"/>
      <c r="C1628" s="1850"/>
      <c r="D1628" s="1934"/>
      <c r="E1628" s="1934"/>
      <c r="F1628" s="1905"/>
      <c r="G1628" s="1963"/>
      <c r="H1628" s="1964"/>
      <c r="I1628" s="2310"/>
      <c r="J1628" s="2534"/>
      <c r="K1628" s="1615"/>
      <c r="L1628" s="1637"/>
      <c r="M1628" s="1636"/>
      <c r="N1628" s="1615"/>
      <c r="O1628" s="1635"/>
      <c r="P1628" s="1965"/>
      <c r="Q1628" s="1966"/>
    </row>
    <row r="1629" spans="1:17" ht="12.75" customHeight="1">
      <c r="A1629" s="1962"/>
      <c r="B1629" s="1840"/>
      <c r="C1629" s="1850"/>
      <c r="D1629" s="1934"/>
      <c r="E1629" s="1934"/>
      <c r="F1629" s="1905"/>
      <c r="G1629" s="1963"/>
      <c r="H1629" s="1964"/>
      <c r="I1629" s="2310"/>
      <c r="J1629" s="2534"/>
      <c r="K1629" s="1615"/>
      <c r="L1629" s="1637"/>
      <c r="M1629" s="1636"/>
      <c r="N1629" s="1615"/>
      <c r="O1629" s="1635"/>
      <c r="P1629" s="1965"/>
      <c r="Q1629" s="1966"/>
    </row>
    <row r="1630" spans="1:17" ht="12.75" customHeight="1">
      <c r="A1630" s="1962"/>
      <c r="B1630" s="1840"/>
      <c r="C1630" s="1850"/>
      <c r="D1630" s="1934"/>
      <c r="E1630" s="1934"/>
      <c r="F1630" s="1905"/>
      <c r="G1630" s="1963"/>
      <c r="H1630" s="1964"/>
      <c r="I1630" s="2310"/>
      <c r="J1630" s="2534"/>
      <c r="K1630" s="1615"/>
      <c r="L1630" s="1637"/>
      <c r="M1630" s="1636"/>
      <c r="N1630" s="1615"/>
      <c r="O1630" s="1635"/>
      <c r="P1630" s="1965"/>
      <c r="Q1630" s="1966"/>
    </row>
    <row r="1631" spans="1:17" ht="12.75" customHeight="1">
      <c r="A1631" s="1962"/>
      <c r="B1631" s="1840"/>
      <c r="C1631" s="1850"/>
      <c r="D1631" s="1934"/>
      <c r="E1631" s="1934"/>
      <c r="F1631" s="1905"/>
      <c r="G1631" s="1963"/>
      <c r="H1631" s="1964"/>
      <c r="I1631" s="2310"/>
      <c r="J1631" s="2534"/>
      <c r="K1631" s="1615"/>
      <c r="L1631" s="1637"/>
      <c r="M1631" s="1636"/>
      <c r="N1631" s="1615"/>
      <c r="O1631" s="1635"/>
      <c r="P1631" s="1965"/>
      <c r="Q1631" s="1966"/>
    </row>
    <row r="1632" spans="1:17" ht="12.75" customHeight="1">
      <c r="A1632" s="1962"/>
      <c r="B1632" s="1840"/>
      <c r="C1632" s="1850"/>
      <c r="D1632" s="1934"/>
      <c r="E1632" s="1934"/>
      <c r="F1632" s="1905"/>
      <c r="G1632" s="1963"/>
      <c r="H1632" s="1964"/>
      <c r="I1632" s="2310"/>
      <c r="J1632" s="2534"/>
      <c r="K1632" s="1615"/>
      <c r="L1632" s="1637"/>
      <c r="M1632" s="1636"/>
      <c r="N1632" s="1615"/>
      <c r="O1632" s="1635"/>
      <c r="P1632" s="1965"/>
      <c r="Q1632" s="1966"/>
    </row>
    <row r="1633" spans="1:17" ht="12.75" customHeight="1">
      <c r="A1633" s="1962"/>
      <c r="B1633" s="1840"/>
      <c r="C1633" s="1850"/>
      <c r="D1633" s="1934"/>
      <c r="E1633" s="1934"/>
      <c r="F1633" s="1905"/>
      <c r="G1633" s="1963"/>
      <c r="H1633" s="1964"/>
      <c r="I1633" s="2310"/>
      <c r="J1633" s="2534"/>
      <c r="K1633" s="1615"/>
      <c r="L1633" s="1637"/>
      <c r="M1633" s="1636"/>
      <c r="N1633" s="1615"/>
      <c r="O1633" s="1635"/>
      <c r="P1633" s="1965"/>
      <c r="Q1633" s="1966"/>
    </row>
    <row r="1634" spans="1:17" ht="12.75" customHeight="1">
      <c r="A1634" s="1962"/>
      <c r="B1634" s="1840"/>
      <c r="C1634" s="1850"/>
      <c r="D1634" s="1934"/>
      <c r="E1634" s="1934"/>
      <c r="F1634" s="1905"/>
      <c r="G1634" s="1963"/>
      <c r="H1634" s="1964"/>
      <c r="I1634" s="2310"/>
      <c r="J1634" s="2534"/>
      <c r="K1634" s="1615"/>
      <c r="L1634" s="1637"/>
      <c r="M1634" s="1636"/>
      <c r="N1634" s="1615"/>
      <c r="O1634" s="1635"/>
      <c r="P1634" s="1965"/>
      <c r="Q1634" s="1966"/>
    </row>
    <row r="1635" spans="1:17" ht="12.75" customHeight="1">
      <c r="A1635" s="1962"/>
      <c r="B1635" s="1840"/>
      <c r="C1635" s="1850"/>
      <c r="D1635" s="1934"/>
      <c r="E1635" s="1934"/>
      <c r="F1635" s="1905"/>
      <c r="G1635" s="1963"/>
      <c r="H1635" s="1964"/>
      <c r="I1635" s="2310"/>
      <c r="J1635" s="2534"/>
      <c r="K1635" s="1615"/>
      <c r="L1635" s="1637"/>
      <c r="M1635" s="1636"/>
      <c r="N1635" s="1615"/>
      <c r="O1635" s="1635"/>
      <c r="P1635" s="1965"/>
      <c r="Q1635" s="1966"/>
    </row>
    <row r="1636" spans="1:17" ht="12.75" customHeight="1">
      <c r="A1636" s="1962"/>
      <c r="B1636" s="1840"/>
      <c r="C1636" s="1850"/>
      <c r="D1636" s="1934"/>
      <c r="E1636" s="1934"/>
      <c r="F1636" s="1905"/>
      <c r="G1636" s="1963"/>
      <c r="H1636" s="1964"/>
      <c r="I1636" s="2310"/>
      <c r="J1636" s="2534"/>
      <c r="K1636" s="1615"/>
      <c r="L1636" s="1637"/>
      <c r="M1636" s="1636"/>
      <c r="N1636" s="1615"/>
      <c r="O1636" s="1635"/>
      <c r="P1636" s="1965"/>
      <c r="Q1636" s="1966"/>
    </row>
    <row r="1637" spans="1:17" ht="12.75" customHeight="1">
      <c r="A1637" s="1962"/>
      <c r="B1637" s="1840"/>
      <c r="C1637" s="1850"/>
      <c r="D1637" s="1934"/>
      <c r="E1637" s="1934"/>
      <c r="F1637" s="1905"/>
      <c r="G1637" s="1963"/>
      <c r="H1637" s="1964"/>
      <c r="I1637" s="2310"/>
      <c r="J1637" s="2534"/>
      <c r="K1637" s="1615"/>
      <c r="L1637" s="1637"/>
      <c r="M1637" s="1636"/>
      <c r="N1637" s="1615"/>
      <c r="O1637" s="1635"/>
      <c r="P1637" s="1965"/>
      <c r="Q1637" s="1966"/>
    </row>
    <row r="1638" spans="1:17" ht="12.75" customHeight="1">
      <c r="A1638" s="1962"/>
      <c r="B1638" s="1840"/>
      <c r="C1638" s="1850"/>
      <c r="D1638" s="1934"/>
      <c r="E1638" s="1934"/>
      <c r="F1638" s="1905"/>
      <c r="G1638" s="1963"/>
      <c r="H1638" s="1964"/>
      <c r="I1638" s="2310"/>
      <c r="J1638" s="2534"/>
      <c r="K1638" s="1615"/>
      <c r="L1638" s="1637"/>
      <c r="M1638" s="1636"/>
      <c r="N1638" s="1615"/>
      <c r="O1638" s="1635"/>
      <c r="P1638" s="1965"/>
      <c r="Q1638" s="1966"/>
    </row>
    <row r="1639" spans="1:17" ht="12.75" customHeight="1">
      <c r="A1639" s="1962"/>
      <c r="B1639" s="1840"/>
      <c r="C1639" s="1850"/>
      <c r="D1639" s="1934"/>
      <c r="E1639" s="1934"/>
      <c r="F1639" s="1905"/>
      <c r="G1639" s="1963"/>
      <c r="H1639" s="1964"/>
      <c r="I1639" s="2310"/>
      <c r="J1639" s="2534"/>
      <c r="K1639" s="1615"/>
      <c r="L1639" s="1637"/>
      <c r="M1639" s="1636"/>
      <c r="N1639" s="1615"/>
      <c r="O1639" s="1635"/>
      <c r="P1639" s="1965"/>
      <c r="Q1639" s="1966"/>
    </row>
    <row r="1640" spans="1:17" ht="12.75" customHeight="1">
      <c r="A1640" s="1962"/>
      <c r="B1640" s="1840"/>
      <c r="C1640" s="1850"/>
      <c r="D1640" s="1934"/>
      <c r="E1640" s="1934"/>
      <c r="F1640" s="1905"/>
      <c r="G1640" s="1963"/>
      <c r="H1640" s="1964"/>
      <c r="I1640" s="2310"/>
      <c r="J1640" s="2534"/>
      <c r="K1640" s="1615"/>
      <c r="L1640" s="1637"/>
      <c r="M1640" s="1636"/>
      <c r="N1640" s="1615"/>
      <c r="O1640" s="1635"/>
      <c r="P1640" s="1965"/>
      <c r="Q1640" s="1966"/>
    </row>
    <row r="1641" spans="1:17" ht="12.75" customHeight="1">
      <c r="A1641" s="1962"/>
      <c r="B1641" s="1840"/>
      <c r="C1641" s="1850"/>
      <c r="D1641" s="1934"/>
      <c r="E1641" s="1934"/>
      <c r="F1641" s="1905"/>
      <c r="G1641" s="1963"/>
      <c r="H1641" s="1964"/>
      <c r="I1641" s="2310"/>
      <c r="J1641" s="2534"/>
      <c r="K1641" s="1615"/>
      <c r="L1641" s="1637"/>
      <c r="M1641" s="1636"/>
      <c r="N1641" s="1615"/>
      <c r="O1641" s="1635"/>
      <c r="P1641" s="1965"/>
      <c r="Q1641" s="1966"/>
    </row>
    <row r="1642" spans="1:17" ht="12.75" customHeight="1">
      <c r="A1642" s="1962"/>
      <c r="B1642" s="1840"/>
      <c r="C1642" s="1850"/>
      <c r="D1642" s="1934"/>
      <c r="E1642" s="1934"/>
      <c r="F1642" s="1905"/>
      <c r="G1642" s="1963"/>
      <c r="H1642" s="1964"/>
      <c r="I1642" s="2310"/>
      <c r="J1642" s="2534"/>
      <c r="K1642" s="1615"/>
      <c r="L1642" s="1637"/>
      <c r="M1642" s="1636"/>
      <c r="N1642" s="1615"/>
      <c r="O1642" s="1635"/>
      <c r="P1642" s="1965"/>
      <c r="Q1642" s="1966"/>
    </row>
    <row r="1643" spans="1:17" ht="12.75" customHeight="1">
      <c r="A1643" s="1962"/>
      <c r="B1643" s="1840"/>
      <c r="C1643" s="1850"/>
      <c r="D1643" s="1934"/>
      <c r="E1643" s="1934"/>
      <c r="F1643" s="1905"/>
      <c r="G1643" s="1963"/>
      <c r="H1643" s="1964"/>
      <c r="I1643" s="2310"/>
      <c r="J1643" s="2534"/>
      <c r="K1643" s="1615"/>
      <c r="L1643" s="1637"/>
      <c r="M1643" s="1636"/>
      <c r="N1643" s="1615"/>
      <c r="O1643" s="1635"/>
      <c r="P1643" s="1965"/>
      <c r="Q1643" s="1966"/>
    </row>
    <row r="1644" spans="1:17" ht="12.75" customHeight="1">
      <c r="A1644" s="1962"/>
      <c r="B1644" s="1840"/>
      <c r="C1644" s="1850"/>
      <c r="D1644" s="1934"/>
      <c r="E1644" s="1934"/>
      <c r="F1644" s="1905"/>
      <c r="G1644" s="1963"/>
      <c r="H1644" s="1964"/>
      <c r="I1644" s="2310"/>
      <c r="J1644" s="2534"/>
      <c r="K1644" s="1615"/>
      <c r="L1644" s="1637"/>
      <c r="M1644" s="1636"/>
      <c r="N1644" s="1615"/>
      <c r="O1644" s="1635"/>
      <c r="P1644" s="1965"/>
      <c r="Q1644" s="1966"/>
    </row>
    <row r="1645" spans="1:17" ht="12.75" customHeight="1">
      <c r="A1645" s="1962"/>
      <c r="B1645" s="1840"/>
      <c r="C1645" s="1850"/>
      <c r="D1645" s="1934"/>
      <c r="E1645" s="1934"/>
      <c r="F1645" s="1905"/>
      <c r="G1645" s="1963"/>
      <c r="H1645" s="1964"/>
      <c r="I1645" s="2310"/>
      <c r="J1645" s="2534"/>
      <c r="K1645" s="1615"/>
      <c r="L1645" s="1637"/>
      <c r="M1645" s="1636"/>
      <c r="N1645" s="1615"/>
      <c r="O1645" s="1635"/>
      <c r="P1645" s="1965"/>
      <c r="Q1645" s="1966"/>
    </row>
    <row r="1646" spans="1:17" ht="12.75" customHeight="1">
      <c r="A1646" s="1962"/>
      <c r="B1646" s="1840"/>
      <c r="C1646" s="1850"/>
      <c r="D1646" s="1934"/>
      <c r="E1646" s="1934"/>
      <c r="F1646" s="1905"/>
      <c r="G1646" s="1963"/>
      <c r="H1646" s="1964"/>
      <c r="I1646" s="2310"/>
      <c r="J1646" s="2534"/>
      <c r="K1646" s="1615"/>
      <c r="L1646" s="1637"/>
      <c r="M1646" s="1636"/>
      <c r="N1646" s="1615"/>
      <c r="O1646" s="1635"/>
      <c r="P1646" s="1965"/>
      <c r="Q1646" s="1966"/>
    </row>
    <row r="1647" spans="1:17" ht="12.75" customHeight="1">
      <c r="A1647" s="1968"/>
      <c r="B1647" s="1840"/>
      <c r="C1647" s="1967"/>
      <c r="D1647" s="1933"/>
      <c r="E1647" s="1933"/>
      <c r="F1647" s="1905"/>
      <c r="G1647" s="1963"/>
      <c r="H1647" s="1964"/>
      <c r="I1647" s="2310"/>
      <c r="J1647" s="1617"/>
      <c r="K1647" s="1615"/>
      <c r="L1647" s="1637"/>
      <c r="M1647" s="1636"/>
      <c r="N1647" s="1615"/>
      <c r="O1647" s="1635"/>
      <c r="P1647" s="1965"/>
      <c r="Q1647" s="1966"/>
    </row>
    <row r="1648" spans="1:17" ht="12.75" customHeight="1">
      <c r="A1648" s="1968"/>
      <c r="B1648" s="1840"/>
      <c r="C1648" s="1967"/>
      <c r="D1648" s="1661"/>
      <c r="E1648" s="1661"/>
      <c r="F1648" s="1905"/>
      <c r="G1648" s="1963"/>
      <c r="H1648" s="1964"/>
      <c r="I1648" s="2310"/>
      <c r="J1648" s="1617"/>
      <c r="K1648" s="1615"/>
      <c r="L1648" s="1637"/>
      <c r="M1648" s="1636"/>
      <c r="N1648" s="1615"/>
      <c r="O1648" s="1635"/>
      <c r="P1648" s="1965"/>
      <c r="Q1648" s="1966"/>
    </row>
    <row r="1649" spans="1:17">
      <c r="A1649" s="797" t="s">
        <v>2005</v>
      </c>
      <c r="B1649" s="798">
        <v>1</v>
      </c>
      <c r="C1649" s="2143"/>
      <c r="D1649" s="2144"/>
      <c r="E1649" s="2144"/>
      <c r="F1649" s="2144"/>
      <c r="G1649" s="2145"/>
      <c r="H1649" s="2146"/>
      <c r="I1649" s="2311"/>
      <c r="J1649" s="279"/>
      <c r="K1649" s="276"/>
      <c r="L1649" s="275"/>
      <c r="M1649" s="279">
        <f>SUM(M7:M1648)</f>
        <v>1313659361</v>
      </c>
      <c r="N1649" s="276">
        <f>SUM(N7:N1648)</f>
        <v>1825421648</v>
      </c>
      <c r="O1649" s="809">
        <f>SUM(O7:O1648)</f>
        <v>1041880000</v>
      </c>
      <c r="P1649" s="2147">
        <f>SUM(P6:P1648)</f>
        <v>9005</v>
      </c>
      <c r="Q1649" s="1966"/>
    </row>
    <row r="1650" spans="1:17">
      <c r="A1650" s="958"/>
      <c r="B1650" s="350"/>
      <c r="C1650" s="596"/>
      <c r="D1650" s="954"/>
      <c r="E1650" s="954"/>
      <c r="F1650" s="954"/>
      <c r="G1650" s="955"/>
      <c r="H1650" s="956"/>
      <c r="I1650" s="2309"/>
      <c r="J1650" s="206"/>
      <c r="K1650" s="203"/>
      <c r="L1650" s="202"/>
      <c r="M1650" s="205"/>
      <c r="N1650" s="203"/>
      <c r="O1650" s="204"/>
      <c r="P1650" s="653"/>
      <c r="Q1650" s="1966"/>
    </row>
    <row r="1651" spans="1:17">
      <c r="A1651" s="650" t="s">
        <v>16</v>
      </c>
      <c r="B1651" s="350"/>
      <c r="C1651" s="596"/>
      <c r="D1651" s="954"/>
      <c r="E1651" s="954"/>
      <c r="F1651" s="954"/>
      <c r="G1651" s="955"/>
      <c r="H1651" s="956"/>
      <c r="I1651" s="2309"/>
      <c r="J1651" s="206"/>
      <c r="K1651" s="203"/>
      <c r="L1651" s="202"/>
      <c r="M1651" s="205"/>
      <c r="N1651" s="203"/>
      <c r="O1651" s="204"/>
      <c r="P1651" s="653"/>
      <c r="Q1651" s="1966"/>
    </row>
    <row r="1652" spans="1:17" ht="11.25" customHeight="1">
      <c r="A1652" s="371" t="s">
        <v>1492</v>
      </c>
      <c r="B1652" s="350"/>
      <c r="C1652" s="596"/>
      <c r="D1652" s="954"/>
      <c r="E1652" s="954"/>
      <c r="F1652" s="954"/>
      <c r="G1652" s="955"/>
      <c r="H1652" s="956"/>
      <c r="I1652" s="2309"/>
      <c r="J1652" s="406"/>
      <c r="K1652" s="315"/>
      <c r="L1652" s="316"/>
      <c r="M1652" s="317"/>
      <c r="N1652" s="315"/>
      <c r="O1652" s="318"/>
      <c r="P1652" s="957"/>
      <c r="Q1652" s="865"/>
    </row>
    <row r="1653" spans="1:17" ht="5" customHeight="1">
      <c r="A1653" s="958"/>
      <c r="B1653" s="350"/>
      <c r="C1653" s="596"/>
      <c r="D1653" s="954"/>
      <c r="E1653" s="954"/>
      <c r="F1653" s="954"/>
      <c r="G1653" s="955"/>
      <c r="H1653" s="956"/>
      <c r="I1653" s="2309"/>
      <c r="J1653" s="206"/>
      <c r="K1653" s="203"/>
      <c r="L1653" s="202"/>
      <c r="M1653" s="205"/>
      <c r="N1653" s="203"/>
      <c r="O1653" s="204"/>
      <c r="P1653" s="653"/>
      <c r="Q1653" s="959"/>
    </row>
    <row r="1654" spans="1:17" ht="11.25" customHeight="1">
      <c r="A1654" s="1969" t="s">
        <v>1493</v>
      </c>
      <c r="B1654" s="1840"/>
      <c r="C1654" s="1850"/>
      <c r="D1654" s="1934"/>
      <c r="E1654" s="1934"/>
      <c r="F1654" s="1905"/>
      <c r="G1654" s="1963"/>
      <c r="H1654" s="1964"/>
      <c r="I1654" s="2310"/>
      <c r="J1654" s="1617"/>
      <c r="K1654" s="1615"/>
      <c r="L1654" s="1637"/>
      <c r="M1654" s="1636"/>
      <c r="N1654" s="1615"/>
      <c r="O1654" s="1635"/>
      <c r="P1654" s="1965"/>
      <c r="Q1654" s="1966"/>
    </row>
    <row r="1655" spans="1:17" ht="11.25" customHeight="1">
      <c r="A1655" s="1904" t="s">
        <v>1494</v>
      </c>
      <c r="B1655" s="1840"/>
      <c r="C1655" s="1967"/>
      <c r="D1655" s="1933"/>
      <c r="E1655" s="1933"/>
      <c r="F1655" s="1905"/>
      <c r="G1655" s="1963"/>
      <c r="H1655" s="1964"/>
      <c r="I1655" s="2310"/>
      <c r="J1655" s="1617"/>
      <c r="K1655" s="1615"/>
      <c r="L1655" s="1637"/>
      <c r="M1655" s="1636"/>
      <c r="N1655" s="1615"/>
      <c r="O1655" s="1635"/>
      <c r="P1655" s="1965"/>
      <c r="Q1655" s="1966"/>
    </row>
    <row r="1656" spans="1:17" ht="5" customHeight="1">
      <c r="A1656" s="1968"/>
      <c r="B1656" s="1840"/>
      <c r="C1656" s="1967"/>
      <c r="D1656" s="1933"/>
      <c r="E1656" s="1933"/>
      <c r="F1656" s="1905"/>
      <c r="G1656" s="1963"/>
      <c r="H1656" s="1964"/>
      <c r="I1656" s="2310"/>
      <c r="J1656" s="1617"/>
      <c r="K1656" s="1615"/>
      <c r="L1656" s="1637"/>
      <c r="M1656" s="1636"/>
      <c r="N1656" s="1615"/>
      <c r="O1656" s="1635"/>
      <c r="P1656" s="1965"/>
      <c r="Q1656" s="1966"/>
    </row>
    <row r="1657" spans="1:17" ht="11.25" customHeight="1">
      <c r="A1657" s="1969" t="s">
        <v>1495</v>
      </c>
      <c r="B1657" s="1840"/>
      <c r="C1657" s="1967"/>
      <c r="D1657" s="1933"/>
      <c r="E1657" s="1933"/>
      <c r="F1657" s="1905"/>
      <c r="G1657" s="1963"/>
      <c r="H1657" s="1964"/>
      <c r="I1657" s="2310"/>
      <c r="J1657" s="1617"/>
      <c r="K1657" s="1615"/>
      <c r="L1657" s="1637"/>
      <c r="M1657" s="1636"/>
      <c r="N1657" s="1615"/>
      <c r="O1657" s="1635"/>
      <c r="P1657" s="1965"/>
      <c r="Q1657" s="1966"/>
    </row>
    <row r="1658" spans="1:17" ht="11.25" customHeight="1">
      <c r="A1658" s="1904" t="s">
        <v>1496</v>
      </c>
      <c r="B1658" s="1840"/>
      <c r="C1658" s="1967"/>
      <c r="D1658" s="1933"/>
      <c r="E1658" s="1933"/>
      <c r="F1658" s="1905"/>
      <c r="G1658" s="1963"/>
      <c r="H1658" s="1964"/>
      <c r="I1658" s="2310"/>
      <c r="J1658" s="1617"/>
      <c r="K1658" s="1615"/>
      <c r="L1658" s="1637"/>
      <c r="M1658" s="1636"/>
      <c r="N1658" s="1615"/>
      <c r="O1658" s="1635"/>
      <c r="P1658" s="1965"/>
      <c r="Q1658" s="1966"/>
    </row>
    <row r="1659" spans="1:17" ht="11.25" customHeight="1">
      <c r="A1659" s="1904"/>
      <c r="B1659" s="1840"/>
      <c r="C1659" s="1967"/>
      <c r="D1659" s="1933"/>
      <c r="E1659" s="1933"/>
      <c r="F1659" s="1905"/>
      <c r="G1659" s="1963"/>
      <c r="H1659" s="1964"/>
      <c r="I1659" s="2310"/>
      <c r="J1659" s="1617"/>
      <c r="K1659" s="1615"/>
      <c r="L1659" s="1637"/>
      <c r="M1659" s="1636"/>
      <c r="N1659" s="1615"/>
      <c r="O1659" s="1635"/>
      <c r="P1659" s="1965"/>
      <c r="Q1659" s="1966"/>
    </row>
    <row r="1660" spans="1:17" ht="11.25" customHeight="1">
      <c r="A1660" s="1904"/>
      <c r="B1660" s="1840"/>
      <c r="C1660" s="1967"/>
      <c r="D1660" s="1661"/>
      <c r="E1660" s="1661"/>
      <c r="F1660" s="1905"/>
      <c r="G1660" s="1963"/>
      <c r="H1660" s="1964"/>
      <c r="I1660" s="2310"/>
      <c r="J1660" s="1617"/>
      <c r="K1660" s="1615"/>
      <c r="L1660" s="1637"/>
      <c r="M1660" s="1636"/>
      <c r="N1660" s="1615"/>
      <c r="O1660" s="1635"/>
      <c r="P1660" s="1965"/>
      <c r="Q1660" s="1966"/>
    </row>
    <row r="1661" spans="1:17" ht="11.25" customHeight="1">
      <c r="A1661" s="1968"/>
      <c r="B1661" s="1840"/>
      <c r="C1661" s="1967"/>
      <c r="D1661" s="1661"/>
      <c r="E1661" s="1661"/>
      <c r="F1661" s="1905"/>
      <c r="G1661" s="1963"/>
      <c r="H1661" s="1964"/>
      <c r="I1661" s="2310"/>
      <c r="J1661" s="1617"/>
      <c r="K1661" s="1615"/>
      <c r="L1661" s="1637"/>
      <c r="M1661" s="1636"/>
      <c r="N1661" s="1615"/>
      <c r="O1661" s="1635"/>
      <c r="P1661" s="1965"/>
      <c r="Q1661" s="1966"/>
    </row>
    <row r="1662" spans="1:17">
      <c r="A1662" s="2145" t="s">
        <v>2004</v>
      </c>
      <c r="B1662" s="798"/>
      <c r="C1662" s="2176"/>
      <c r="D1662" s="2175"/>
      <c r="E1662" s="2181"/>
      <c r="F1662" s="2181"/>
      <c r="G1662" s="2181"/>
      <c r="H1662" s="2181"/>
      <c r="I1662" s="2148"/>
      <c r="J1662" s="279"/>
      <c r="K1662" s="276">
        <f>SUM(K1654:K1661)</f>
        <v>0</v>
      </c>
      <c r="L1662" s="809">
        <f>SUM(L1654:L1661)</f>
        <v>0</v>
      </c>
      <c r="M1662" s="279">
        <f>SUM(M1654:M1661)</f>
        <v>0</v>
      </c>
      <c r="N1662" s="276">
        <f>SUM(N1654:N1661)</f>
        <v>0</v>
      </c>
      <c r="O1662" s="809">
        <f>SUM(O1654:O1661)</f>
        <v>0</v>
      </c>
      <c r="P1662" s="2180"/>
      <c r="Q1662" s="2179"/>
    </row>
    <row r="1663" spans="1:17">
      <c r="A1663" s="2145" t="s">
        <v>927</v>
      </c>
      <c r="B1663" s="798"/>
      <c r="C1663" s="2176"/>
      <c r="D1663" s="2175"/>
      <c r="E1663" s="2181"/>
      <c r="F1663" s="2181"/>
      <c r="G1663" s="2181"/>
      <c r="H1663" s="2181"/>
      <c r="I1663" s="2148"/>
      <c r="J1663" s="2177"/>
      <c r="K1663" s="230">
        <f>SUM(K7:K1648)+SUM(K1654:K1661)</f>
        <v>496604923</v>
      </c>
      <c r="L1663" s="2178">
        <f>SUM(L7:L1648)+SUM(L1654:L1661)</f>
        <v>882772983</v>
      </c>
      <c r="M1663" s="232">
        <f>SUM(M7:M1648)+SUM(M1654:M1661)</f>
        <v>1313659361</v>
      </c>
      <c r="N1663" s="230">
        <f>SUM(N7:N1648)+SUM(N1654:N1661)</f>
        <v>1825421648</v>
      </c>
      <c r="O1663" s="2178">
        <f>SUM(O7:O1648)+SUM(O1654:O1661)</f>
        <v>1041880000</v>
      </c>
      <c r="P1663" s="595"/>
      <c r="Q1663" s="241"/>
    </row>
    <row r="1664" spans="1:17" s="709" customFormat="1" ht="11.25" customHeight="1">
      <c r="A1664" s="1233" t="str">
        <f>head27a</f>
        <v>References</v>
      </c>
      <c r="C1664" s="1062"/>
      <c r="Q1664" s="1087"/>
    </row>
    <row r="1665" spans="1:11" s="709" customFormat="1" ht="11.25" customHeight="1">
      <c r="A1665" s="1195" t="s">
        <v>1551</v>
      </c>
    </row>
    <row r="1666" spans="1:11" s="709" customFormat="1" ht="11.25" customHeight="1">
      <c r="A1666" s="1195" t="s">
        <v>2263</v>
      </c>
    </row>
    <row r="1667" spans="1:11" s="709" customFormat="1" ht="11.25" customHeight="1">
      <c r="A1667" s="1195" t="s">
        <v>2006</v>
      </c>
    </row>
    <row r="1668" spans="1:11" s="709" customFormat="1" ht="11.25" customHeight="1">
      <c r="A1668" s="149" t="s">
        <v>2007</v>
      </c>
    </row>
    <row r="1669" spans="1:11" ht="11.25" customHeight="1">
      <c r="A1669" s="149" t="s">
        <v>2075</v>
      </c>
      <c r="B1669" s="149"/>
    </row>
    <row r="1670" spans="1:11">
      <c r="A1670" s="149" t="s">
        <v>2260</v>
      </c>
      <c r="B1670" s="149"/>
      <c r="J1670" s="149" t="s">
        <v>549</v>
      </c>
      <c r="K1670" s="362">
        <f>SUM(SA34a!E77+SA34b!E77)-'SA36'!K1663</f>
        <v>-300790131</v>
      </c>
    </row>
    <row r="1671" spans="1:11" ht="11.25" customHeight="1">
      <c r="B1671" s="149"/>
    </row>
    <row r="1672" spans="1:11" ht="11.25" customHeight="1">
      <c r="B1672" s="149"/>
    </row>
    <row r="1673" spans="1:11" ht="11.25" customHeight="1">
      <c r="B1673" s="149"/>
    </row>
    <row r="1674" spans="1:11" ht="11.25" customHeight="1">
      <c r="B1674" s="149"/>
    </row>
    <row r="1675" spans="1:11" ht="11.25" customHeight="1">
      <c r="B1675" s="149"/>
    </row>
    <row r="1676" spans="1:11" ht="11.25" customHeight="1">
      <c r="B1676" s="149"/>
    </row>
    <row r="1677" spans="1:11" ht="11.25" customHeight="1">
      <c r="B1677" s="149"/>
    </row>
    <row r="1678" spans="1:11" ht="11.25" customHeight="1">
      <c r="B1678" s="149"/>
    </row>
    <row r="1679" spans="1:11" ht="11.25" customHeight="1">
      <c r="B1679" s="149"/>
    </row>
    <row r="1680" spans="1:11" ht="11.25" customHeight="1">
      <c r="B1680" s="149"/>
    </row>
    <row r="1681" spans="2:2" ht="11.25" customHeight="1">
      <c r="B1681" s="149"/>
    </row>
    <row r="1682" spans="2:2" ht="11.25" customHeight="1">
      <c r="B1682" s="149"/>
    </row>
    <row r="1683" spans="2:2" ht="11.25" customHeight="1">
      <c r="B1683" s="149"/>
    </row>
    <row r="1684" spans="2:2" ht="11.25" customHeight="1">
      <c r="B1684" s="149"/>
    </row>
    <row r="1685" spans="2:2" ht="11.25" customHeight="1">
      <c r="B1685" s="149"/>
    </row>
    <row r="1686" spans="2:2" ht="11.25" customHeight="1">
      <c r="B1686" s="149"/>
    </row>
    <row r="1687" spans="2:2" ht="11.25" customHeight="1">
      <c r="B1687" s="149"/>
    </row>
    <row r="1688" spans="2:2" ht="11.25" customHeight="1">
      <c r="B1688" s="149"/>
    </row>
    <row r="1689" spans="2:2" ht="11.25" customHeight="1">
      <c r="B1689" s="149"/>
    </row>
    <row r="1690" spans="2:2" ht="11.25" customHeight="1">
      <c r="B1690" s="149"/>
    </row>
    <row r="1691" spans="2:2" ht="11.25" customHeight="1">
      <c r="B1691" s="149"/>
    </row>
    <row r="1692" spans="2:2" ht="11.25" customHeight="1">
      <c r="B1692" s="149"/>
    </row>
    <row r="1693" spans="2:2" ht="11.25" customHeight="1">
      <c r="B1693" s="149"/>
    </row>
    <row r="1694" spans="2:2">
      <c r="B1694" s="149"/>
    </row>
    <row r="1695" spans="2:2">
      <c r="B1695" s="149"/>
    </row>
    <row r="1696" spans="2:2" ht="11.25" customHeight="1">
      <c r="B1696" s="149"/>
    </row>
    <row r="1697" spans="2:2" ht="22.5" customHeight="1">
      <c r="B1697" s="149"/>
    </row>
    <row r="1698" spans="2:2">
      <c r="B1698" s="149"/>
    </row>
    <row r="1699" spans="2:2">
      <c r="B1699" s="149"/>
    </row>
    <row r="1700" spans="2:2" ht="11.25" customHeight="1">
      <c r="B1700" s="149"/>
    </row>
    <row r="1701" spans="2:2" ht="11.25" customHeight="1">
      <c r="B1701" s="149"/>
    </row>
    <row r="1702" spans="2:2" ht="11.25" customHeight="1">
      <c r="B1702" s="149"/>
    </row>
    <row r="1703" spans="2:2" ht="11.25" customHeight="1">
      <c r="B1703" s="149"/>
    </row>
    <row r="1704" spans="2:2" ht="11.25" customHeight="1">
      <c r="B1704" s="149"/>
    </row>
    <row r="1705" spans="2:2" ht="11.25" customHeight="1">
      <c r="B1705" s="149"/>
    </row>
    <row r="1706" spans="2:2" ht="11.25" customHeight="1">
      <c r="B1706" s="149"/>
    </row>
    <row r="1707" spans="2:2" ht="11.25" customHeight="1">
      <c r="B1707" s="149"/>
    </row>
    <row r="1708" spans="2:2" ht="11.25" customHeight="1">
      <c r="B1708" s="149"/>
    </row>
    <row r="1709" spans="2:2" ht="11.25" customHeight="1">
      <c r="B1709" s="149"/>
    </row>
    <row r="1710" spans="2:2" ht="11.25" customHeight="1">
      <c r="B1710" s="149"/>
    </row>
    <row r="1711" spans="2:2" ht="11.25" customHeight="1">
      <c r="B1711" s="149"/>
    </row>
    <row r="1712" spans="2:2" ht="11.25" customHeight="1">
      <c r="B1712" s="149"/>
    </row>
    <row r="1713" spans="2:2" ht="11.25" customHeight="1">
      <c r="B1713" s="149"/>
    </row>
    <row r="1714" spans="2:2" ht="11.25" customHeight="1">
      <c r="B1714" s="149"/>
    </row>
    <row r="1715" spans="2:2" ht="11.25" customHeight="1">
      <c r="B1715" s="149"/>
    </row>
    <row r="1716" spans="2:2" ht="11.25" customHeight="1">
      <c r="B1716" s="149"/>
    </row>
    <row r="1717" spans="2:2" ht="11.25" customHeight="1">
      <c r="B1717" s="149"/>
    </row>
    <row r="1718" spans="2:2" ht="11.25" customHeight="1">
      <c r="B1718" s="149"/>
    </row>
    <row r="1719" spans="2:2" ht="11.25" customHeight="1">
      <c r="B1719" s="149"/>
    </row>
    <row r="1720" spans="2:2" ht="11.25" customHeight="1">
      <c r="B1720" s="149"/>
    </row>
    <row r="1721" spans="2:2" ht="11.25" customHeight="1">
      <c r="B1721" s="149"/>
    </row>
    <row r="1722" spans="2:2" ht="11.25" customHeight="1">
      <c r="B1722" s="149"/>
    </row>
    <row r="1723" spans="2:2" ht="11.25" customHeight="1">
      <c r="B1723" s="149"/>
    </row>
    <row r="1724" spans="2:2" ht="11.25" customHeight="1">
      <c r="B1724" s="149"/>
    </row>
    <row r="1725" spans="2:2" ht="11.25" customHeight="1">
      <c r="B1725" s="149"/>
    </row>
    <row r="1726" spans="2:2" ht="11.25" customHeight="1">
      <c r="B1726" s="149"/>
    </row>
    <row r="1727" spans="2:2" ht="11.25" customHeight="1">
      <c r="B1727" s="149"/>
    </row>
    <row r="1728" spans="2:2" ht="11.25" customHeight="1">
      <c r="B1728" s="149"/>
    </row>
    <row r="1729" spans="2:2" ht="11.25" customHeight="1">
      <c r="B1729" s="149"/>
    </row>
    <row r="1730" spans="2:2" ht="11.25" customHeight="1">
      <c r="B1730" s="149"/>
    </row>
    <row r="1731" spans="2:2" ht="11.25" customHeight="1">
      <c r="B1731" s="149"/>
    </row>
    <row r="1732" spans="2:2" ht="11.25" customHeight="1">
      <c r="B1732" s="149"/>
    </row>
    <row r="1733" spans="2:2" ht="11.25" customHeight="1">
      <c r="B1733" s="149"/>
    </row>
    <row r="1734" spans="2:2" ht="11.25" customHeight="1">
      <c r="B1734" s="149"/>
    </row>
    <row r="1735" spans="2:2" ht="11.25" customHeight="1">
      <c r="B1735" s="149"/>
    </row>
    <row r="1736" spans="2:2" ht="11.25" customHeight="1">
      <c r="B1736" s="149"/>
    </row>
    <row r="1737" spans="2:2">
      <c r="B1737" s="149"/>
    </row>
    <row r="1738" spans="2:2">
      <c r="B1738" s="149"/>
    </row>
    <row r="1739" spans="2:2">
      <c r="B1739" s="149"/>
    </row>
    <row r="1740" spans="2:2">
      <c r="B1740" s="149"/>
    </row>
    <row r="1741" spans="2:2">
      <c r="B1741" s="149"/>
    </row>
    <row r="1742" spans="2:2">
      <c r="B1742" s="149"/>
    </row>
    <row r="1743" spans="2:2">
      <c r="B1743" s="149"/>
    </row>
    <row r="1744" spans="2:2">
      <c r="B1744" s="149"/>
    </row>
    <row r="1745" spans="2:2">
      <c r="B1745" s="149"/>
    </row>
    <row r="1746" spans="2:2">
      <c r="B1746" s="149"/>
    </row>
    <row r="1747" spans="2:2">
      <c r="B1747" s="149"/>
    </row>
    <row r="1748" spans="2:2">
      <c r="B1748" s="149"/>
    </row>
    <row r="1749" spans="2:2">
      <c r="B1749" s="149"/>
    </row>
    <row r="1750" spans="2:2">
      <c r="B1750" s="149"/>
    </row>
    <row r="1751" spans="2:2">
      <c r="B1751" s="149"/>
    </row>
    <row r="1752" spans="2:2">
      <c r="B1752" s="149"/>
    </row>
    <row r="1753" spans="2:2">
      <c r="B1753" s="149"/>
    </row>
    <row r="1754" spans="2:2">
      <c r="B1754" s="149"/>
    </row>
    <row r="1755" spans="2:2">
      <c r="B1755" s="149"/>
    </row>
    <row r="1756" spans="2:2">
      <c r="B1756" s="149"/>
    </row>
    <row r="1757" spans="2:2">
      <c r="B1757" s="149"/>
    </row>
    <row r="1758" spans="2:2">
      <c r="B1758" s="149"/>
    </row>
    <row r="1759" spans="2:2">
      <c r="B1759" s="149"/>
    </row>
  </sheetData>
  <mergeCells count="7">
    <mergeCell ref="P2:Q2"/>
    <mergeCell ref="C2:C3"/>
    <mergeCell ref="D2:D3"/>
    <mergeCell ref="E2:E3"/>
    <mergeCell ref="K2:L2"/>
    <mergeCell ref="J2:J3"/>
    <mergeCell ref="M2:O2"/>
  </mergeCells>
  <phoneticPr fontId="5" type="noConversion"/>
  <dataValidations xWindow="526" yWindow="412" count="4">
    <dataValidation type="list" allowBlank="1" showInputMessage="1" showErrorMessage="1" promptTitle="Select Asset Class" prompt="Select asset class from list" sqref="G1654:G1661 G7:G1451 G1453:G1648 F1452">
      <formula1>Asset_Class</formula1>
    </dataValidation>
    <dataValidation type="list" allowBlank="1" showInputMessage="1" showErrorMessage="1" promptTitle="Select Asset Sub-Class" prompt="Select asset sub class from list" sqref="H1654:H1661 H7:H1451 H1453:H1648">
      <formula1>Asset_sub_class</formula1>
    </dataValidation>
    <dataValidation type="list" allowBlank="1" showInputMessage="1" showErrorMessage="1" promptTitle="Yes/No" prompt="Please select" sqref="F1654:F1661 F7:F1451 F1453:F1648">
      <formula1>List1</formula1>
    </dataValidation>
    <dataValidation type="list" allowBlank="1" showInputMessage="1" showErrorMessage="1" promptTitle="Select Asset Sub-Class" prompt="Select asset sub class from list" sqref="G1452">
      <formula1>community</formula1>
    </dataValidation>
  </dataValidations>
  <printOptions horizontalCentered="1"/>
  <pageMargins left="0" right="0"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4"/>
  </sheetPr>
  <dimension ref="A1:Y1528"/>
  <sheetViews>
    <sheetView showGridLines="0" topLeftCell="A70" workbookViewId="0">
      <selection activeCell="B87" sqref="B87"/>
    </sheetView>
  </sheetViews>
  <sheetFormatPr baseColWidth="10" defaultColWidth="8.83203125" defaultRowHeight="12" x14ac:dyDescent="0"/>
  <cols>
    <col min="1" max="1" width="20.6640625" style="2219" customWidth="1"/>
    <col min="2" max="2" width="40.6640625" style="2219" customWidth="1"/>
    <col min="3" max="3" width="20.6640625" style="2219" customWidth="1"/>
    <col min="4" max="4" width="40.6640625" style="2219" customWidth="1"/>
    <col min="5" max="5" width="8.83203125" style="1439" customWidth="1"/>
    <col min="6" max="10" width="8.6640625" style="1440" customWidth="1"/>
    <col min="11" max="15" width="12.83203125" style="1440" customWidth="1"/>
    <col min="16" max="17" width="30.6640625" style="1440" customWidth="1"/>
    <col min="18" max="16384" width="8.83203125" style="1441"/>
  </cols>
  <sheetData>
    <row r="1" spans="1:17" ht="13.5" customHeight="1">
      <c r="A1" s="1438" t="str">
        <f>muni&amp;" - "&amp;" Contact Information"</f>
        <v>NW373 Rustenburg -  Contact Information</v>
      </c>
      <c r="B1" s="2218"/>
    </row>
    <row r="2" spans="1:17" ht="13.5" customHeight="1">
      <c r="A2" s="2220"/>
      <c r="B2" s="2221"/>
      <c r="C2" s="2220"/>
      <c r="D2" s="2220"/>
    </row>
    <row r="3" spans="1:17" ht="13.5" customHeight="1" thickBot="1">
      <c r="A3" s="2222" t="s">
        <v>1031</v>
      </c>
      <c r="B3" s="2223"/>
      <c r="C3" s="2220"/>
      <c r="D3" s="2220"/>
    </row>
    <row r="4" spans="1:17" ht="13.5" customHeight="1" thickTop="1">
      <c r="A4" s="2224" t="s">
        <v>1032</v>
      </c>
      <c r="B4" s="2529" t="s">
        <v>2422</v>
      </c>
      <c r="C4" s="2225" t="str">
        <f>IF(B4="Choose name from List","Set name on 'Instructions' sheet", "")</f>
        <v/>
      </c>
      <c r="D4" s="2226"/>
      <c r="F4" s="1443"/>
      <c r="G4" s="1443"/>
      <c r="H4" s="1443"/>
      <c r="I4" s="1444"/>
      <c r="J4" s="1443"/>
      <c r="K4" s="1445"/>
      <c r="L4" s="1445"/>
      <c r="M4" s="1445"/>
      <c r="N4" s="1445"/>
      <c r="O4" s="1445"/>
      <c r="P4" s="1526"/>
      <c r="Q4" s="1447"/>
    </row>
    <row r="5" spans="1:17" ht="13.5" customHeight="1">
      <c r="A5" s="2227"/>
      <c r="B5" s="2228"/>
      <c r="C5" s="2226"/>
      <c r="D5" s="2226"/>
      <c r="F5" s="1443"/>
      <c r="G5" s="1443"/>
      <c r="H5" s="1443"/>
      <c r="I5" s="1444"/>
      <c r="J5" s="1443"/>
      <c r="K5" s="1445"/>
      <c r="L5" s="1445"/>
      <c r="M5" s="1445"/>
      <c r="N5" s="1445"/>
      <c r="O5" s="1445"/>
      <c r="P5" s="1526"/>
      <c r="Q5" s="1449"/>
    </row>
    <row r="6" spans="1:17" s="1450" customFormat="1" ht="13.5" customHeight="1">
      <c r="A6" s="2229" t="s">
        <v>118</v>
      </c>
      <c r="B6" s="2230"/>
      <c r="C6" s="2231" t="s">
        <v>119</v>
      </c>
      <c r="D6" s="2232"/>
      <c r="E6" s="1448"/>
      <c r="F6" s="1443"/>
      <c r="G6" s="1443"/>
      <c r="H6" s="1444"/>
      <c r="I6" s="1444"/>
      <c r="J6" s="1443"/>
      <c r="K6" s="1445"/>
      <c r="L6" s="1445"/>
      <c r="M6" s="1445"/>
      <c r="N6" s="1445"/>
      <c r="O6" s="1445"/>
      <c r="P6" s="1526"/>
      <c r="Q6" s="1447"/>
    </row>
    <row r="7" spans="1:17" s="1450" customFormat="1" ht="13.5" customHeight="1">
      <c r="A7" s="2233"/>
      <c r="B7" s="2234"/>
      <c r="C7" s="2232"/>
      <c r="D7" s="2232"/>
      <c r="E7" s="1448"/>
      <c r="F7" s="1443"/>
      <c r="G7" s="1443"/>
      <c r="H7" s="1444"/>
      <c r="I7" s="1444"/>
      <c r="J7" s="1443"/>
      <c r="K7" s="1445"/>
      <c r="L7" s="1445"/>
      <c r="M7" s="1445"/>
      <c r="N7" s="1445"/>
      <c r="O7" s="1445"/>
      <c r="P7" s="1526"/>
      <c r="Q7" s="1447"/>
    </row>
    <row r="8" spans="1:17" s="1450" customFormat="1" ht="13.5" customHeight="1">
      <c r="A8" s="2235" t="s">
        <v>120</v>
      </c>
      <c r="B8" s="2236" t="str">
        <f>IF(B4&gt;" ",VLOOKUP(B4,'Lookup and lists'!B29:C307,2)," ")</f>
        <v>NW NORTH WEST</v>
      </c>
      <c r="C8" s="2750"/>
      <c r="D8" s="2750"/>
      <c r="E8" s="1448"/>
      <c r="F8" s="1443"/>
      <c r="G8" s="1443"/>
      <c r="H8" s="1444"/>
      <c r="I8" s="1444"/>
      <c r="J8" s="1443"/>
      <c r="K8" s="1445"/>
      <c r="L8" s="1445"/>
      <c r="M8" s="1445"/>
      <c r="N8" s="1445"/>
      <c r="O8" s="1445"/>
      <c r="P8" s="1526"/>
      <c r="Q8" s="1447"/>
    </row>
    <row r="9" spans="1:17" s="1450" customFormat="1" ht="13.5" customHeight="1">
      <c r="A9" s="2238"/>
      <c r="B9" s="2239"/>
      <c r="C9" s="2237"/>
      <c r="D9" s="2237"/>
      <c r="E9" s="1448"/>
      <c r="F9" s="1443"/>
      <c r="G9" s="1443"/>
      <c r="H9" s="1444"/>
      <c r="I9" s="1444"/>
      <c r="J9" s="1443"/>
      <c r="K9" s="1445"/>
      <c r="L9" s="1445"/>
      <c r="M9" s="1445"/>
      <c r="N9" s="1445"/>
      <c r="O9" s="1445"/>
      <c r="P9" s="1526"/>
      <c r="Q9" s="1447"/>
    </row>
    <row r="10" spans="1:17" ht="13.5" customHeight="1">
      <c r="A10" s="2240" t="s">
        <v>121</v>
      </c>
      <c r="B10" s="2532" t="s">
        <v>2423</v>
      </c>
      <c r="C10" s="2241"/>
      <c r="D10" s="2242"/>
      <c r="F10" s="1444"/>
      <c r="G10" s="1443"/>
      <c r="H10" s="1444"/>
      <c r="I10" s="1444"/>
      <c r="J10" s="1443"/>
      <c r="K10" s="1445"/>
      <c r="L10" s="1445"/>
      <c r="M10" s="1445"/>
      <c r="N10" s="1445"/>
      <c r="O10" s="1445"/>
      <c r="P10" s="1526"/>
      <c r="Q10" s="1447"/>
    </row>
    <row r="11" spans="1:17" ht="13.5" customHeight="1">
      <c r="A11" s="2243"/>
      <c r="B11" s="2244"/>
      <c r="C11" s="2755"/>
      <c r="D11" s="2756"/>
      <c r="F11" s="1444"/>
      <c r="G11" s="1443"/>
      <c r="H11" s="1444"/>
      <c r="I11" s="1444"/>
      <c r="J11" s="1443"/>
      <c r="K11" s="1445"/>
      <c r="L11" s="1445"/>
      <c r="M11" s="1445"/>
      <c r="N11" s="1445"/>
      <c r="O11" s="1445"/>
      <c r="P11" s="1526"/>
      <c r="Q11" s="1449"/>
    </row>
    <row r="12" spans="1:17" ht="13.5" customHeight="1">
      <c r="A12" s="2240" t="s">
        <v>1752</v>
      </c>
      <c r="B12" s="2531" t="s">
        <v>2424</v>
      </c>
      <c r="C12" s="2245"/>
      <c r="D12" s="2245"/>
      <c r="F12" s="1444"/>
      <c r="G12" s="1444"/>
      <c r="H12" s="1444"/>
      <c r="I12" s="1444"/>
      <c r="J12" s="1443"/>
      <c r="K12" s="1445"/>
      <c r="L12" s="1445"/>
      <c r="M12" s="1445"/>
      <c r="N12" s="1445"/>
      <c r="O12" s="1445"/>
      <c r="P12" s="1526"/>
      <c r="Q12" s="1447"/>
    </row>
    <row r="13" spans="1:17" ht="13.5" customHeight="1">
      <c r="A13" s="2246"/>
      <c r="B13" s="2247"/>
      <c r="C13" s="2757"/>
      <c r="D13" s="2757"/>
      <c r="F13" s="1444"/>
      <c r="G13" s="1444"/>
      <c r="H13" s="1444"/>
      <c r="I13" s="1451"/>
      <c r="J13" s="1444"/>
      <c r="K13" s="1445"/>
      <c r="L13" s="1445"/>
      <c r="M13" s="1445"/>
      <c r="N13" s="1445"/>
      <c r="O13" s="1445"/>
      <c r="P13" s="1526"/>
    </row>
    <row r="14" spans="1:17" ht="13.5" customHeight="1" thickBot="1">
      <c r="A14" s="2751" t="s">
        <v>1756</v>
      </c>
      <c r="B14" s="2752"/>
      <c r="C14" s="2248"/>
      <c r="D14" s="2248"/>
      <c r="F14" s="1444"/>
      <c r="G14" s="1444"/>
      <c r="H14" s="1451"/>
      <c r="I14" s="1452"/>
      <c r="J14" s="1444"/>
      <c r="K14" s="1445"/>
      <c r="L14" s="1445"/>
      <c r="M14" s="1445"/>
      <c r="N14" s="1445"/>
      <c r="O14" s="1445"/>
      <c r="P14" s="1526"/>
    </row>
    <row r="15" spans="1:17" ht="13.5" customHeight="1" thickTop="1">
      <c r="A15" s="2249" t="s">
        <v>1757</v>
      </c>
      <c r="B15" s="2250"/>
      <c r="F15" s="1451"/>
      <c r="G15" s="1444"/>
      <c r="H15" s="1452"/>
      <c r="I15" s="1452"/>
      <c r="J15" s="1444"/>
      <c r="K15" s="1445"/>
      <c r="L15" s="1445"/>
      <c r="M15" s="1445"/>
      <c r="N15" s="1445"/>
      <c r="O15" s="1445"/>
      <c r="P15" s="1526"/>
    </row>
    <row r="16" spans="1:17" s="1450" customFormat="1" ht="13.5" customHeight="1">
      <c r="A16" s="2251" t="s">
        <v>1759</v>
      </c>
      <c r="B16" s="2530">
        <v>550</v>
      </c>
      <c r="C16" s="2219"/>
      <c r="D16" s="2219"/>
      <c r="E16" s="1448"/>
      <c r="F16" s="1452"/>
      <c r="G16" s="1451"/>
      <c r="H16" s="1452"/>
      <c r="I16" s="1452"/>
      <c r="J16" s="1444"/>
      <c r="K16" s="1445"/>
      <c r="L16" s="1445"/>
      <c r="M16" s="1445"/>
      <c r="N16" s="1445"/>
      <c r="O16" s="1445"/>
      <c r="P16" s="1526"/>
      <c r="Q16" s="1440"/>
    </row>
    <row r="17" spans="1:17" ht="13.5" customHeight="1">
      <c r="A17" s="2251" t="s">
        <v>1761</v>
      </c>
      <c r="B17" s="2530" t="s">
        <v>2425</v>
      </c>
      <c r="F17" s="1452"/>
      <c r="G17" s="1452"/>
      <c r="H17" s="1452"/>
      <c r="I17" s="1452"/>
      <c r="J17" s="1451"/>
      <c r="K17" s="1445"/>
      <c r="L17" s="1445"/>
      <c r="M17" s="1445"/>
      <c r="N17" s="1445"/>
      <c r="O17" s="1445"/>
      <c r="P17" s="1526"/>
    </row>
    <row r="18" spans="1:17" ht="13.5" customHeight="1">
      <c r="A18" s="2252" t="s">
        <v>1762</v>
      </c>
      <c r="B18" s="2540">
        <v>299</v>
      </c>
      <c r="F18" s="1452"/>
      <c r="G18" s="1452"/>
      <c r="H18" s="1452"/>
      <c r="I18" s="1452"/>
      <c r="J18" s="1452"/>
      <c r="K18" s="1445"/>
      <c r="L18" s="1445"/>
      <c r="M18" s="1445"/>
      <c r="N18" s="1445"/>
      <c r="O18" s="1445"/>
      <c r="P18" s="1526"/>
    </row>
    <row r="19" spans="1:17" ht="13.5" customHeight="1">
      <c r="A19" s="2253"/>
      <c r="B19" s="2254"/>
      <c r="F19" s="1452"/>
      <c r="G19" s="1452"/>
      <c r="H19" s="1452"/>
      <c r="I19" s="1452"/>
      <c r="J19" s="1452"/>
      <c r="K19" s="1445"/>
      <c r="L19" s="1445"/>
      <c r="M19" s="1445"/>
      <c r="N19" s="1445"/>
      <c r="O19" s="1445"/>
      <c r="P19" s="1526"/>
    </row>
    <row r="20" spans="1:17" ht="13.5" customHeight="1">
      <c r="A20" s="2255" t="s">
        <v>1135</v>
      </c>
      <c r="B20" s="2256"/>
      <c r="F20" s="1452"/>
      <c r="G20" s="1452"/>
      <c r="H20" s="1452"/>
      <c r="I20" s="1452"/>
      <c r="J20" s="1452"/>
      <c r="K20" s="1445"/>
      <c r="L20" s="1445"/>
      <c r="M20" s="1445"/>
      <c r="N20" s="1445"/>
      <c r="O20" s="1445"/>
      <c r="P20" s="1526"/>
    </row>
    <row r="21" spans="1:17" ht="13.5" customHeight="1">
      <c r="A21" s="2251" t="s">
        <v>1137</v>
      </c>
      <c r="B21" s="2530" t="s">
        <v>2426</v>
      </c>
      <c r="F21" s="1452"/>
      <c r="G21" s="1452"/>
      <c r="H21" s="1452"/>
      <c r="I21" s="1452"/>
      <c r="J21" s="1452"/>
      <c r="K21" s="1445"/>
      <c r="L21" s="1445"/>
      <c r="M21" s="1445"/>
      <c r="N21" s="1445"/>
      <c r="O21" s="1445"/>
      <c r="P21" s="1526"/>
    </row>
    <row r="22" spans="1:17" ht="13.5" customHeight="1">
      <c r="A22" s="2251" t="s">
        <v>1139</v>
      </c>
      <c r="B22" s="2530" t="s">
        <v>2427</v>
      </c>
      <c r="F22" s="1452"/>
      <c r="G22" s="1452"/>
      <c r="H22" s="1452"/>
      <c r="I22" s="1452"/>
      <c r="J22" s="1452"/>
      <c r="K22" s="1445"/>
      <c r="L22" s="1445"/>
      <c r="M22" s="1445"/>
      <c r="N22" s="1445"/>
      <c r="O22" s="1445"/>
      <c r="P22" s="1526"/>
    </row>
    <row r="23" spans="1:17" ht="13.5" customHeight="1">
      <c r="A23" s="2251" t="s">
        <v>1761</v>
      </c>
      <c r="B23" s="2530" t="s">
        <v>2425</v>
      </c>
      <c r="F23" s="1452"/>
      <c r="G23" s="1452"/>
      <c r="H23" s="1452"/>
      <c r="I23" s="1452"/>
      <c r="J23" s="1452"/>
      <c r="K23" s="1445"/>
      <c r="L23" s="1445"/>
      <c r="M23" s="1445"/>
      <c r="N23" s="1445"/>
      <c r="O23" s="1445"/>
      <c r="P23" s="1526"/>
    </row>
    <row r="24" spans="1:17" ht="13.5" customHeight="1">
      <c r="A24" s="2252" t="s">
        <v>1762</v>
      </c>
      <c r="B24" s="2540">
        <v>300</v>
      </c>
      <c r="F24" s="1452"/>
      <c r="G24" s="1452"/>
      <c r="H24" s="1452"/>
      <c r="I24" s="1452"/>
      <c r="J24" s="1452"/>
      <c r="K24" s="1445"/>
      <c r="L24" s="1445"/>
      <c r="M24" s="1445"/>
      <c r="N24" s="1445"/>
      <c r="O24" s="1445"/>
      <c r="P24" s="1526"/>
    </row>
    <row r="25" spans="1:17" ht="13.5" customHeight="1">
      <c r="A25" s="2253"/>
      <c r="B25" s="2254"/>
      <c r="F25" s="1452"/>
      <c r="G25" s="1452"/>
      <c r="H25" s="1452"/>
      <c r="I25" s="1452"/>
      <c r="J25" s="1452"/>
      <c r="K25" s="1445"/>
      <c r="L25" s="1445"/>
      <c r="M25" s="1445"/>
      <c r="N25" s="1445"/>
      <c r="O25" s="1445"/>
      <c r="P25" s="1526"/>
    </row>
    <row r="26" spans="1:17" ht="13.5" customHeight="1">
      <c r="A26" s="2255" t="s">
        <v>1143</v>
      </c>
      <c r="B26" s="2257"/>
      <c r="F26" s="1452"/>
      <c r="G26" s="1452"/>
      <c r="H26" s="1452"/>
      <c r="I26" s="1452"/>
      <c r="J26" s="1452"/>
      <c r="K26" s="1445"/>
      <c r="L26" s="1445"/>
      <c r="M26" s="1445"/>
      <c r="N26" s="1445"/>
      <c r="O26" s="1445"/>
      <c r="P26" s="1526"/>
    </row>
    <row r="27" spans="1:17" ht="13.5" customHeight="1">
      <c r="A27" s="2251" t="s">
        <v>1145</v>
      </c>
      <c r="B27" s="2530" t="s">
        <v>2428</v>
      </c>
      <c r="F27" s="1452"/>
      <c r="G27" s="1452"/>
      <c r="H27" s="1452"/>
      <c r="I27" s="1452"/>
      <c r="J27" s="1452"/>
      <c r="K27" s="1445"/>
      <c r="L27" s="1445"/>
      <c r="M27" s="1445"/>
      <c r="N27" s="1445"/>
      <c r="O27" s="1445"/>
      <c r="P27" s="1526"/>
    </row>
    <row r="28" spans="1:17" ht="13.5" customHeight="1">
      <c r="A28" s="2252" t="s">
        <v>1147</v>
      </c>
      <c r="B28" s="2258"/>
      <c r="I28" s="1453"/>
      <c r="J28" s="1452"/>
      <c r="K28" s="1452"/>
      <c r="L28" s="1452"/>
      <c r="M28" s="1452"/>
      <c r="N28" s="1452"/>
      <c r="O28" s="1452"/>
      <c r="P28" s="1526"/>
    </row>
    <row r="29" spans="1:17" ht="13.5" customHeight="1">
      <c r="A29" s="2253"/>
      <c r="B29" s="2259"/>
      <c r="I29" s="1453"/>
      <c r="J29" s="1453"/>
      <c r="K29" s="1453"/>
      <c r="L29" s="1453"/>
      <c r="M29" s="1453"/>
      <c r="N29" s="1453"/>
      <c r="O29" s="1453"/>
      <c r="P29" s="1526"/>
    </row>
    <row r="30" spans="1:17" ht="13.5" customHeight="1" thickBot="1">
      <c r="A30" s="2753" t="s">
        <v>1149</v>
      </c>
      <c r="B30" s="2754"/>
      <c r="C30" s="2758"/>
      <c r="D30" s="2759"/>
      <c r="I30" s="1453"/>
      <c r="J30" s="1453"/>
      <c r="K30" s="1453"/>
      <c r="L30" s="1453"/>
      <c r="M30" s="1453"/>
      <c r="N30" s="1453"/>
      <c r="O30" s="1453"/>
      <c r="P30" s="1526"/>
    </row>
    <row r="31" spans="1:17" ht="13.5" customHeight="1" thickTop="1">
      <c r="A31" s="2255" t="s">
        <v>1150</v>
      </c>
      <c r="B31" s="2256"/>
      <c r="C31" s="2745" t="s">
        <v>1151</v>
      </c>
      <c r="D31" s="2746"/>
      <c r="I31" s="1453"/>
      <c r="J31" s="1453"/>
      <c r="K31" s="1453"/>
      <c r="L31" s="1453"/>
      <c r="M31" s="1453"/>
      <c r="N31" s="1453"/>
      <c r="O31" s="1453"/>
      <c r="P31" s="1526"/>
      <c r="Q31" s="1446"/>
    </row>
    <row r="32" spans="1:17" ht="13.5" customHeight="1">
      <c r="A32" s="2561" t="s">
        <v>1153</v>
      </c>
      <c r="B32" s="2562" t="s">
        <v>4421</v>
      </c>
      <c r="C32" s="2561" t="s">
        <v>1153</v>
      </c>
      <c r="D32" s="2562" t="s">
        <v>3994</v>
      </c>
      <c r="I32" s="1453"/>
      <c r="J32" s="1453"/>
      <c r="K32" s="1453"/>
      <c r="L32" s="1453"/>
      <c r="M32" s="1453"/>
      <c r="N32" s="1453"/>
      <c r="O32" s="1453"/>
      <c r="P32" s="1526"/>
      <c r="Q32" s="1453"/>
    </row>
    <row r="33" spans="1:17" ht="13.5" customHeight="1">
      <c r="A33" s="2561" t="s">
        <v>1145</v>
      </c>
      <c r="B33" s="2562" t="s">
        <v>2431</v>
      </c>
      <c r="C33" s="2561" t="s">
        <v>1145</v>
      </c>
      <c r="D33" s="2562" t="s">
        <v>2432</v>
      </c>
      <c r="F33" s="1443"/>
      <c r="G33" s="1445"/>
      <c r="I33" s="1453"/>
      <c r="J33" s="1453"/>
      <c r="K33" s="1453"/>
      <c r="L33" s="1453"/>
      <c r="M33" s="1453"/>
      <c r="N33" s="1453"/>
      <c r="O33" s="1453"/>
      <c r="P33" s="1526"/>
      <c r="Q33" s="1453"/>
    </row>
    <row r="34" spans="1:17" ht="13.5" customHeight="1">
      <c r="A34" s="2561" t="s">
        <v>1157</v>
      </c>
      <c r="B34" s="2562"/>
      <c r="C34" s="2561" t="s">
        <v>1157</v>
      </c>
      <c r="D34" s="2562"/>
      <c r="F34" s="1443"/>
      <c r="G34" s="1445"/>
      <c r="I34" s="1453"/>
      <c r="J34" s="1453"/>
      <c r="K34" s="1453"/>
      <c r="L34" s="1453"/>
      <c r="M34" s="1453"/>
      <c r="N34" s="1453"/>
      <c r="O34" s="1453"/>
      <c r="P34" s="1526"/>
    </row>
    <row r="35" spans="1:17" ht="13.5" customHeight="1">
      <c r="A35" s="2561" t="s">
        <v>1147</v>
      </c>
      <c r="B35" s="2562" t="s">
        <v>2433</v>
      </c>
      <c r="C35" s="2561" t="s">
        <v>1147</v>
      </c>
      <c r="D35" s="2562" t="s">
        <v>2433</v>
      </c>
      <c r="F35" s="1444"/>
      <c r="G35" s="1445"/>
      <c r="I35" s="1453"/>
      <c r="J35" s="1453"/>
      <c r="K35" s="1453"/>
      <c r="L35" s="1453"/>
      <c r="M35" s="1453"/>
      <c r="N35" s="1453"/>
      <c r="O35" s="1453"/>
      <c r="P35" s="1526"/>
    </row>
    <row r="36" spans="1:17" ht="13.5" customHeight="1">
      <c r="A36" s="2561" t="s">
        <v>1160</v>
      </c>
      <c r="B36" s="2582" t="s">
        <v>2544</v>
      </c>
      <c r="C36" s="2561" t="s">
        <v>1160</v>
      </c>
      <c r="D36" s="2582" t="s">
        <v>2544</v>
      </c>
      <c r="F36" s="1444"/>
      <c r="G36" s="1445"/>
      <c r="I36" s="1453"/>
      <c r="J36" s="1453"/>
      <c r="K36" s="1453"/>
      <c r="L36" s="1453"/>
      <c r="M36" s="1453"/>
      <c r="N36" s="1453"/>
      <c r="O36" s="1453"/>
      <c r="P36" s="1526"/>
    </row>
    <row r="37" spans="1:17" ht="13.5" customHeight="1">
      <c r="A37" s="2561"/>
      <c r="B37" s="2562"/>
      <c r="C37" s="2561"/>
      <c r="D37" s="2562"/>
      <c r="F37" s="1444"/>
      <c r="G37" s="1445"/>
      <c r="I37" s="1453"/>
      <c r="J37" s="1453"/>
      <c r="K37" s="1453"/>
      <c r="L37" s="1453"/>
      <c r="M37" s="1453"/>
      <c r="N37" s="1453"/>
      <c r="O37" s="1453"/>
      <c r="P37" s="1526"/>
    </row>
    <row r="38" spans="1:17" ht="13.5" customHeight="1">
      <c r="A38" s="2743" t="s">
        <v>1163</v>
      </c>
      <c r="B38" s="2744"/>
      <c r="C38" s="2743" t="s">
        <v>1164</v>
      </c>
      <c r="D38" s="2744"/>
      <c r="F38" s="1444"/>
      <c r="G38" s="1445"/>
      <c r="I38" s="1453"/>
      <c r="J38" s="1453"/>
      <c r="K38" s="1453"/>
      <c r="L38" s="1453"/>
      <c r="M38" s="1453"/>
      <c r="N38" s="1453"/>
      <c r="O38" s="1453"/>
      <c r="P38" s="1526"/>
    </row>
    <row r="39" spans="1:17" ht="13.5" customHeight="1">
      <c r="A39" s="2561" t="s">
        <v>1153</v>
      </c>
      <c r="B39" s="2530" t="s">
        <v>2434</v>
      </c>
      <c r="C39" s="2561" t="s">
        <v>1153</v>
      </c>
      <c r="D39" s="2530" t="s">
        <v>4422</v>
      </c>
      <c r="F39" s="1444"/>
      <c r="G39" s="1445"/>
      <c r="I39" s="1453"/>
      <c r="J39" s="1453"/>
      <c r="K39" s="1453"/>
      <c r="L39" s="1453"/>
      <c r="M39" s="1453"/>
      <c r="N39" s="1453"/>
      <c r="O39" s="1453"/>
      <c r="P39" s="1526"/>
    </row>
    <row r="40" spans="1:17" ht="13.5" customHeight="1">
      <c r="A40" s="2561" t="s">
        <v>1145</v>
      </c>
      <c r="B40" s="2530" t="s">
        <v>2435</v>
      </c>
      <c r="C40" s="2561" t="s">
        <v>1145</v>
      </c>
      <c r="D40" s="2530" t="s">
        <v>2435</v>
      </c>
      <c r="F40" s="1451"/>
      <c r="G40" s="1445"/>
      <c r="I40" s="1453"/>
      <c r="J40" s="1453"/>
      <c r="K40" s="1453"/>
      <c r="L40" s="1453"/>
      <c r="M40" s="1453"/>
      <c r="N40" s="1453"/>
      <c r="O40" s="1453"/>
      <c r="P40" s="1526"/>
    </row>
    <row r="41" spans="1:17" ht="13.5" customHeight="1">
      <c r="A41" s="2561" t="s">
        <v>1157</v>
      </c>
      <c r="B41" s="2530"/>
      <c r="C41" s="2561" t="s">
        <v>1157</v>
      </c>
      <c r="D41" s="2530"/>
      <c r="F41" s="1452"/>
      <c r="G41" s="1445"/>
      <c r="I41" s="1453"/>
      <c r="J41" s="1453"/>
      <c r="K41" s="1453"/>
      <c r="L41" s="1453"/>
      <c r="M41" s="1453"/>
      <c r="N41" s="1453"/>
      <c r="O41" s="1453"/>
      <c r="P41" s="1526"/>
    </row>
    <row r="42" spans="1:17" ht="13.5" customHeight="1">
      <c r="A42" s="2561" t="s">
        <v>1147</v>
      </c>
      <c r="B42" s="2530" t="s">
        <v>2436</v>
      </c>
      <c r="C42" s="2561" t="s">
        <v>1147</v>
      </c>
      <c r="D42" s="2530" t="s">
        <v>2436</v>
      </c>
      <c r="F42" s="1452"/>
      <c r="G42" s="1445"/>
      <c r="I42" s="1453"/>
      <c r="J42" s="1453"/>
      <c r="K42" s="1453"/>
      <c r="L42" s="1453"/>
      <c r="M42" s="1453"/>
      <c r="N42" s="1453"/>
      <c r="O42" s="1453"/>
      <c r="P42" s="1526"/>
    </row>
    <row r="43" spans="1:17" ht="13.5" customHeight="1">
      <c r="A43" s="2564" t="s">
        <v>1160</v>
      </c>
      <c r="B43" s="2565" t="s">
        <v>2437</v>
      </c>
      <c r="C43" s="2564" t="s">
        <v>1160</v>
      </c>
      <c r="D43" s="2565" t="s">
        <v>4423</v>
      </c>
      <c r="F43" s="1452"/>
      <c r="G43" s="1445"/>
      <c r="I43" s="1453"/>
      <c r="J43" s="1453"/>
      <c r="K43" s="1453"/>
      <c r="L43" s="1453"/>
      <c r="M43" s="1453"/>
      <c r="N43" s="1453"/>
      <c r="O43" s="1453"/>
      <c r="P43" s="1526"/>
    </row>
    <row r="44" spans="1:17" ht="13.5" customHeight="1">
      <c r="A44" s="2566"/>
      <c r="B44" s="2567"/>
      <c r="C44" s="2566"/>
      <c r="D44" s="2567"/>
      <c r="F44" s="1452"/>
      <c r="G44" s="1445"/>
      <c r="I44" s="1453"/>
      <c r="J44" s="1453"/>
      <c r="K44" s="1453"/>
      <c r="L44" s="1453"/>
      <c r="M44" s="1453"/>
      <c r="N44" s="1453"/>
      <c r="O44" s="1453"/>
      <c r="P44" s="1526"/>
    </row>
    <row r="45" spans="1:17" ht="13.5" customHeight="1">
      <c r="A45" s="2743" t="s">
        <v>1171</v>
      </c>
      <c r="B45" s="2744"/>
      <c r="C45" s="2743" t="s">
        <v>1172</v>
      </c>
      <c r="D45" s="2744"/>
      <c r="F45" s="1452"/>
      <c r="G45" s="1445"/>
      <c r="I45" s="1453"/>
      <c r="J45" s="1453"/>
      <c r="K45" s="1453"/>
      <c r="L45" s="1453"/>
      <c r="M45" s="1453"/>
      <c r="N45" s="1453"/>
      <c r="O45" s="1453"/>
      <c r="P45" s="1526"/>
    </row>
    <row r="46" spans="1:17" ht="13.5" customHeight="1">
      <c r="A46" s="2561" t="s">
        <v>1153</v>
      </c>
      <c r="B46" s="2530"/>
      <c r="C46" s="2561" t="s">
        <v>1153</v>
      </c>
      <c r="D46" s="2530"/>
      <c r="F46" s="1452"/>
      <c r="G46" s="1445"/>
      <c r="I46" s="1453"/>
      <c r="J46" s="1453"/>
      <c r="K46" s="1453"/>
      <c r="L46" s="1453"/>
      <c r="M46" s="1453"/>
      <c r="N46" s="1453"/>
      <c r="O46" s="1453"/>
      <c r="P46" s="1526"/>
    </row>
    <row r="47" spans="1:17" s="1440" customFormat="1" ht="13.5" customHeight="1">
      <c r="A47" s="2561" t="s">
        <v>1145</v>
      </c>
      <c r="B47" s="2530"/>
      <c r="C47" s="2561" t="s">
        <v>1145</v>
      </c>
      <c r="D47" s="2530"/>
      <c r="E47" s="1439"/>
      <c r="F47" s="1452"/>
      <c r="G47" s="1445"/>
      <c r="I47" s="1453"/>
      <c r="J47" s="1453"/>
      <c r="K47" s="1453"/>
      <c r="L47" s="1453"/>
      <c r="M47" s="1453"/>
      <c r="N47" s="1453"/>
      <c r="O47" s="1453"/>
      <c r="P47" s="1526"/>
    </row>
    <row r="48" spans="1:17" s="1440" customFormat="1" ht="13.5" customHeight="1">
      <c r="A48" s="2561" t="s">
        <v>1157</v>
      </c>
      <c r="B48" s="2530"/>
      <c r="C48" s="2561" t="s">
        <v>1157</v>
      </c>
      <c r="D48" s="2530"/>
      <c r="E48" s="1439"/>
      <c r="F48" s="1452"/>
      <c r="G48" s="1445"/>
      <c r="I48" s="1453"/>
      <c r="J48" s="1453"/>
      <c r="K48" s="1453"/>
      <c r="L48" s="1453"/>
      <c r="M48" s="1453"/>
      <c r="N48" s="1453"/>
      <c r="O48" s="1453"/>
      <c r="P48" s="1526"/>
    </row>
    <row r="49" spans="1:17" s="1440" customFormat="1" ht="13.5" customHeight="1">
      <c r="A49" s="2561" t="s">
        <v>1147</v>
      </c>
      <c r="B49" s="2530"/>
      <c r="C49" s="2561" t="s">
        <v>1147</v>
      </c>
      <c r="D49" s="2530"/>
      <c r="E49" s="1439"/>
      <c r="F49" s="1452"/>
      <c r="G49" s="1445"/>
      <c r="I49" s="1453"/>
      <c r="J49" s="1453"/>
      <c r="K49" s="1453"/>
      <c r="L49" s="1453"/>
      <c r="M49" s="1453"/>
      <c r="N49" s="1453"/>
      <c r="O49" s="1453"/>
      <c r="P49" s="1526"/>
    </row>
    <row r="50" spans="1:17" s="1440" customFormat="1" ht="13.5" customHeight="1">
      <c r="A50" s="2568" t="s">
        <v>1160</v>
      </c>
      <c r="B50" s="2569"/>
      <c r="C50" s="2568" t="s">
        <v>1160</v>
      </c>
      <c r="D50" s="2570"/>
      <c r="E50" s="1439"/>
      <c r="F50" s="1452"/>
      <c r="G50" s="1445"/>
      <c r="I50" s="1453"/>
      <c r="J50" s="1453"/>
      <c r="K50" s="1453"/>
      <c r="L50" s="1453"/>
      <c r="M50" s="1453"/>
      <c r="N50" s="1453"/>
      <c r="O50" s="1453"/>
      <c r="P50" s="1526"/>
    </row>
    <row r="51" spans="1:17" s="1440" customFormat="1" ht="13.5" customHeight="1">
      <c r="A51" s="2566"/>
      <c r="B51" s="2567"/>
      <c r="C51" s="2566"/>
      <c r="D51" s="2567"/>
      <c r="E51" s="1439"/>
      <c r="F51" s="1452"/>
      <c r="G51" s="1445"/>
      <c r="I51" s="1453"/>
      <c r="J51" s="1453"/>
      <c r="K51" s="1453"/>
      <c r="L51" s="1453"/>
      <c r="M51" s="1453"/>
      <c r="N51" s="1453"/>
      <c r="O51" s="1453"/>
      <c r="P51" s="1526"/>
    </row>
    <row r="52" spans="1:17" s="1440" customFormat="1" ht="13.5" customHeight="1" thickBot="1">
      <c r="A52" s="2760" t="s">
        <v>1174</v>
      </c>
      <c r="B52" s="2761"/>
      <c r="C52" s="2747"/>
      <c r="D52" s="2748"/>
      <c r="E52" s="1439"/>
      <c r="F52" s="1452"/>
      <c r="G52" s="1445"/>
      <c r="I52" s="1453"/>
      <c r="J52" s="1453"/>
      <c r="K52" s="1453"/>
      <c r="L52" s="1453"/>
      <c r="M52" s="1453"/>
      <c r="N52" s="1453"/>
      <c r="O52" s="1453"/>
      <c r="P52" s="1526"/>
    </row>
    <row r="53" spans="1:17" s="1456" customFormat="1" ht="13.5" customHeight="1" thickTop="1">
      <c r="A53" s="2563" t="s">
        <v>1175</v>
      </c>
      <c r="B53" s="2571"/>
      <c r="C53" s="2743" t="s">
        <v>1176</v>
      </c>
      <c r="D53" s="2744"/>
      <c r="E53" s="1442"/>
      <c r="F53" s="1454"/>
      <c r="G53" s="1455"/>
      <c r="I53" s="1457"/>
      <c r="J53" s="1457"/>
      <c r="K53" s="1457"/>
      <c r="L53" s="1457"/>
      <c r="M53" s="1457"/>
      <c r="N53" s="1457"/>
      <c r="O53" s="1457"/>
      <c r="P53" s="1526"/>
      <c r="Q53" s="1440"/>
    </row>
    <row r="54" spans="1:17" s="1456" customFormat="1" ht="13.5" customHeight="1">
      <c r="A54" s="2561" t="s">
        <v>1153</v>
      </c>
      <c r="B54" s="2530" t="s">
        <v>2438</v>
      </c>
      <c r="C54" s="2561" t="s">
        <v>1153</v>
      </c>
      <c r="D54" s="2530" t="s">
        <v>3995</v>
      </c>
      <c r="E54" s="1442"/>
      <c r="F54" s="1454"/>
      <c r="G54" s="1455"/>
      <c r="I54" s="1457"/>
      <c r="J54" s="1457"/>
      <c r="K54" s="1457"/>
      <c r="L54" s="1457"/>
      <c r="M54" s="1457"/>
      <c r="N54" s="1457"/>
      <c r="O54" s="1457"/>
      <c r="P54" s="1526"/>
      <c r="Q54" s="1440"/>
    </row>
    <row r="55" spans="1:17" s="1440" customFormat="1" ht="13.5" customHeight="1">
      <c r="A55" s="2561" t="s">
        <v>1145</v>
      </c>
      <c r="B55" s="2530" t="s">
        <v>2439</v>
      </c>
      <c r="C55" s="2561" t="s">
        <v>1145</v>
      </c>
      <c r="D55" s="2530" t="s">
        <v>2439</v>
      </c>
      <c r="E55" s="1439"/>
      <c r="F55" s="1452"/>
      <c r="G55" s="1445"/>
      <c r="I55" s="1453"/>
      <c r="J55" s="1453"/>
      <c r="K55" s="1453"/>
      <c r="L55" s="1453"/>
      <c r="M55" s="1453"/>
      <c r="N55" s="1453"/>
      <c r="O55" s="1453"/>
      <c r="P55" s="1526"/>
    </row>
    <row r="56" spans="1:17" s="1440" customFormat="1" ht="13.5" customHeight="1">
      <c r="A56" s="2561" t="s">
        <v>1157</v>
      </c>
      <c r="B56" s="2530"/>
      <c r="C56" s="2561" t="s">
        <v>1157</v>
      </c>
      <c r="D56" s="2530"/>
      <c r="E56" s="1439"/>
      <c r="F56" s="1452"/>
      <c r="G56" s="1445"/>
      <c r="I56" s="1453"/>
      <c r="J56" s="1453"/>
      <c r="K56" s="1453"/>
      <c r="L56" s="1453"/>
      <c r="M56" s="1453"/>
      <c r="N56" s="1453"/>
      <c r="O56" s="1453"/>
      <c r="P56" s="1526"/>
    </row>
    <row r="57" spans="1:17" s="1440" customFormat="1" ht="13.5" customHeight="1">
      <c r="A57" s="2561" t="s">
        <v>1147</v>
      </c>
      <c r="B57" s="2530" t="s">
        <v>2440</v>
      </c>
      <c r="C57" s="2561" t="s">
        <v>1147</v>
      </c>
      <c r="D57" s="2530" t="s">
        <v>2440</v>
      </c>
      <c r="E57" s="1439"/>
      <c r="F57" s="1452"/>
      <c r="G57" s="1445"/>
      <c r="I57" s="1453"/>
      <c r="J57" s="1453"/>
      <c r="K57" s="1453"/>
      <c r="L57" s="1453"/>
      <c r="M57" s="1453"/>
      <c r="N57" s="1453"/>
      <c r="O57" s="1453"/>
      <c r="P57" s="1526"/>
    </row>
    <row r="58" spans="1:17" ht="13.5" customHeight="1">
      <c r="A58" s="2568" t="s">
        <v>1160</v>
      </c>
      <c r="B58" s="2572" t="s">
        <v>2424</v>
      </c>
      <c r="C58" s="2568" t="s">
        <v>1160</v>
      </c>
      <c r="D58" s="2572" t="s">
        <v>2424</v>
      </c>
      <c r="F58" s="1452"/>
      <c r="G58" s="1445"/>
      <c r="I58" s="1453"/>
      <c r="J58" s="1453"/>
      <c r="K58" s="1453"/>
      <c r="L58" s="1453"/>
      <c r="M58" s="1453"/>
      <c r="N58" s="1453"/>
      <c r="O58" s="1453"/>
      <c r="P58" s="1526"/>
    </row>
    <row r="59" spans="1:17" ht="13.5" customHeight="1">
      <c r="A59" s="2566"/>
      <c r="B59" s="2567"/>
      <c r="C59" s="2566"/>
      <c r="D59" s="2567"/>
      <c r="F59" s="1452"/>
      <c r="G59" s="1445"/>
      <c r="I59" s="1453"/>
      <c r="J59" s="1453"/>
      <c r="K59" s="1453"/>
      <c r="L59" s="1453"/>
      <c r="M59" s="1453"/>
      <c r="N59" s="1453"/>
      <c r="O59" s="1453"/>
      <c r="P59" s="1526"/>
    </row>
    <row r="60" spans="1:17" ht="13.5" customHeight="1">
      <c r="A60" s="2574" t="s">
        <v>1177</v>
      </c>
      <c r="B60" s="2575"/>
      <c r="C60" s="2743" t="s">
        <v>1178</v>
      </c>
      <c r="D60" s="2744"/>
      <c r="F60" s="1452"/>
      <c r="G60" s="1445"/>
      <c r="I60" s="1453"/>
      <c r="J60" s="1453"/>
      <c r="K60" s="1453"/>
      <c r="L60" s="1453"/>
      <c r="M60" s="1453"/>
      <c r="N60" s="1453"/>
      <c r="O60" s="1453"/>
      <c r="P60" s="1526"/>
    </row>
    <row r="61" spans="1:17" s="1458" customFormat="1" ht="13.5" customHeight="1">
      <c r="A61" s="2561" t="s">
        <v>1153</v>
      </c>
      <c r="B61" s="2530" t="s">
        <v>2441</v>
      </c>
      <c r="C61" s="2561" t="s">
        <v>1153</v>
      </c>
      <c r="D61" s="2530" t="s">
        <v>2442</v>
      </c>
      <c r="E61" s="1442"/>
      <c r="F61" s="1454"/>
      <c r="G61" s="1455"/>
      <c r="H61" s="1456"/>
      <c r="I61" s="1457"/>
      <c r="J61" s="1457"/>
      <c r="K61" s="1457"/>
      <c r="L61" s="1457"/>
      <c r="M61" s="1457"/>
      <c r="N61" s="1457"/>
      <c r="O61" s="1457"/>
      <c r="P61" s="1526"/>
      <c r="Q61" s="1440"/>
    </row>
    <row r="62" spans="1:17" ht="13.5" customHeight="1">
      <c r="A62" s="2576" t="s">
        <v>1145</v>
      </c>
      <c r="B62" s="2530" t="s">
        <v>2443</v>
      </c>
      <c r="C62" s="2576" t="s">
        <v>1145</v>
      </c>
      <c r="D62" s="2530" t="s">
        <v>2444</v>
      </c>
      <c r="F62" s="1452"/>
      <c r="G62" s="1445"/>
      <c r="I62" s="1453"/>
      <c r="J62" s="1453"/>
      <c r="K62" s="1453"/>
      <c r="L62" s="1453"/>
      <c r="M62" s="1453"/>
      <c r="N62" s="1453"/>
      <c r="O62" s="1453"/>
      <c r="P62" s="1526"/>
    </row>
    <row r="63" spans="1:17" ht="13.5" customHeight="1">
      <c r="A63" s="2561" t="s">
        <v>1157</v>
      </c>
      <c r="B63" s="2530"/>
      <c r="C63" s="2561" t="s">
        <v>1157</v>
      </c>
      <c r="D63" s="2530"/>
      <c r="F63" s="1452"/>
      <c r="G63" s="1445"/>
      <c r="I63" s="1453"/>
      <c r="J63" s="1453"/>
      <c r="K63" s="1453"/>
      <c r="L63" s="1453"/>
      <c r="M63" s="1453"/>
      <c r="N63" s="1453"/>
      <c r="O63" s="1453"/>
      <c r="P63" s="1526"/>
    </row>
    <row r="64" spans="1:17" ht="13.5" customHeight="1">
      <c r="A64" s="2561" t="s">
        <v>1147</v>
      </c>
      <c r="B64" s="2530" t="s">
        <v>2445</v>
      </c>
      <c r="C64" s="2561" t="s">
        <v>1147</v>
      </c>
      <c r="D64" s="2530" t="s">
        <v>2446</v>
      </c>
      <c r="F64" s="1452"/>
      <c r="G64" s="1445"/>
      <c r="I64" s="1453"/>
      <c r="J64" s="1453"/>
      <c r="K64" s="1453"/>
      <c r="L64" s="1453"/>
      <c r="M64" s="1453"/>
      <c r="N64" s="1453"/>
      <c r="O64" s="1453"/>
      <c r="P64" s="1526"/>
    </row>
    <row r="65" spans="1:17" ht="13.5" customHeight="1">
      <c r="A65" s="2568" t="s">
        <v>1160</v>
      </c>
      <c r="B65" s="2569" t="s">
        <v>2447</v>
      </c>
      <c r="C65" s="2568" t="s">
        <v>1160</v>
      </c>
      <c r="D65" s="2573" t="s">
        <v>2448</v>
      </c>
      <c r="F65" s="1452"/>
      <c r="G65" s="1445"/>
      <c r="I65" s="1453"/>
      <c r="J65" s="1453"/>
      <c r="K65" s="1453"/>
      <c r="L65" s="1453"/>
      <c r="M65" s="1453"/>
      <c r="N65" s="1453"/>
      <c r="O65" s="1453"/>
      <c r="P65" s="1526"/>
    </row>
    <row r="66" spans="1:17" ht="13.5" customHeight="1">
      <c r="A66" s="2566"/>
      <c r="B66" s="2567"/>
      <c r="C66" s="2566"/>
      <c r="D66" s="2567"/>
      <c r="F66" s="1452"/>
      <c r="G66" s="1445"/>
      <c r="I66" s="1453"/>
      <c r="J66" s="1453"/>
      <c r="K66" s="1453"/>
      <c r="L66" s="1453"/>
      <c r="M66" s="1453"/>
      <c r="N66" s="1453"/>
      <c r="O66" s="1453"/>
      <c r="P66" s="1526"/>
    </row>
    <row r="67" spans="1:17" ht="13.5" customHeight="1">
      <c r="A67" s="2749" t="s">
        <v>1179</v>
      </c>
      <c r="B67" s="2744"/>
      <c r="C67" s="2749" t="s">
        <v>1179</v>
      </c>
      <c r="D67" s="2744"/>
      <c r="F67" s="1452"/>
      <c r="G67" s="1445"/>
      <c r="I67" s="1453"/>
      <c r="J67" s="1453"/>
      <c r="K67" s="1453"/>
      <c r="L67" s="1453"/>
      <c r="M67" s="1453"/>
      <c r="N67" s="1453"/>
      <c r="O67" s="1453"/>
      <c r="P67" s="1526"/>
    </row>
    <row r="68" spans="1:17" s="1458" customFormat="1" ht="13.5" customHeight="1">
      <c r="A68" s="2561" t="s">
        <v>1153</v>
      </c>
      <c r="B68" s="2530" t="s">
        <v>2449</v>
      </c>
      <c r="C68" s="2561" t="s">
        <v>1153</v>
      </c>
      <c r="D68" s="2530" t="s">
        <v>2460</v>
      </c>
      <c r="E68" s="1442"/>
      <c r="F68" s="1454"/>
      <c r="G68" s="1455"/>
      <c r="H68" s="1456"/>
      <c r="I68" s="1457"/>
      <c r="J68" s="1457"/>
      <c r="K68" s="1457"/>
      <c r="L68" s="1457"/>
      <c r="M68" s="1457"/>
      <c r="N68" s="1457"/>
      <c r="O68" s="1457"/>
      <c r="P68" s="1526"/>
      <c r="Q68" s="1440"/>
    </row>
    <row r="69" spans="1:17" ht="13.5" customHeight="1">
      <c r="A69" s="2576" t="s">
        <v>1145</v>
      </c>
      <c r="B69" s="2530" t="s">
        <v>2451</v>
      </c>
      <c r="C69" s="2576" t="s">
        <v>1145</v>
      </c>
      <c r="D69" s="2530" t="s">
        <v>2461</v>
      </c>
      <c r="F69" s="1452"/>
      <c r="G69" s="1445"/>
      <c r="I69" s="1453"/>
      <c r="J69" s="1453"/>
      <c r="K69" s="1453"/>
      <c r="L69" s="1453"/>
      <c r="M69" s="1453"/>
      <c r="N69" s="1453"/>
      <c r="O69" s="1453"/>
      <c r="P69" s="1526"/>
    </row>
    <row r="70" spans="1:17" ht="13.5" customHeight="1">
      <c r="A70" s="2561" t="s">
        <v>1157</v>
      </c>
      <c r="B70" s="2530"/>
      <c r="C70" s="2561" t="s">
        <v>1157</v>
      </c>
      <c r="D70" s="2530"/>
      <c r="F70" s="1452"/>
      <c r="G70" s="1445"/>
      <c r="I70" s="1453"/>
      <c r="J70" s="1453"/>
      <c r="K70" s="1453"/>
      <c r="L70" s="1453"/>
      <c r="M70" s="1453"/>
      <c r="N70" s="1453"/>
      <c r="O70" s="1453"/>
      <c r="P70" s="1526"/>
    </row>
    <row r="71" spans="1:17" ht="13.5" customHeight="1">
      <c r="A71" s="2561" t="s">
        <v>1147</v>
      </c>
      <c r="B71" s="2530" t="s">
        <v>2446</v>
      </c>
      <c r="C71" s="2561" t="s">
        <v>1147</v>
      </c>
      <c r="D71" s="2530" t="s">
        <v>2446</v>
      </c>
      <c r="F71" s="1452"/>
      <c r="G71" s="1445"/>
      <c r="I71" s="1453"/>
      <c r="J71" s="1453"/>
      <c r="K71" s="1453"/>
      <c r="L71" s="1453"/>
      <c r="M71" s="1453"/>
      <c r="N71" s="1453"/>
      <c r="O71" s="1453"/>
      <c r="P71" s="1526"/>
    </row>
    <row r="72" spans="1:17" ht="13.5" customHeight="1">
      <c r="A72" s="2561" t="s">
        <v>1160</v>
      </c>
      <c r="B72" s="2577" t="s">
        <v>2452</v>
      </c>
      <c r="C72" s="2561" t="s">
        <v>1160</v>
      </c>
      <c r="D72" s="2578" t="s">
        <v>2462</v>
      </c>
      <c r="F72" s="1452"/>
      <c r="G72" s="1445"/>
      <c r="I72" s="1453"/>
      <c r="J72" s="1453"/>
      <c r="K72" s="1453"/>
      <c r="L72" s="1453"/>
      <c r="M72" s="1453"/>
      <c r="N72" s="1453"/>
      <c r="O72" s="1453"/>
      <c r="P72" s="1526"/>
    </row>
    <row r="73" spans="1:17" ht="13.5" customHeight="1">
      <c r="A73" s="2749" t="s">
        <v>1179</v>
      </c>
      <c r="B73" s="2744"/>
      <c r="C73" s="2749" t="s">
        <v>1179</v>
      </c>
      <c r="D73" s="2744"/>
      <c r="F73" s="1452"/>
      <c r="G73" s="1445"/>
      <c r="I73" s="1453"/>
      <c r="J73" s="1453"/>
      <c r="K73" s="1453"/>
      <c r="L73" s="1453"/>
      <c r="M73" s="1453"/>
      <c r="N73" s="1453"/>
      <c r="O73" s="1453"/>
      <c r="P73" s="1526"/>
    </row>
    <row r="74" spans="1:17" ht="13.5" customHeight="1">
      <c r="A74" s="2561" t="s">
        <v>1153</v>
      </c>
      <c r="B74" s="2530" t="s">
        <v>2450</v>
      </c>
      <c r="C74" s="2561" t="s">
        <v>1153</v>
      </c>
      <c r="D74" s="2530" t="s">
        <v>2454</v>
      </c>
      <c r="F74" s="1452"/>
      <c r="G74" s="1445"/>
      <c r="I74" s="1453"/>
      <c r="J74" s="1453"/>
      <c r="K74" s="1453"/>
      <c r="L74" s="1453"/>
      <c r="M74" s="1453"/>
      <c r="N74" s="1453"/>
      <c r="O74" s="1453"/>
      <c r="P74" s="1526"/>
    </row>
    <row r="75" spans="1:17" ht="13.5" customHeight="1">
      <c r="A75" s="2576" t="s">
        <v>1145</v>
      </c>
      <c r="B75" s="2530" t="s">
        <v>2542</v>
      </c>
      <c r="C75" s="2576" t="s">
        <v>1145</v>
      </c>
      <c r="D75" s="2530" t="s">
        <v>2540</v>
      </c>
      <c r="F75" s="1452"/>
      <c r="G75" s="1445"/>
      <c r="I75" s="1453"/>
      <c r="J75" s="1453"/>
      <c r="K75" s="1453"/>
      <c r="L75" s="1453"/>
      <c r="M75" s="1453"/>
      <c r="N75" s="1453"/>
      <c r="O75" s="1453"/>
      <c r="P75" s="1526"/>
    </row>
    <row r="76" spans="1:17" s="1440" customFormat="1" ht="13.5" customHeight="1">
      <c r="A76" s="2561" t="s">
        <v>1157</v>
      </c>
      <c r="B76" s="2530"/>
      <c r="C76" s="2561" t="s">
        <v>1157</v>
      </c>
      <c r="D76" s="2530"/>
      <c r="E76" s="1439"/>
      <c r="F76" s="1452"/>
      <c r="G76" s="1445"/>
      <c r="I76" s="1453"/>
      <c r="J76" s="1453"/>
      <c r="K76" s="1453"/>
      <c r="L76" s="1453"/>
      <c r="M76" s="1453"/>
      <c r="N76" s="1453"/>
      <c r="O76" s="1453"/>
      <c r="P76" s="1526"/>
    </row>
    <row r="77" spans="1:17" s="1440" customFormat="1" ht="13.5" customHeight="1">
      <c r="A77" s="2561" t="s">
        <v>1147</v>
      </c>
      <c r="B77" s="2530" t="s">
        <v>2446</v>
      </c>
      <c r="C77" s="2561" t="s">
        <v>1147</v>
      </c>
      <c r="D77" s="2530" t="s">
        <v>2446</v>
      </c>
      <c r="E77" s="1439"/>
      <c r="F77" s="1452"/>
      <c r="G77" s="1445"/>
      <c r="I77" s="1453"/>
      <c r="J77" s="1453"/>
      <c r="K77" s="1453"/>
      <c r="L77" s="1453"/>
      <c r="M77" s="1453"/>
      <c r="N77" s="1453"/>
      <c r="O77" s="1453"/>
      <c r="P77" s="1526"/>
    </row>
    <row r="78" spans="1:17" s="1440" customFormat="1" ht="13.5" customHeight="1">
      <c r="A78" s="2561" t="s">
        <v>1160</v>
      </c>
      <c r="B78" s="2577" t="s">
        <v>2453</v>
      </c>
      <c r="C78" s="2561" t="s">
        <v>1160</v>
      </c>
      <c r="D78" s="2577" t="s">
        <v>2456</v>
      </c>
      <c r="E78" s="1439"/>
      <c r="F78" s="1452"/>
      <c r="G78" s="1445"/>
      <c r="I78" s="1453"/>
      <c r="J78" s="1453"/>
      <c r="K78" s="1453"/>
      <c r="L78" s="1453"/>
      <c r="M78" s="1453"/>
      <c r="N78" s="1453"/>
      <c r="O78" s="1453"/>
      <c r="P78" s="1526"/>
    </row>
    <row r="79" spans="1:17" s="1440" customFormat="1" ht="13.5" customHeight="1">
      <c r="A79" s="2749" t="s">
        <v>1179</v>
      </c>
      <c r="B79" s="2744"/>
      <c r="C79" s="2749" t="s">
        <v>1179</v>
      </c>
      <c r="D79" s="2744"/>
      <c r="E79" s="1439"/>
      <c r="F79" s="1452"/>
      <c r="G79" s="1445"/>
      <c r="I79" s="1453"/>
      <c r="J79" s="1453"/>
      <c r="K79" s="1453"/>
      <c r="L79" s="1453"/>
      <c r="M79" s="1453"/>
      <c r="N79" s="1453"/>
      <c r="O79" s="1453"/>
      <c r="P79" s="1526"/>
    </row>
    <row r="80" spans="1:17" s="1440" customFormat="1" ht="13.5" customHeight="1">
      <c r="A80" s="2561" t="s">
        <v>1153</v>
      </c>
      <c r="B80" s="2530" t="s">
        <v>2541</v>
      </c>
      <c r="C80" s="2561" t="s">
        <v>1153</v>
      </c>
      <c r="D80" s="2530" t="s">
        <v>2458</v>
      </c>
      <c r="E80" s="1439"/>
      <c r="F80" s="1452"/>
      <c r="G80" s="1445"/>
      <c r="I80" s="1453"/>
      <c r="J80" s="1453"/>
      <c r="K80" s="1453"/>
      <c r="L80" s="1453"/>
      <c r="M80" s="1453"/>
      <c r="N80" s="1453"/>
      <c r="O80" s="1453"/>
      <c r="P80" s="1526"/>
    </row>
    <row r="81" spans="1:25" s="1440" customFormat="1" ht="13.5" customHeight="1">
      <c r="A81" s="2576" t="s">
        <v>1145</v>
      </c>
      <c r="B81" s="2530" t="s">
        <v>2455</v>
      </c>
      <c r="C81" s="2576" t="s">
        <v>1145</v>
      </c>
      <c r="D81" s="2530" t="s">
        <v>2459</v>
      </c>
      <c r="E81" s="1439"/>
      <c r="F81" s="1452"/>
      <c r="G81" s="1445"/>
      <c r="I81" s="1453"/>
      <c r="J81" s="1453"/>
      <c r="K81" s="1453"/>
      <c r="L81" s="1453"/>
      <c r="M81" s="1453"/>
      <c r="N81" s="1453"/>
      <c r="O81" s="1453"/>
      <c r="P81" s="1526"/>
    </row>
    <row r="82" spans="1:25" s="1440" customFormat="1" ht="13.5" customHeight="1">
      <c r="A82" s="2561" t="s">
        <v>1157</v>
      </c>
      <c r="B82" s="2530"/>
      <c r="C82" s="2561" t="s">
        <v>1157</v>
      </c>
      <c r="D82" s="2530"/>
      <c r="E82" s="1439"/>
      <c r="F82" s="1452"/>
      <c r="G82" s="1445"/>
      <c r="I82" s="1453"/>
      <c r="J82" s="1453"/>
      <c r="K82" s="1453"/>
      <c r="L82" s="1453"/>
      <c r="M82" s="1453"/>
      <c r="N82" s="1453"/>
      <c r="O82" s="1453"/>
      <c r="P82" s="1526"/>
    </row>
    <row r="83" spans="1:25" s="1440" customFormat="1" ht="13.5" customHeight="1">
      <c r="A83" s="2561" t="s">
        <v>1147</v>
      </c>
      <c r="B83" s="2530" t="s">
        <v>2446</v>
      </c>
      <c r="C83" s="2561" t="s">
        <v>1147</v>
      </c>
      <c r="D83" s="2530" t="s">
        <v>2446</v>
      </c>
      <c r="E83" s="1439"/>
      <c r="F83" s="1452"/>
      <c r="G83" s="1445"/>
      <c r="I83" s="1453"/>
      <c r="J83" s="1453"/>
      <c r="K83" s="1453"/>
      <c r="L83" s="1453"/>
      <c r="M83" s="1453"/>
      <c r="N83" s="1453"/>
      <c r="O83" s="1453"/>
      <c r="P83" s="1526"/>
    </row>
    <row r="84" spans="1:25" s="1440" customFormat="1" ht="13.5" customHeight="1">
      <c r="A84" s="2561" t="s">
        <v>1160</v>
      </c>
      <c r="B84" s="2577" t="s">
        <v>2457</v>
      </c>
      <c r="C84" s="2561" t="s">
        <v>1160</v>
      </c>
      <c r="D84" s="2577" t="s">
        <v>2543</v>
      </c>
      <c r="E84" s="1439"/>
      <c r="F84" s="1452"/>
      <c r="G84" s="1445"/>
      <c r="I84" s="1453"/>
      <c r="J84" s="1453"/>
      <c r="K84" s="1453"/>
      <c r="L84" s="1453"/>
      <c r="M84" s="1453"/>
      <c r="N84" s="1453"/>
      <c r="O84" s="1453"/>
      <c r="P84" s="1526"/>
    </row>
    <row r="85" spans="1:25" s="1440" customFormat="1" ht="12.75" customHeight="1">
      <c r="A85" s="2749" t="s">
        <v>1179</v>
      </c>
      <c r="B85" s="2744"/>
      <c r="C85" s="2749" t="s">
        <v>1179</v>
      </c>
      <c r="D85" s="2744"/>
      <c r="E85" s="1439"/>
      <c r="F85" s="1452"/>
      <c r="G85" s="1445"/>
      <c r="I85" s="1453"/>
      <c r="J85" s="1453"/>
      <c r="K85" s="1453"/>
      <c r="L85" s="1453"/>
      <c r="M85" s="1453"/>
      <c r="N85" s="1453"/>
      <c r="O85" s="1453"/>
      <c r="P85" s="1526"/>
    </row>
    <row r="86" spans="1:25" s="1440" customFormat="1" ht="12.75" customHeight="1">
      <c r="A86" s="2561" t="s">
        <v>1153</v>
      </c>
      <c r="B86" s="2530" t="s">
        <v>4424</v>
      </c>
      <c r="C86" s="2561" t="s">
        <v>1153</v>
      </c>
      <c r="D86" s="2530"/>
      <c r="E86" s="1439"/>
      <c r="F86" s="1452"/>
      <c r="G86" s="1445"/>
      <c r="I86" s="1453"/>
      <c r="J86" s="1453"/>
      <c r="K86" s="1453"/>
      <c r="L86" s="1453"/>
      <c r="M86" s="1453"/>
      <c r="N86" s="1453"/>
      <c r="O86" s="1453"/>
      <c r="P86" s="1526"/>
    </row>
    <row r="87" spans="1:25" s="1440" customFormat="1" ht="12.75" customHeight="1">
      <c r="A87" s="2576" t="s">
        <v>1145</v>
      </c>
      <c r="B87" s="2713">
        <v>145903511</v>
      </c>
      <c r="C87" s="2576" t="s">
        <v>1145</v>
      </c>
      <c r="D87" s="2530"/>
      <c r="E87" s="1439"/>
      <c r="F87" s="1452"/>
      <c r="G87" s="1445"/>
      <c r="I87" s="1453"/>
      <c r="J87" s="1453"/>
      <c r="K87" s="1453"/>
      <c r="L87" s="1453"/>
      <c r="M87" s="1453"/>
      <c r="N87" s="1453"/>
      <c r="O87" s="1453"/>
      <c r="P87" s="1526"/>
    </row>
    <row r="88" spans="1:25" s="1440" customFormat="1" ht="12.75" customHeight="1">
      <c r="A88" s="2561" t="s">
        <v>1157</v>
      </c>
      <c r="B88" s="2530"/>
      <c r="C88" s="2561" t="s">
        <v>1157</v>
      </c>
      <c r="D88" s="2530"/>
      <c r="E88" s="1439"/>
      <c r="F88" s="1452"/>
      <c r="G88" s="1445"/>
      <c r="I88" s="1453"/>
      <c r="J88" s="1453"/>
      <c r="K88" s="1453"/>
      <c r="L88" s="1453"/>
      <c r="M88" s="1453"/>
      <c r="N88" s="1453"/>
      <c r="O88" s="1453"/>
      <c r="P88" s="1526"/>
    </row>
    <row r="89" spans="1:25" s="1459" customFormat="1" ht="12.75" customHeight="1">
      <c r="A89" s="2561" t="s">
        <v>1147</v>
      </c>
      <c r="B89" s="2530" t="s">
        <v>2446</v>
      </c>
      <c r="C89" s="2561" t="s">
        <v>1147</v>
      </c>
      <c r="D89" s="2530"/>
      <c r="E89" s="1460"/>
      <c r="F89" s="1452"/>
      <c r="G89" s="1445"/>
      <c r="I89" s="1453"/>
      <c r="J89" s="1453"/>
      <c r="K89" s="1453"/>
      <c r="L89" s="1453"/>
      <c r="M89" s="1453"/>
      <c r="N89" s="1453"/>
      <c r="O89" s="1453"/>
      <c r="P89" s="1526"/>
      <c r="Q89" s="1440"/>
    </row>
    <row r="90" spans="1:25" s="1453" customFormat="1" ht="12.75" customHeight="1">
      <c r="A90" s="2561" t="s">
        <v>1160</v>
      </c>
      <c r="B90" s="2714" t="s">
        <v>4425</v>
      </c>
      <c r="C90" s="2561" t="s">
        <v>1160</v>
      </c>
      <c r="D90" s="2577"/>
      <c r="E90" s="1461"/>
      <c r="F90" s="1452"/>
      <c r="G90" s="1445"/>
      <c r="P90" s="1526"/>
      <c r="Q90" s="1440"/>
    </row>
    <row r="91" spans="1:25" s="1453" customFormat="1" ht="12.75" customHeight="1">
      <c r="A91" s="2219"/>
      <c r="B91" s="2219"/>
      <c r="C91" s="2219"/>
      <c r="D91" s="2219"/>
      <c r="E91" s="1461"/>
      <c r="F91" s="1452"/>
      <c r="G91" s="1445"/>
      <c r="P91" s="1526"/>
      <c r="Q91" s="1440"/>
    </row>
    <row r="92" spans="1:25" s="1440" customFormat="1" ht="12.75" customHeight="1">
      <c r="A92" s="2260"/>
      <c r="B92" s="2219"/>
      <c r="C92" s="2219"/>
      <c r="D92" s="2219"/>
      <c r="E92" s="1439"/>
      <c r="I92" s="1453"/>
      <c r="J92" s="1453"/>
      <c r="K92" s="1453"/>
      <c r="L92" s="1453"/>
      <c r="M92" s="1453"/>
      <c r="N92" s="1453"/>
      <c r="O92" s="1453"/>
      <c r="P92" s="1526"/>
    </row>
    <row r="93" spans="1:25" s="1440" customFormat="1" ht="12.75" customHeight="1">
      <c r="A93" s="2261"/>
      <c r="B93" s="2219"/>
      <c r="C93" s="2219"/>
      <c r="D93" s="2219"/>
      <c r="E93" s="1439"/>
      <c r="I93" s="1453"/>
      <c r="J93" s="1453"/>
      <c r="K93" s="1453"/>
      <c r="L93" s="1453"/>
      <c r="M93" s="1453"/>
      <c r="N93" s="1453"/>
      <c r="O93" s="1453"/>
      <c r="P93" s="1526"/>
    </row>
    <row r="94" spans="1:25" s="1440" customFormat="1" ht="12.75" customHeight="1">
      <c r="A94" s="2261"/>
      <c r="B94" s="2219"/>
      <c r="C94" s="2219"/>
      <c r="D94" s="2219"/>
      <c r="E94" s="1439"/>
      <c r="I94" s="1453"/>
      <c r="J94" s="1453"/>
      <c r="K94" s="1453"/>
      <c r="L94" s="1453"/>
      <c r="M94" s="1453"/>
      <c r="N94" s="1453"/>
      <c r="O94" s="1453"/>
      <c r="P94" s="1526"/>
    </row>
    <row r="95" spans="1:25" s="1440" customFormat="1" ht="12.75" customHeight="1">
      <c r="A95" s="2261"/>
      <c r="B95" s="2219"/>
      <c r="C95" s="2219"/>
      <c r="D95" s="2219"/>
      <c r="E95" s="1439"/>
      <c r="I95" s="1453"/>
      <c r="J95" s="1453"/>
      <c r="K95" s="1453"/>
      <c r="L95" s="1453"/>
      <c r="M95" s="1453"/>
      <c r="N95" s="1453"/>
      <c r="O95" s="1453"/>
      <c r="P95" s="1526"/>
    </row>
    <row r="96" spans="1:25" ht="12.75" customHeight="1">
      <c r="A96" s="2261"/>
      <c r="E96" s="1462"/>
      <c r="I96" s="1453"/>
      <c r="J96" s="1453"/>
      <c r="K96" s="1453"/>
      <c r="L96" s="1453"/>
      <c r="M96" s="1453"/>
      <c r="N96" s="1453"/>
      <c r="O96" s="1453"/>
      <c r="P96" s="1526"/>
      <c r="R96" s="1463"/>
      <c r="S96" s="1463"/>
      <c r="T96" s="1463"/>
      <c r="U96" s="1463"/>
      <c r="V96" s="1463"/>
      <c r="W96" s="1463"/>
      <c r="X96" s="1463"/>
      <c r="Y96" s="1463"/>
    </row>
    <row r="97" spans="1:25" ht="12.75" customHeight="1">
      <c r="A97" s="2262"/>
      <c r="B97" s="2263"/>
      <c r="C97" s="2263"/>
      <c r="D97" s="2263"/>
      <c r="E97" s="1462"/>
      <c r="I97" s="1453"/>
      <c r="J97" s="1453"/>
      <c r="K97" s="1453"/>
      <c r="L97" s="1453"/>
      <c r="M97" s="1453"/>
      <c r="N97" s="1453"/>
      <c r="O97" s="1453"/>
      <c r="P97" s="1526"/>
      <c r="R97" s="1463"/>
      <c r="S97" s="1463"/>
      <c r="T97" s="1463"/>
      <c r="U97" s="1463"/>
      <c r="V97" s="1463"/>
      <c r="W97" s="1463"/>
      <c r="X97" s="1463"/>
      <c r="Y97" s="1463"/>
    </row>
    <row r="98" spans="1:25" ht="12.75" customHeight="1">
      <c r="A98" s="2262"/>
      <c r="B98" s="2263"/>
      <c r="C98" s="2263"/>
      <c r="D98" s="2263"/>
      <c r="E98" s="1462"/>
      <c r="I98" s="1453"/>
      <c r="J98" s="1453"/>
      <c r="K98" s="1453"/>
      <c r="L98" s="1453"/>
      <c r="M98" s="1453"/>
      <c r="N98" s="1453"/>
      <c r="O98" s="1453"/>
      <c r="P98" s="1526"/>
      <c r="R98" s="1463"/>
      <c r="S98" s="1463"/>
      <c r="T98" s="1463"/>
      <c r="U98" s="1463"/>
      <c r="V98" s="1463"/>
      <c r="W98" s="1463"/>
      <c r="X98" s="1463"/>
      <c r="Y98" s="1463"/>
    </row>
    <row r="99" spans="1:25" ht="12.75" customHeight="1">
      <c r="A99" s="2262"/>
      <c r="B99" s="2263"/>
      <c r="C99" s="2263"/>
      <c r="D99" s="2263"/>
      <c r="E99" s="1462"/>
      <c r="I99" s="1453"/>
      <c r="J99" s="1453"/>
      <c r="K99" s="1453"/>
      <c r="L99" s="1453"/>
      <c r="M99" s="1453"/>
      <c r="N99" s="1453"/>
      <c r="O99" s="1453"/>
      <c r="P99" s="1526"/>
      <c r="R99" s="1463"/>
      <c r="S99" s="1463"/>
      <c r="T99" s="1463"/>
      <c r="U99" s="1463"/>
      <c r="V99" s="1463"/>
      <c r="W99" s="1463"/>
      <c r="X99" s="1463"/>
      <c r="Y99" s="1463"/>
    </row>
    <row r="100" spans="1:25" ht="12.75" customHeight="1">
      <c r="A100" s="2262"/>
      <c r="B100" s="2263"/>
      <c r="C100" s="2263"/>
      <c r="D100" s="2263"/>
      <c r="E100" s="1462"/>
      <c r="I100" s="1453"/>
      <c r="J100" s="1453"/>
      <c r="K100" s="1453"/>
      <c r="L100" s="1453"/>
      <c r="M100" s="1453"/>
      <c r="N100" s="1453"/>
      <c r="O100" s="1453"/>
      <c r="P100" s="1526"/>
      <c r="R100" s="1463"/>
      <c r="S100" s="1463"/>
      <c r="T100" s="1463"/>
      <c r="U100" s="1463"/>
      <c r="V100" s="1463"/>
      <c r="W100" s="1463"/>
      <c r="X100" s="1463"/>
      <c r="Y100" s="1463"/>
    </row>
    <row r="101" spans="1:25" ht="12.75" customHeight="1">
      <c r="A101" s="2262"/>
      <c r="B101" s="2263"/>
      <c r="C101" s="2263"/>
      <c r="D101" s="2263"/>
      <c r="E101" s="1462"/>
      <c r="I101" s="1453"/>
      <c r="J101" s="1453"/>
      <c r="K101" s="1453"/>
      <c r="L101" s="1453"/>
      <c r="M101" s="1453"/>
      <c r="N101" s="1453"/>
      <c r="O101" s="1453"/>
      <c r="P101" s="1526"/>
      <c r="R101" s="1463"/>
      <c r="S101" s="1463"/>
      <c r="T101" s="1463"/>
      <c r="U101" s="1463"/>
      <c r="V101" s="1463"/>
      <c r="W101" s="1463"/>
      <c r="X101" s="1463"/>
      <c r="Y101" s="1463"/>
    </row>
    <row r="102" spans="1:25" ht="12.75" customHeight="1">
      <c r="A102" s="2262"/>
      <c r="B102" s="2263"/>
      <c r="C102" s="2263"/>
      <c r="D102" s="2263"/>
      <c r="E102" s="1462"/>
      <c r="I102" s="1453"/>
      <c r="J102" s="1453"/>
      <c r="K102" s="1453"/>
      <c r="L102" s="1453"/>
      <c r="M102" s="1453"/>
      <c r="N102" s="1453"/>
      <c r="O102" s="1453"/>
      <c r="P102" s="1526"/>
      <c r="R102" s="1463"/>
      <c r="S102" s="1463"/>
      <c r="T102" s="1463"/>
      <c r="U102" s="1463"/>
      <c r="V102" s="1463"/>
      <c r="W102" s="1463"/>
      <c r="X102" s="1463"/>
      <c r="Y102" s="1463"/>
    </row>
    <row r="103" spans="1:25" ht="12.75" customHeight="1">
      <c r="A103" s="2262"/>
      <c r="B103" s="2263"/>
      <c r="C103" s="2263"/>
      <c r="D103" s="2263"/>
      <c r="E103" s="1462"/>
      <c r="I103" s="1453"/>
      <c r="J103" s="1453"/>
      <c r="K103" s="1453"/>
      <c r="L103" s="1453"/>
      <c r="M103" s="1453"/>
      <c r="N103" s="1453"/>
      <c r="O103" s="1453"/>
      <c r="P103" s="1526"/>
      <c r="R103" s="1463"/>
      <c r="S103" s="1463"/>
      <c r="T103" s="1463"/>
      <c r="U103" s="1463"/>
      <c r="V103" s="1463"/>
      <c r="W103" s="1463"/>
      <c r="X103" s="1463"/>
      <c r="Y103" s="1463"/>
    </row>
    <row r="104" spans="1:25" ht="12.75" customHeight="1">
      <c r="A104" s="2262"/>
      <c r="B104" s="2263"/>
      <c r="C104" s="2263"/>
      <c r="D104" s="2263"/>
      <c r="E104" s="1462"/>
      <c r="I104" s="1453"/>
      <c r="J104" s="1453"/>
      <c r="K104" s="1453"/>
      <c r="L104" s="1453"/>
      <c r="M104" s="1453"/>
      <c r="N104" s="1453"/>
      <c r="O104" s="1453"/>
      <c r="P104" s="1526"/>
      <c r="R104" s="1463"/>
      <c r="S104" s="1463"/>
      <c r="T104" s="1463"/>
      <c r="U104" s="1463"/>
      <c r="V104" s="1463"/>
      <c r="W104" s="1463"/>
      <c r="X104" s="1463"/>
      <c r="Y104" s="1463"/>
    </row>
    <row r="105" spans="1:25" ht="12.75" customHeight="1">
      <c r="A105" s="2262"/>
      <c r="B105" s="2263"/>
      <c r="C105" s="2263"/>
      <c r="D105" s="2263"/>
      <c r="E105" s="1462"/>
      <c r="I105" s="1453"/>
      <c r="J105" s="1453"/>
      <c r="K105" s="1453"/>
      <c r="L105" s="1453"/>
      <c r="M105" s="1453"/>
      <c r="N105" s="1453"/>
      <c r="O105" s="1453"/>
      <c r="P105" s="1526"/>
      <c r="R105" s="1463"/>
      <c r="S105" s="1463"/>
      <c r="T105" s="1463"/>
      <c r="U105" s="1463"/>
      <c r="V105" s="1463"/>
      <c r="W105" s="1463"/>
      <c r="X105" s="1463"/>
      <c r="Y105" s="1463"/>
    </row>
    <row r="106" spans="1:25" ht="12.75" customHeight="1">
      <c r="A106" s="2262"/>
      <c r="B106" s="2263"/>
      <c r="C106" s="2263"/>
      <c r="D106" s="2263"/>
      <c r="E106" s="1462"/>
      <c r="I106" s="1453"/>
      <c r="J106" s="1453"/>
      <c r="K106" s="1453"/>
      <c r="L106" s="1453"/>
      <c r="M106" s="1453"/>
      <c r="N106" s="1453"/>
      <c r="O106" s="1453"/>
      <c r="P106" s="1526"/>
      <c r="R106" s="1463"/>
      <c r="S106" s="1463"/>
      <c r="T106" s="1463"/>
      <c r="U106" s="1463"/>
      <c r="V106" s="1463"/>
      <c r="W106" s="1463"/>
      <c r="X106" s="1463"/>
      <c r="Y106" s="1463"/>
    </row>
    <row r="107" spans="1:25" ht="12.75" customHeight="1">
      <c r="A107" s="2262"/>
      <c r="B107" s="2263"/>
      <c r="C107" s="2263"/>
      <c r="D107" s="2263"/>
      <c r="E107" s="1462"/>
      <c r="I107" s="1453"/>
      <c r="J107" s="1453"/>
      <c r="K107" s="1453"/>
      <c r="L107" s="1453"/>
      <c r="M107" s="1453"/>
      <c r="N107" s="1453"/>
      <c r="O107" s="1453"/>
      <c r="P107" s="1526"/>
      <c r="R107" s="1463"/>
      <c r="S107" s="1463"/>
      <c r="T107" s="1463"/>
      <c r="U107" s="1463"/>
      <c r="V107" s="1463"/>
      <c r="W107" s="1463"/>
      <c r="X107" s="1463"/>
      <c r="Y107" s="1463"/>
    </row>
    <row r="108" spans="1:25" ht="12.75" customHeight="1">
      <c r="A108" s="2262"/>
      <c r="B108" s="2263"/>
      <c r="C108" s="2263"/>
      <c r="D108" s="2263"/>
      <c r="E108" s="1462"/>
      <c r="I108" s="1453"/>
      <c r="J108" s="1453"/>
      <c r="K108" s="1453"/>
      <c r="L108" s="1453"/>
      <c r="M108" s="1453"/>
      <c r="N108" s="1453"/>
      <c r="O108" s="1453"/>
      <c r="P108" s="1526"/>
      <c r="R108" s="1463"/>
      <c r="S108" s="1463"/>
      <c r="T108" s="1463"/>
      <c r="U108" s="1463"/>
      <c r="V108" s="1463"/>
      <c r="W108" s="1463"/>
      <c r="X108" s="1463"/>
      <c r="Y108" s="1463"/>
    </row>
    <row r="109" spans="1:25" ht="12.75" customHeight="1">
      <c r="A109" s="2262"/>
      <c r="B109" s="2263"/>
      <c r="C109" s="2263"/>
      <c r="D109" s="2263"/>
      <c r="E109" s="1462"/>
      <c r="I109" s="1453"/>
      <c r="J109" s="1453"/>
      <c r="K109" s="1453"/>
      <c r="L109" s="1453"/>
      <c r="M109" s="1453"/>
      <c r="N109" s="1453"/>
      <c r="O109" s="1453"/>
      <c r="P109" s="1526"/>
      <c r="R109" s="1463"/>
      <c r="S109" s="1463"/>
      <c r="T109" s="1463"/>
      <c r="U109" s="1463"/>
      <c r="V109" s="1463"/>
      <c r="W109" s="1463"/>
      <c r="X109" s="1463"/>
      <c r="Y109" s="1463"/>
    </row>
    <row r="110" spans="1:25" ht="12.75" customHeight="1">
      <c r="A110" s="2262"/>
      <c r="B110" s="2263"/>
      <c r="C110" s="2263"/>
      <c r="D110" s="2263"/>
      <c r="E110" s="1462"/>
      <c r="I110" s="1453"/>
      <c r="J110" s="1453"/>
      <c r="K110" s="1453"/>
      <c r="L110" s="1453"/>
      <c r="M110" s="1453"/>
      <c r="N110" s="1453"/>
      <c r="O110" s="1453"/>
      <c r="P110" s="1526"/>
      <c r="R110" s="1463"/>
      <c r="S110" s="1463"/>
      <c r="T110" s="1463"/>
      <c r="U110" s="1463"/>
      <c r="V110" s="1463"/>
      <c r="W110" s="1463"/>
      <c r="X110" s="1463"/>
      <c r="Y110" s="1463"/>
    </row>
    <row r="111" spans="1:25" ht="12.75" customHeight="1">
      <c r="A111" s="2262"/>
      <c r="B111" s="2263"/>
      <c r="C111" s="2263"/>
      <c r="D111" s="2263"/>
      <c r="E111" s="1462"/>
      <c r="I111" s="1453"/>
      <c r="J111" s="1453"/>
      <c r="K111" s="1453"/>
      <c r="L111" s="1453"/>
      <c r="M111" s="1453"/>
      <c r="N111" s="1453"/>
      <c r="O111" s="1453"/>
      <c r="P111" s="1526"/>
      <c r="R111" s="1463"/>
      <c r="S111" s="1463"/>
      <c r="T111" s="1463"/>
      <c r="U111" s="1463"/>
      <c r="V111" s="1463"/>
      <c r="W111" s="1463"/>
      <c r="X111" s="1463"/>
      <c r="Y111" s="1463"/>
    </row>
    <row r="112" spans="1:25" ht="12.75" customHeight="1">
      <c r="A112" s="2262"/>
      <c r="B112" s="2263"/>
      <c r="C112" s="2263"/>
      <c r="D112" s="2263"/>
      <c r="E112" s="1462"/>
      <c r="I112" s="1453"/>
      <c r="J112" s="1453"/>
      <c r="K112" s="1453"/>
      <c r="L112" s="1453"/>
      <c r="M112" s="1453"/>
      <c r="N112" s="1453"/>
      <c r="O112" s="1453"/>
      <c r="P112" s="1526"/>
      <c r="R112" s="1463"/>
      <c r="S112" s="1463"/>
      <c r="T112" s="1463"/>
      <c r="U112" s="1463"/>
      <c r="V112" s="1463"/>
      <c r="W112" s="1463"/>
      <c r="X112" s="1463"/>
      <c r="Y112" s="1463"/>
    </row>
    <row r="113" spans="1:25" ht="12.75" customHeight="1">
      <c r="A113" s="2262"/>
      <c r="B113" s="2263"/>
      <c r="C113" s="2263"/>
      <c r="D113" s="2263"/>
      <c r="E113" s="1462"/>
      <c r="I113" s="1453"/>
      <c r="J113" s="1453"/>
      <c r="K113" s="1453"/>
      <c r="L113" s="1453"/>
      <c r="M113" s="1453"/>
      <c r="N113" s="1453"/>
      <c r="O113" s="1453"/>
      <c r="P113" s="1526"/>
      <c r="R113" s="1463"/>
      <c r="S113" s="1463"/>
      <c r="T113" s="1463"/>
      <c r="U113" s="1463"/>
      <c r="V113" s="1463"/>
      <c r="W113" s="1463"/>
      <c r="X113" s="1463"/>
      <c r="Y113" s="1463"/>
    </row>
    <row r="114" spans="1:25" ht="12.75" customHeight="1">
      <c r="A114" s="2262"/>
      <c r="B114" s="2263"/>
      <c r="C114" s="2263"/>
      <c r="D114" s="2263"/>
      <c r="E114" s="1462"/>
      <c r="I114" s="1453"/>
      <c r="J114" s="1453"/>
      <c r="K114" s="1453"/>
      <c r="L114" s="1453"/>
      <c r="M114" s="1453"/>
      <c r="N114" s="1453"/>
      <c r="O114" s="1453"/>
      <c r="P114" s="1526"/>
      <c r="R114" s="1463"/>
      <c r="S114" s="1463"/>
      <c r="T114" s="1463"/>
      <c r="U114" s="1463"/>
      <c r="V114" s="1463"/>
      <c r="W114" s="1463"/>
      <c r="X114" s="1463"/>
      <c r="Y114" s="1463"/>
    </row>
    <row r="115" spans="1:25" ht="12.75" customHeight="1">
      <c r="A115" s="2262"/>
      <c r="B115" s="2263"/>
      <c r="C115" s="2263"/>
      <c r="D115" s="2263"/>
      <c r="E115" s="1462"/>
      <c r="I115" s="1453"/>
      <c r="J115" s="1453"/>
      <c r="K115" s="1453"/>
      <c r="L115" s="1453"/>
      <c r="M115" s="1453"/>
      <c r="N115" s="1453"/>
      <c r="O115" s="1453"/>
      <c r="P115" s="1526"/>
      <c r="R115" s="1463"/>
      <c r="S115" s="1463"/>
      <c r="T115" s="1463"/>
      <c r="U115" s="1463"/>
      <c r="V115" s="1463"/>
      <c r="W115" s="1463"/>
      <c r="X115" s="1463"/>
      <c r="Y115" s="1463"/>
    </row>
    <row r="116" spans="1:25" ht="12.75" customHeight="1">
      <c r="A116" s="2262"/>
      <c r="B116" s="2263"/>
      <c r="C116" s="2263"/>
      <c r="D116" s="2263"/>
      <c r="E116" s="1462"/>
      <c r="I116" s="1453"/>
      <c r="J116" s="1453"/>
      <c r="K116" s="1453"/>
      <c r="L116" s="1453"/>
      <c r="M116" s="1453"/>
      <c r="N116" s="1453"/>
      <c r="O116" s="1453"/>
      <c r="P116" s="1526"/>
      <c r="R116" s="1463"/>
      <c r="S116" s="1463"/>
      <c r="T116" s="1463"/>
      <c r="U116" s="1463"/>
      <c r="V116" s="1463"/>
      <c r="W116" s="1463"/>
      <c r="X116" s="1463"/>
      <c r="Y116" s="1463"/>
    </row>
    <row r="117" spans="1:25" ht="12.75" customHeight="1">
      <c r="A117" s="2262"/>
      <c r="B117" s="2263"/>
      <c r="C117" s="2263"/>
      <c r="D117" s="2263"/>
      <c r="E117" s="1462"/>
      <c r="I117" s="1453"/>
      <c r="J117" s="1453"/>
      <c r="K117" s="1453"/>
      <c r="L117" s="1453"/>
      <c r="M117" s="1453"/>
      <c r="N117" s="1453"/>
      <c r="O117" s="1453"/>
      <c r="P117" s="1526"/>
      <c r="R117" s="1463"/>
      <c r="S117" s="1463"/>
      <c r="T117" s="1463"/>
      <c r="U117" s="1463"/>
      <c r="V117" s="1463"/>
      <c r="W117" s="1463"/>
      <c r="X117" s="1463"/>
      <c r="Y117" s="1463"/>
    </row>
    <row r="118" spans="1:25" ht="12.75" customHeight="1">
      <c r="A118" s="2262"/>
      <c r="B118" s="2263"/>
      <c r="C118" s="2263"/>
      <c r="D118" s="2263"/>
      <c r="E118" s="1462"/>
      <c r="I118" s="1453"/>
      <c r="J118" s="1453"/>
      <c r="K118" s="1453"/>
      <c r="L118" s="1453"/>
      <c r="M118" s="1453"/>
      <c r="N118" s="1453"/>
      <c r="O118" s="1453"/>
      <c r="P118" s="1526"/>
      <c r="R118" s="1463"/>
      <c r="S118" s="1463"/>
      <c r="T118" s="1463"/>
      <c r="U118" s="1463"/>
      <c r="V118" s="1463"/>
      <c r="W118" s="1463"/>
      <c r="X118" s="1463"/>
      <c r="Y118" s="1463"/>
    </row>
    <row r="119" spans="1:25" ht="12.75" customHeight="1">
      <c r="A119" s="2263"/>
      <c r="B119" s="2263"/>
      <c r="C119" s="2263"/>
      <c r="D119" s="2263"/>
      <c r="E119" s="1462"/>
      <c r="I119" s="1453"/>
      <c r="J119" s="1453"/>
      <c r="K119" s="1453"/>
      <c r="L119" s="1453"/>
      <c r="M119" s="1453"/>
      <c r="N119" s="1453"/>
      <c r="O119" s="1453"/>
      <c r="P119" s="1526"/>
      <c r="R119" s="1463"/>
      <c r="S119" s="1463"/>
      <c r="T119" s="1463"/>
      <c r="U119" s="1463"/>
      <c r="V119" s="1463"/>
      <c r="W119" s="1463"/>
      <c r="X119" s="1463"/>
      <c r="Y119" s="1463"/>
    </row>
    <row r="120" spans="1:25" ht="12.75" customHeight="1">
      <c r="A120" s="2263"/>
      <c r="B120" s="2263"/>
      <c r="C120" s="2263"/>
      <c r="D120" s="2263"/>
      <c r="E120" s="1462"/>
      <c r="I120" s="1453"/>
      <c r="J120" s="1453"/>
      <c r="K120" s="1453"/>
      <c r="L120" s="1453"/>
      <c r="M120" s="1453"/>
      <c r="N120" s="1453"/>
      <c r="O120" s="1453"/>
      <c r="P120" s="1526"/>
      <c r="R120" s="1463"/>
      <c r="S120" s="1463"/>
      <c r="T120" s="1463"/>
      <c r="U120" s="1463"/>
      <c r="V120" s="1463"/>
      <c r="W120" s="1463"/>
      <c r="X120" s="1463"/>
      <c r="Y120" s="1463"/>
    </row>
    <row r="121" spans="1:25" ht="12.75" customHeight="1">
      <c r="A121" s="2263"/>
      <c r="B121" s="2263"/>
      <c r="C121" s="2263"/>
      <c r="D121" s="2263"/>
      <c r="E121" s="1462"/>
      <c r="I121" s="1453"/>
      <c r="J121" s="1453"/>
      <c r="K121" s="1453"/>
      <c r="L121" s="1453"/>
      <c r="M121" s="1453"/>
      <c r="N121" s="1453"/>
      <c r="O121" s="1453"/>
      <c r="P121" s="1526"/>
      <c r="R121" s="1463"/>
      <c r="S121" s="1463"/>
      <c r="T121" s="1463"/>
      <c r="U121" s="1463"/>
      <c r="V121" s="1463"/>
      <c r="W121" s="1463"/>
      <c r="X121" s="1463"/>
      <c r="Y121" s="1463"/>
    </row>
    <row r="122" spans="1:25" ht="12.75" customHeight="1">
      <c r="A122" s="2263"/>
      <c r="B122" s="2263"/>
      <c r="C122" s="2263"/>
      <c r="D122" s="2263"/>
      <c r="E122" s="1462"/>
      <c r="I122" s="1453"/>
      <c r="J122" s="1453"/>
      <c r="K122" s="1453"/>
      <c r="L122" s="1453"/>
      <c r="M122" s="1453"/>
      <c r="N122" s="1453"/>
      <c r="O122" s="1453"/>
      <c r="P122" s="1526"/>
      <c r="R122" s="1463"/>
      <c r="S122" s="1463"/>
      <c r="T122" s="1463"/>
      <c r="U122" s="1463"/>
      <c r="V122" s="1463"/>
      <c r="W122" s="1463"/>
      <c r="X122" s="1463"/>
      <c r="Y122" s="1463"/>
    </row>
    <row r="123" spans="1:25" ht="12.75" customHeight="1">
      <c r="A123" s="2263"/>
      <c r="B123" s="2263"/>
      <c r="C123" s="2263"/>
      <c r="D123" s="2263"/>
      <c r="E123" s="1462"/>
      <c r="I123" s="1453"/>
      <c r="J123" s="1453"/>
      <c r="K123" s="1453"/>
      <c r="L123" s="1453"/>
      <c r="M123" s="1453"/>
      <c r="N123" s="1453"/>
      <c r="O123" s="1453"/>
      <c r="P123" s="1526"/>
      <c r="R123" s="1463"/>
      <c r="S123" s="1463"/>
      <c r="T123" s="1463"/>
      <c r="U123" s="1463"/>
      <c r="V123" s="1463"/>
      <c r="W123" s="1463"/>
      <c r="X123" s="1463"/>
      <c r="Y123" s="1463"/>
    </row>
    <row r="124" spans="1:25" ht="12.75" customHeight="1">
      <c r="A124" s="2263"/>
      <c r="B124" s="2263"/>
      <c r="C124" s="2263"/>
      <c r="D124" s="2263"/>
      <c r="E124" s="1462"/>
      <c r="I124" s="1453"/>
      <c r="J124" s="1453"/>
      <c r="K124" s="1453"/>
      <c r="L124" s="1453"/>
      <c r="M124" s="1453"/>
      <c r="N124" s="1453"/>
      <c r="O124" s="1453"/>
      <c r="P124" s="1526"/>
      <c r="R124" s="1463"/>
      <c r="S124" s="1463"/>
      <c r="T124" s="1463"/>
      <c r="U124" s="1463"/>
      <c r="V124" s="1463"/>
      <c r="W124" s="1463"/>
      <c r="X124" s="1463"/>
      <c r="Y124" s="1463"/>
    </row>
    <row r="125" spans="1:25" ht="12.75" customHeight="1">
      <c r="A125" s="2263"/>
      <c r="B125" s="2263"/>
      <c r="C125" s="2263"/>
      <c r="D125" s="2263"/>
      <c r="E125" s="1462"/>
      <c r="I125" s="1453"/>
      <c r="J125" s="1453"/>
      <c r="K125" s="1453"/>
      <c r="L125" s="1453"/>
      <c r="M125" s="1453"/>
      <c r="N125" s="1453"/>
      <c r="O125" s="1453"/>
      <c r="P125" s="1526"/>
      <c r="R125" s="1463"/>
      <c r="S125" s="1463"/>
      <c r="T125" s="1463"/>
      <c r="U125" s="1463"/>
      <c r="V125" s="1463"/>
      <c r="W125" s="1463"/>
      <c r="X125" s="1463"/>
      <c r="Y125" s="1463"/>
    </row>
    <row r="126" spans="1:25" ht="12.75" customHeight="1">
      <c r="A126" s="2263"/>
      <c r="B126" s="2263"/>
      <c r="C126" s="2263"/>
      <c r="D126" s="2263"/>
      <c r="E126" s="1462"/>
      <c r="I126" s="1453"/>
      <c r="J126" s="1453"/>
      <c r="K126" s="1453"/>
      <c r="L126" s="1453"/>
      <c r="M126" s="1453"/>
      <c r="N126" s="1453"/>
      <c r="O126" s="1453"/>
      <c r="P126" s="1526"/>
      <c r="R126" s="1463"/>
      <c r="S126" s="1463"/>
      <c r="T126" s="1463"/>
      <c r="U126" s="1463"/>
      <c r="V126" s="1463"/>
      <c r="W126" s="1463"/>
      <c r="X126" s="1463"/>
      <c r="Y126" s="1463"/>
    </row>
    <row r="127" spans="1:25" ht="12.75" customHeight="1">
      <c r="A127" s="2263"/>
      <c r="B127" s="2263"/>
      <c r="C127" s="2263"/>
      <c r="D127" s="2263"/>
      <c r="E127" s="1462"/>
      <c r="I127" s="1453"/>
      <c r="J127" s="1453"/>
      <c r="K127" s="1453"/>
      <c r="L127" s="1453"/>
      <c r="M127" s="1453"/>
      <c r="N127" s="1453"/>
      <c r="O127" s="1453"/>
      <c r="P127" s="1526"/>
      <c r="R127" s="1463"/>
      <c r="S127" s="1463"/>
      <c r="T127" s="1463"/>
      <c r="U127" s="1463"/>
      <c r="V127" s="1463"/>
      <c r="W127" s="1463"/>
      <c r="X127" s="1463"/>
      <c r="Y127" s="1463"/>
    </row>
    <row r="128" spans="1:25">
      <c r="A128" s="2263"/>
      <c r="B128" s="2263"/>
      <c r="C128" s="2263"/>
      <c r="D128" s="2263"/>
      <c r="E128" s="1462"/>
      <c r="I128" s="1453"/>
      <c r="J128" s="1453"/>
      <c r="K128" s="1453"/>
      <c r="L128" s="1453"/>
      <c r="M128" s="1453"/>
      <c r="N128" s="1453"/>
      <c r="O128" s="1453"/>
      <c r="P128" s="1526"/>
      <c r="R128" s="1463"/>
      <c r="S128" s="1463"/>
      <c r="T128" s="1463"/>
      <c r="U128" s="1463"/>
      <c r="V128" s="1463"/>
      <c r="W128" s="1463"/>
      <c r="X128" s="1463"/>
      <c r="Y128" s="1463"/>
    </row>
    <row r="129" spans="1:25">
      <c r="A129" s="2263"/>
      <c r="B129" s="2263"/>
      <c r="C129" s="2263"/>
      <c r="D129" s="2263"/>
      <c r="E129" s="1462"/>
      <c r="I129" s="1453"/>
      <c r="J129" s="1453"/>
      <c r="K129" s="1453"/>
      <c r="L129" s="1453"/>
      <c r="M129" s="1453"/>
      <c r="N129" s="1453"/>
      <c r="O129" s="1453"/>
      <c r="P129" s="1526"/>
      <c r="R129" s="1463"/>
      <c r="S129" s="1463"/>
      <c r="T129" s="1463"/>
      <c r="U129" s="1463"/>
      <c r="V129" s="1463"/>
      <c r="W129" s="1463"/>
      <c r="X129" s="1463"/>
      <c r="Y129" s="1463"/>
    </row>
    <row r="130" spans="1:25">
      <c r="A130" s="2263"/>
      <c r="B130" s="2263"/>
      <c r="C130" s="2263"/>
      <c r="D130" s="2263"/>
      <c r="E130" s="1462"/>
      <c r="I130" s="1453"/>
      <c r="J130" s="1453"/>
      <c r="K130" s="1453"/>
      <c r="L130" s="1453"/>
      <c r="M130" s="1453"/>
      <c r="N130" s="1453"/>
      <c r="O130" s="1453"/>
      <c r="P130" s="1526"/>
      <c r="R130" s="1463"/>
      <c r="S130" s="1463"/>
      <c r="T130" s="1463"/>
      <c r="U130" s="1463"/>
      <c r="V130" s="1463"/>
      <c r="W130" s="1463"/>
      <c r="X130" s="1463"/>
      <c r="Y130" s="1463"/>
    </row>
    <row r="131" spans="1:25">
      <c r="A131" s="2263"/>
      <c r="B131" s="2263"/>
      <c r="C131" s="2263"/>
      <c r="D131" s="2263"/>
      <c r="E131" s="1462"/>
      <c r="I131" s="1453"/>
      <c r="J131" s="1453"/>
      <c r="K131" s="1453"/>
      <c r="L131" s="1453"/>
      <c r="M131" s="1453"/>
      <c r="N131" s="1453"/>
      <c r="O131" s="1453"/>
      <c r="P131" s="1526"/>
      <c r="R131" s="1463"/>
      <c r="S131" s="1463"/>
      <c r="T131" s="1463"/>
      <c r="U131" s="1463"/>
      <c r="V131" s="1463"/>
      <c r="W131" s="1463"/>
      <c r="X131" s="1463"/>
      <c r="Y131" s="1463"/>
    </row>
    <row r="132" spans="1:25">
      <c r="A132" s="2263"/>
      <c r="B132" s="2263"/>
      <c r="C132" s="2263"/>
      <c r="D132" s="2263"/>
      <c r="E132" s="1462"/>
      <c r="I132" s="1453"/>
      <c r="J132" s="1453"/>
      <c r="K132" s="1453"/>
      <c r="L132" s="1453"/>
      <c r="M132" s="1453"/>
      <c r="N132" s="1453"/>
      <c r="O132" s="1453"/>
      <c r="P132" s="1526"/>
      <c r="R132" s="1463"/>
      <c r="S132" s="1463"/>
      <c r="T132" s="1463"/>
      <c r="U132" s="1463"/>
      <c r="V132" s="1463"/>
      <c r="W132" s="1463"/>
      <c r="X132" s="1463"/>
      <c r="Y132" s="1463"/>
    </row>
    <row r="133" spans="1:25">
      <c r="A133" s="2263"/>
      <c r="B133" s="2263"/>
      <c r="C133" s="2263"/>
      <c r="D133" s="2263"/>
      <c r="E133" s="1462"/>
      <c r="I133" s="1453"/>
      <c r="J133" s="1453"/>
      <c r="K133" s="1453"/>
      <c r="L133" s="1453"/>
      <c r="M133" s="1453"/>
      <c r="N133" s="1453"/>
      <c r="O133" s="1453"/>
      <c r="P133" s="1526"/>
      <c r="R133" s="1463"/>
      <c r="S133" s="1463"/>
      <c r="T133" s="1463"/>
      <c r="U133" s="1463"/>
      <c r="V133" s="1463"/>
      <c r="W133" s="1463"/>
      <c r="X133" s="1463"/>
      <c r="Y133" s="1463"/>
    </row>
    <row r="134" spans="1:25">
      <c r="A134" s="2263"/>
      <c r="B134" s="2263"/>
      <c r="C134" s="2263"/>
      <c r="D134" s="2263"/>
      <c r="E134" s="1462"/>
      <c r="I134" s="1453"/>
      <c r="J134" s="1453"/>
      <c r="K134" s="1453"/>
      <c r="L134" s="1453"/>
      <c r="M134" s="1453"/>
      <c r="N134" s="1453"/>
      <c r="O134" s="1453"/>
      <c r="P134" s="1526"/>
      <c r="R134" s="1463"/>
      <c r="S134" s="1463"/>
      <c r="T134" s="1463"/>
      <c r="U134" s="1463"/>
      <c r="V134" s="1463"/>
      <c r="W134" s="1463"/>
      <c r="X134" s="1463"/>
      <c r="Y134" s="1463"/>
    </row>
    <row r="135" spans="1:25">
      <c r="A135" s="2263"/>
      <c r="B135" s="2263"/>
      <c r="C135" s="2263"/>
      <c r="D135" s="2263"/>
      <c r="E135" s="1462"/>
      <c r="I135" s="1453"/>
      <c r="J135" s="1453"/>
      <c r="K135" s="1453"/>
      <c r="L135" s="1453"/>
      <c r="M135" s="1453"/>
      <c r="N135" s="1453"/>
      <c r="O135" s="1453"/>
      <c r="P135" s="1526"/>
      <c r="R135" s="1463"/>
      <c r="S135" s="1463"/>
      <c r="T135" s="1463"/>
      <c r="U135" s="1463"/>
      <c r="V135" s="1463"/>
      <c r="W135" s="1463"/>
      <c r="X135" s="1463"/>
      <c r="Y135" s="1463"/>
    </row>
    <row r="136" spans="1:25">
      <c r="A136" s="2263"/>
      <c r="B136" s="2263"/>
      <c r="C136" s="2263"/>
      <c r="D136" s="2263"/>
      <c r="E136" s="1462"/>
      <c r="I136" s="1453"/>
      <c r="J136" s="1453"/>
      <c r="K136" s="1453"/>
      <c r="L136" s="1453"/>
      <c r="M136" s="1453"/>
      <c r="N136" s="1453"/>
      <c r="O136" s="1453"/>
      <c r="P136" s="1526"/>
      <c r="R136" s="1463"/>
      <c r="S136" s="1463"/>
      <c r="T136" s="1463"/>
      <c r="U136" s="1463"/>
      <c r="V136" s="1463"/>
      <c r="W136" s="1463"/>
      <c r="X136" s="1463"/>
      <c r="Y136" s="1463"/>
    </row>
    <row r="137" spans="1:25">
      <c r="A137" s="2263"/>
      <c r="B137" s="2263"/>
      <c r="C137" s="2263"/>
      <c r="D137" s="2263"/>
      <c r="E137" s="1462"/>
      <c r="I137" s="1453"/>
      <c r="J137" s="1453"/>
      <c r="K137" s="1453"/>
      <c r="L137" s="1453"/>
      <c r="M137" s="1453"/>
      <c r="N137" s="1453"/>
      <c r="O137" s="1453"/>
      <c r="P137" s="1526"/>
      <c r="R137" s="1463"/>
      <c r="S137" s="1463"/>
      <c r="T137" s="1463"/>
      <c r="U137" s="1463"/>
      <c r="V137" s="1463"/>
      <c r="W137" s="1463"/>
      <c r="X137" s="1463"/>
      <c r="Y137" s="1463"/>
    </row>
    <row r="138" spans="1:25">
      <c r="A138" s="2263"/>
      <c r="B138" s="2263"/>
      <c r="C138" s="2263"/>
      <c r="D138" s="2263"/>
      <c r="E138" s="1462"/>
      <c r="I138" s="1453"/>
      <c r="J138" s="1453"/>
      <c r="K138" s="1453"/>
      <c r="L138" s="1453"/>
      <c r="M138" s="1453"/>
      <c r="N138" s="1453"/>
      <c r="O138" s="1453"/>
      <c r="P138" s="1526"/>
      <c r="R138" s="1463"/>
      <c r="S138" s="1463"/>
      <c r="T138" s="1463"/>
      <c r="U138" s="1463"/>
      <c r="V138" s="1463"/>
      <c r="W138" s="1463"/>
      <c r="X138" s="1463"/>
      <c r="Y138" s="1463"/>
    </row>
    <row r="139" spans="1:25">
      <c r="A139" s="2263"/>
      <c r="B139" s="2263"/>
      <c r="C139" s="2263"/>
      <c r="D139" s="2263"/>
      <c r="E139" s="1462"/>
      <c r="I139" s="1453"/>
      <c r="J139" s="1453"/>
      <c r="K139" s="1453"/>
      <c r="L139" s="1453"/>
      <c r="M139" s="1453"/>
      <c r="N139" s="1453"/>
      <c r="O139" s="1453"/>
      <c r="P139" s="1526"/>
      <c r="R139" s="1463"/>
      <c r="S139" s="1463"/>
      <c r="T139" s="1463"/>
      <c r="U139" s="1463"/>
      <c r="V139" s="1463"/>
      <c r="W139" s="1463"/>
      <c r="X139" s="1463"/>
      <c r="Y139" s="1463"/>
    </row>
    <row r="140" spans="1:25">
      <c r="A140" s="2263"/>
      <c r="B140" s="2263"/>
      <c r="C140" s="2263"/>
      <c r="D140" s="2263"/>
      <c r="E140" s="1462"/>
      <c r="I140" s="1453"/>
      <c r="J140" s="1453"/>
      <c r="K140" s="1453"/>
      <c r="L140" s="1453"/>
      <c r="M140" s="1453"/>
      <c r="N140" s="1453"/>
      <c r="O140" s="1453"/>
      <c r="P140" s="1526"/>
      <c r="R140" s="1463"/>
      <c r="S140" s="1463"/>
      <c r="T140" s="1463"/>
      <c r="U140" s="1463"/>
      <c r="V140" s="1463"/>
      <c r="W140" s="1463"/>
      <c r="X140" s="1463"/>
      <c r="Y140" s="1463"/>
    </row>
    <row r="141" spans="1:25">
      <c r="A141" s="2263"/>
      <c r="B141" s="2263"/>
      <c r="C141" s="2263"/>
      <c r="D141" s="2263"/>
      <c r="E141" s="1462"/>
      <c r="I141" s="1453"/>
      <c r="J141" s="1453"/>
      <c r="K141" s="1453"/>
      <c r="L141" s="1453"/>
      <c r="M141" s="1453"/>
      <c r="N141" s="1453"/>
      <c r="O141" s="1453"/>
      <c r="P141" s="1526"/>
      <c r="R141" s="1463"/>
      <c r="S141" s="1463"/>
      <c r="T141" s="1463"/>
      <c r="U141" s="1463"/>
      <c r="V141" s="1463"/>
      <c r="W141" s="1463"/>
      <c r="X141" s="1463"/>
      <c r="Y141" s="1463"/>
    </row>
    <row r="142" spans="1:25">
      <c r="A142" s="2263"/>
      <c r="B142" s="2263"/>
      <c r="C142" s="2263"/>
      <c r="D142" s="2263"/>
      <c r="E142" s="1462"/>
      <c r="I142" s="1453"/>
      <c r="J142" s="1453"/>
      <c r="K142" s="1453"/>
      <c r="L142" s="1453"/>
      <c r="M142" s="1453"/>
      <c r="N142" s="1453"/>
      <c r="O142" s="1453"/>
      <c r="P142" s="1526"/>
      <c r="R142" s="1463"/>
      <c r="S142" s="1463"/>
      <c r="T142" s="1463"/>
      <c r="U142" s="1463"/>
      <c r="V142" s="1463"/>
      <c r="W142" s="1463"/>
      <c r="X142" s="1463"/>
      <c r="Y142" s="1463"/>
    </row>
    <row r="143" spans="1:25">
      <c r="A143" s="2263"/>
      <c r="B143" s="2263"/>
      <c r="C143" s="2263"/>
      <c r="D143" s="2263"/>
      <c r="E143" s="1462"/>
      <c r="I143" s="1453"/>
      <c r="J143" s="1453"/>
      <c r="K143" s="1453"/>
      <c r="L143" s="1453"/>
      <c r="M143" s="1453"/>
      <c r="N143" s="1453"/>
      <c r="O143" s="1453"/>
      <c r="P143" s="1526"/>
      <c r="R143" s="1463"/>
      <c r="S143" s="1463"/>
      <c r="T143" s="1463"/>
      <c r="U143" s="1463"/>
      <c r="V143" s="1463"/>
      <c r="W143" s="1463"/>
      <c r="X143" s="1463"/>
      <c r="Y143" s="1463"/>
    </row>
    <row r="144" spans="1:25">
      <c r="A144" s="2263"/>
      <c r="B144" s="2263"/>
      <c r="C144" s="2263"/>
      <c r="D144" s="2263"/>
      <c r="E144" s="1462"/>
      <c r="I144" s="1453"/>
      <c r="J144" s="1453"/>
      <c r="K144" s="1453"/>
      <c r="L144" s="1453"/>
      <c r="M144" s="1453"/>
      <c r="N144" s="1453"/>
      <c r="O144" s="1453"/>
      <c r="P144" s="1526"/>
      <c r="R144" s="1463"/>
      <c r="S144" s="1463"/>
      <c r="T144" s="1463"/>
      <c r="U144" s="1463"/>
      <c r="V144" s="1463"/>
      <c r="W144" s="1463"/>
      <c r="X144" s="1463"/>
      <c r="Y144" s="1463"/>
    </row>
    <row r="145" spans="1:25">
      <c r="A145" s="2263"/>
      <c r="B145" s="2263"/>
      <c r="C145" s="2263"/>
      <c r="D145" s="2263"/>
      <c r="E145" s="1462"/>
      <c r="I145" s="1453"/>
      <c r="J145" s="1453"/>
      <c r="K145" s="1453"/>
      <c r="L145" s="1453"/>
      <c r="M145" s="1453"/>
      <c r="N145" s="1453"/>
      <c r="O145" s="1453"/>
      <c r="P145" s="1526"/>
      <c r="R145" s="1463"/>
      <c r="S145" s="1463"/>
      <c r="T145" s="1463"/>
      <c r="U145" s="1463"/>
      <c r="V145" s="1463"/>
      <c r="W145" s="1463"/>
      <c r="X145" s="1463"/>
      <c r="Y145" s="1463"/>
    </row>
    <row r="146" spans="1:25">
      <c r="A146" s="2263"/>
      <c r="B146" s="2263"/>
      <c r="C146" s="2263"/>
      <c r="D146" s="2263"/>
      <c r="E146" s="1462"/>
      <c r="I146" s="1453"/>
      <c r="J146" s="1453"/>
      <c r="K146" s="1453"/>
      <c r="L146" s="1453"/>
      <c r="M146" s="1453"/>
      <c r="N146" s="1453"/>
      <c r="O146" s="1453"/>
      <c r="P146" s="1526"/>
      <c r="R146" s="1463"/>
      <c r="S146" s="1463"/>
      <c r="T146" s="1463"/>
      <c r="U146" s="1463"/>
      <c r="V146" s="1463"/>
      <c r="W146" s="1463"/>
      <c r="X146" s="1463"/>
      <c r="Y146" s="1463"/>
    </row>
    <row r="147" spans="1:25">
      <c r="A147" s="2263"/>
      <c r="B147" s="2263"/>
      <c r="C147" s="2263"/>
      <c r="D147" s="2263"/>
      <c r="E147" s="1462"/>
      <c r="I147" s="1453"/>
      <c r="J147" s="1453"/>
      <c r="K147" s="1453"/>
      <c r="L147" s="1453"/>
      <c r="M147" s="1453"/>
      <c r="N147" s="1453"/>
      <c r="O147" s="1453"/>
      <c r="P147" s="1526"/>
      <c r="R147" s="1463"/>
      <c r="S147" s="1463"/>
      <c r="T147" s="1463"/>
      <c r="U147" s="1463"/>
      <c r="V147" s="1463"/>
      <c r="W147" s="1463"/>
      <c r="X147" s="1463"/>
      <c r="Y147" s="1463"/>
    </row>
    <row r="148" spans="1:25">
      <c r="A148" s="2263"/>
      <c r="B148" s="2263"/>
      <c r="C148" s="2263"/>
      <c r="D148" s="2263"/>
      <c r="E148" s="1462"/>
      <c r="I148" s="1453"/>
      <c r="J148" s="1453"/>
      <c r="K148" s="1453"/>
      <c r="L148" s="1453"/>
      <c r="M148" s="1453"/>
      <c r="N148" s="1453"/>
      <c r="O148" s="1453"/>
      <c r="P148" s="1526"/>
      <c r="R148" s="1463"/>
      <c r="S148" s="1463"/>
      <c r="T148" s="1463"/>
      <c r="U148" s="1463"/>
      <c r="V148" s="1463"/>
      <c r="W148" s="1463"/>
      <c r="X148" s="1463"/>
      <c r="Y148" s="1463"/>
    </row>
    <row r="149" spans="1:25">
      <c r="A149" s="2263"/>
      <c r="B149" s="2263"/>
      <c r="C149" s="2263"/>
      <c r="D149" s="2263"/>
      <c r="E149" s="1462"/>
      <c r="I149" s="1453"/>
      <c r="J149" s="1453"/>
      <c r="K149" s="1453"/>
      <c r="L149" s="1453"/>
      <c r="M149" s="1453"/>
      <c r="N149" s="1453"/>
      <c r="O149" s="1453"/>
      <c r="P149" s="1526"/>
      <c r="R149" s="1463"/>
      <c r="S149" s="1463"/>
      <c r="T149" s="1463"/>
      <c r="U149" s="1463"/>
      <c r="V149" s="1463"/>
      <c r="W149" s="1463"/>
      <c r="X149" s="1463"/>
      <c r="Y149" s="1463"/>
    </row>
    <row r="150" spans="1:25">
      <c r="A150" s="2263"/>
      <c r="B150" s="2263"/>
      <c r="C150" s="2263"/>
      <c r="D150" s="2263"/>
      <c r="E150" s="1462"/>
      <c r="I150" s="1453"/>
      <c r="J150" s="1453"/>
      <c r="K150" s="1453"/>
      <c r="L150" s="1453"/>
      <c r="M150" s="1453"/>
      <c r="N150" s="1453"/>
      <c r="O150" s="1453"/>
      <c r="P150" s="1526"/>
      <c r="R150" s="1463"/>
      <c r="S150" s="1463"/>
      <c r="T150" s="1463"/>
      <c r="U150" s="1463"/>
      <c r="V150" s="1463"/>
      <c r="W150" s="1463"/>
      <c r="X150" s="1463"/>
      <c r="Y150" s="1463"/>
    </row>
    <row r="151" spans="1:25">
      <c r="A151" s="2263"/>
      <c r="B151" s="2263"/>
      <c r="C151" s="2263"/>
      <c r="D151" s="2263"/>
      <c r="E151" s="1462"/>
      <c r="I151" s="1453"/>
      <c r="J151" s="1453"/>
      <c r="K151" s="1453"/>
      <c r="L151" s="1453"/>
      <c r="M151" s="1453"/>
      <c r="N151" s="1453"/>
      <c r="O151" s="1453"/>
      <c r="P151" s="1526"/>
      <c r="R151" s="1463"/>
      <c r="S151" s="1463"/>
      <c r="T151" s="1463"/>
      <c r="U151" s="1463"/>
      <c r="V151" s="1463"/>
      <c r="W151" s="1463"/>
      <c r="X151" s="1463"/>
      <c r="Y151" s="1463"/>
    </row>
    <row r="152" spans="1:25">
      <c r="A152" s="2263"/>
      <c r="B152" s="2263"/>
      <c r="C152" s="2263"/>
      <c r="D152" s="2263"/>
      <c r="E152" s="1462"/>
      <c r="I152" s="1453"/>
      <c r="J152" s="1453"/>
      <c r="K152" s="1453"/>
      <c r="L152" s="1453"/>
      <c r="M152" s="1453"/>
      <c r="N152" s="1453"/>
      <c r="O152" s="1453"/>
      <c r="P152" s="1526"/>
      <c r="R152" s="1463"/>
      <c r="S152" s="1463"/>
      <c r="T152" s="1463"/>
      <c r="U152" s="1463"/>
      <c r="V152" s="1463"/>
      <c r="W152" s="1463"/>
      <c r="X152" s="1463"/>
      <c r="Y152" s="1463"/>
    </row>
    <row r="153" spans="1:25">
      <c r="A153" s="2263"/>
      <c r="B153" s="2263"/>
      <c r="C153" s="2263"/>
      <c r="D153" s="2263"/>
      <c r="E153" s="1462"/>
      <c r="I153" s="1453"/>
      <c r="J153" s="1453"/>
      <c r="K153" s="1453"/>
      <c r="L153" s="1453"/>
      <c r="M153" s="1453"/>
      <c r="N153" s="1453"/>
      <c r="O153" s="1453"/>
      <c r="P153" s="1526"/>
      <c r="R153" s="1463"/>
      <c r="S153" s="1463"/>
      <c r="T153" s="1463"/>
      <c r="U153" s="1463"/>
      <c r="V153" s="1463"/>
      <c r="W153" s="1463"/>
      <c r="X153" s="1463"/>
      <c r="Y153" s="1463"/>
    </row>
    <row r="154" spans="1:25">
      <c r="A154" s="2263"/>
      <c r="B154" s="2263"/>
      <c r="C154" s="2263"/>
      <c r="D154" s="2263"/>
      <c r="E154" s="1462"/>
      <c r="I154" s="1453"/>
      <c r="J154" s="1453"/>
      <c r="K154" s="1453"/>
      <c r="L154" s="1453"/>
      <c r="M154" s="1453"/>
      <c r="N154" s="1453"/>
      <c r="O154" s="1453"/>
      <c r="P154" s="1526"/>
      <c r="R154" s="1463"/>
      <c r="S154" s="1463"/>
      <c r="T154" s="1463"/>
      <c r="U154" s="1463"/>
      <c r="V154" s="1463"/>
      <c r="W154" s="1463"/>
      <c r="X154" s="1463"/>
      <c r="Y154" s="1463"/>
    </row>
    <row r="155" spans="1:25">
      <c r="A155" s="2263"/>
      <c r="B155" s="2263"/>
      <c r="C155" s="2263"/>
      <c r="D155" s="2263"/>
      <c r="E155" s="1462"/>
      <c r="I155" s="1453"/>
      <c r="J155" s="1453"/>
      <c r="K155" s="1453"/>
      <c r="L155" s="1453"/>
      <c r="M155" s="1453"/>
      <c r="N155" s="1453"/>
      <c r="O155" s="1453"/>
      <c r="P155" s="1526"/>
      <c r="R155" s="1463"/>
      <c r="S155" s="1463"/>
      <c r="T155" s="1463"/>
      <c r="U155" s="1463"/>
      <c r="V155" s="1463"/>
      <c r="W155" s="1463"/>
      <c r="X155" s="1463"/>
      <c r="Y155" s="1463"/>
    </row>
    <row r="156" spans="1:25">
      <c r="A156" s="2263"/>
      <c r="B156" s="2263"/>
      <c r="C156" s="2263"/>
      <c r="D156" s="2263"/>
      <c r="E156" s="1462"/>
      <c r="I156" s="1453"/>
      <c r="J156" s="1453"/>
      <c r="K156" s="1453"/>
      <c r="L156" s="1453"/>
      <c r="M156" s="1453"/>
      <c r="N156" s="1453"/>
      <c r="O156" s="1453"/>
      <c r="P156" s="1526"/>
      <c r="R156" s="1463"/>
      <c r="S156" s="1463"/>
      <c r="T156" s="1463"/>
      <c r="U156" s="1463"/>
      <c r="V156" s="1463"/>
      <c r="W156" s="1463"/>
      <c r="X156" s="1463"/>
      <c r="Y156" s="1463"/>
    </row>
    <row r="157" spans="1:25">
      <c r="A157" s="2263"/>
      <c r="B157" s="2263"/>
      <c r="C157" s="2263"/>
      <c r="D157" s="2263"/>
      <c r="E157" s="1462"/>
      <c r="I157" s="1453"/>
      <c r="J157" s="1453"/>
      <c r="K157" s="1453"/>
      <c r="L157" s="1453"/>
      <c r="M157" s="1453"/>
      <c r="N157" s="1453"/>
      <c r="O157" s="1453"/>
      <c r="P157" s="1526"/>
      <c r="R157" s="1463"/>
      <c r="S157" s="1463"/>
      <c r="T157" s="1463"/>
      <c r="U157" s="1463"/>
      <c r="V157" s="1463"/>
      <c r="W157" s="1463"/>
      <c r="X157" s="1463"/>
      <c r="Y157" s="1463"/>
    </row>
    <row r="158" spans="1:25">
      <c r="A158" s="2263"/>
      <c r="B158" s="2263"/>
      <c r="C158" s="2263"/>
      <c r="D158" s="2263"/>
      <c r="E158" s="1462"/>
      <c r="I158" s="1453"/>
      <c r="J158" s="1453"/>
      <c r="K158" s="1453"/>
      <c r="L158" s="1453"/>
      <c r="M158" s="1453"/>
      <c r="N158" s="1453"/>
      <c r="O158" s="1453"/>
      <c r="P158" s="1526"/>
      <c r="R158" s="1463"/>
      <c r="S158" s="1463"/>
      <c r="T158" s="1463"/>
      <c r="U158" s="1463"/>
      <c r="V158" s="1463"/>
      <c r="W158" s="1463"/>
      <c r="X158" s="1463"/>
      <c r="Y158" s="1463"/>
    </row>
    <row r="159" spans="1:25">
      <c r="A159" s="2263"/>
      <c r="B159" s="2263"/>
      <c r="C159" s="2263"/>
      <c r="D159" s="2263"/>
      <c r="E159" s="1462"/>
      <c r="I159" s="1453"/>
      <c r="J159" s="1453"/>
      <c r="K159" s="1453"/>
      <c r="L159" s="1453"/>
      <c r="M159" s="1453"/>
      <c r="N159" s="1453"/>
      <c r="O159" s="1453"/>
      <c r="P159" s="1526"/>
      <c r="R159" s="1463"/>
      <c r="S159" s="1463"/>
      <c r="T159" s="1463"/>
      <c r="U159" s="1463"/>
      <c r="V159" s="1463"/>
      <c r="W159" s="1463"/>
      <c r="X159" s="1463"/>
      <c r="Y159" s="1463"/>
    </row>
    <row r="160" spans="1:25">
      <c r="A160" s="2263"/>
      <c r="B160" s="2263"/>
      <c r="C160" s="2263"/>
      <c r="D160" s="2263"/>
      <c r="E160" s="1462"/>
      <c r="I160" s="1453"/>
      <c r="J160" s="1453"/>
      <c r="K160" s="1453"/>
      <c r="L160" s="1453"/>
      <c r="M160" s="1453"/>
      <c r="N160" s="1453"/>
      <c r="O160" s="1453"/>
      <c r="P160" s="1526"/>
      <c r="R160" s="1463"/>
      <c r="S160" s="1463"/>
      <c r="T160" s="1463"/>
      <c r="U160" s="1463"/>
      <c r="V160" s="1463"/>
      <c r="W160" s="1463"/>
      <c r="X160" s="1463"/>
      <c r="Y160" s="1463"/>
    </row>
    <row r="161" spans="1:25">
      <c r="A161" s="2263"/>
      <c r="B161" s="2263"/>
      <c r="C161" s="2263"/>
      <c r="D161" s="2263"/>
      <c r="E161" s="1462"/>
      <c r="I161" s="1453"/>
      <c r="J161" s="1453"/>
      <c r="K161" s="1453"/>
      <c r="L161" s="1453"/>
      <c r="M161" s="1453"/>
      <c r="N161" s="1453"/>
      <c r="O161" s="1453"/>
      <c r="P161" s="1526"/>
      <c r="R161" s="1463"/>
      <c r="S161" s="1463"/>
      <c r="T161" s="1463"/>
      <c r="U161" s="1463"/>
      <c r="V161" s="1463"/>
      <c r="W161" s="1463"/>
      <c r="X161" s="1463"/>
      <c r="Y161" s="1463"/>
    </row>
    <row r="162" spans="1:25">
      <c r="A162" s="2263"/>
      <c r="B162" s="2263"/>
      <c r="C162" s="2263"/>
      <c r="D162" s="2263"/>
      <c r="E162" s="1462"/>
      <c r="I162" s="1453"/>
      <c r="J162" s="1453"/>
      <c r="K162" s="1453"/>
      <c r="L162" s="1453"/>
      <c r="M162" s="1453"/>
      <c r="N162" s="1453"/>
      <c r="O162" s="1453"/>
      <c r="P162" s="1526"/>
      <c r="R162" s="1463"/>
      <c r="S162" s="1463"/>
      <c r="T162" s="1463"/>
      <c r="U162" s="1463"/>
      <c r="V162" s="1463"/>
      <c r="W162" s="1463"/>
      <c r="X162" s="1463"/>
      <c r="Y162" s="1463"/>
    </row>
    <row r="163" spans="1:25">
      <c r="A163" s="2263"/>
      <c r="B163" s="2263"/>
      <c r="C163" s="2263"/>
      <c r="D163" s="2263"/>
      <c r="E163" s="1462"/>
      <c r="I163" s="1453"/>
      <c r="J163" s="1453"/>
      <c r="K163" s="1453"/>
      <c r="L163" s="1453"/>
      <c r="M163" s="1453"/>
      <c r="N163" s="1453"/>
      <c r="O163" s="1453"/>
      <c r="P163" s="1526"/>
      <c r="R163" s="1463"/>
      <c r="S163" s="1463"/>
      <c r="T163" s="1463"/>
      <c r="U163" s="1463"/>
      <c r="V163" s="1463"/>
      <c r="W163" s="1463"/>
      <c r="X163" s="1463"/>
      <c r="Y163" s="1463"/>
    </row>
    <row r="164" spans="1:25">
      <c r="A164" s="2263"/>
      <c r="B164" s="2263"/>
      <c r="C164" s="2263"/>
      <c r="D164" s="2263"/>
      <c r="E164" s="1462"/>
      <c r="I164" s="1453"/>
      <c r="J164" s="1453"/>
      <c r="K164" s="1453"/>
      <c r="L164" s="1453"/>
      <c r="M164" s="1453"/>
      <c r="N164" s="1453"/>
      <c r="O164" s="1453"/>
      <c r="P164" s="1526"/>
      <c r="R164" s="1463"/>
      <c r="S164" s="1463"/>
      <c r="T164" s="1463"/>
      <c r="U164" s="1463"/>
      <c r="V164" s="1463"/>
      <c r="W164" s="1463"/>
      <c r="X164" s="1463"/>
      <c r="Y164" s="1463"/>
    </row>
    <row r="165" spans="1:25">
      <c r="A165" s="2263"/>
      <c r="B165" s="2263"/>
      <c r="C165" s="2263"/>
      <c r="D165" s="2263"/>
      <c r="E165" s="1462"/>
      <c r="I165" s="1453"/>
      <c r="J165" s="1453"/>
      <c r="K165" s="1453"/>
      <c r="L165" s="1453"/>
      <c r="M165" s="1453"/>
      <c r="N165" s="1453"/>
      <c r="O165" s="1453"/>
      <c r="P165" s="1526"/>
      <c r="R165" s="1463"/>
      <c r="S165" s="1463"/>
      <c r="T165" s="1463"/>
      <c r="U165" s="1463"/>
      <c r="V165" s="1463"/>
      <c r="W165" s="1463"/>
      <c r="X165" s="1463"/>
      <c r="Y165" s="1463"/>
    </row>
    <row r="166" spans="1:25">
      <c r="A166" s="2263"/>
      <c r="B166" s="2263"/>
      <c r="C166" s="2263"/>
      <c r="D166" s="2263"/>
      <c r="E166" s="1462"/>
      <c r="I166" s="1453"/>
      <c r="J166" s="1453"/>
      <c r="K166" s="1453"/>
      <c r="L166" s="1453"/>
      <c r="M166" s="1453"/>
      <c r="N166" s="1453"/>
      <c r="O166" s="1453"/>
      <c r="P166" s="1526"/>
      <c r="R166" s="1463"/>
      <c r="S166" s="1463"/>
      <c r="T166" s="1463"/>
      <c r="U166" s="1463"/>
      <c r="V166" s="1463"/>
      <c r="W166" s="1463"/>
      <c r="X166" s="1463"/>
      <c r="Y166" s="1463"/>
    </row>
    <row r="167" spans="1:25">
      <c r="A167" s="2263"/>
      <c r="B167" s="2263"/>
      <c r="C167" s="2263"/>
      <c r="D167" s="2263"/>
      <c r="E167" s="1462"/>
      <c r="I167" s="1453"/>
      <c r="J167" s="1453"/>
      <c r="K167" s="1453"/>
      <c r="L167" s="1453"/>
      <c r="M167" s="1453"/>
      <c r="N167" s="1453"/>
      <c r="O167" s="1453"/>
      <c r="P167" s="1526"/>
      <c r="R167" s="1463"/>
      <c r="S167" s="1463"/>
      <c r="T167" s="1463"/>
      <c r="U167" s="1463"/>
      <c r="V167" s="1463"/>
      <c r="W167" s="1463"/>
      <c r="X167" s="1463"/>
      <c r="Y167" s="1463"/>
    </row>
    <row r="168" spans="1:25">
      <c r="A168" s="2263"/>
      <c r="B168" s="2263"/>
      <c r="C168" s="2263"/>
      <c r="D168" s="2263"/>
      <c r="E168" s="1462"/>
      <c r="I168" s="1453"/>
      <c r="J168" s="1453"/>
      <c r="K168" s="1453"/>
      <c r="L168" s="1453"/>
      <c r="M168" s="1453"/>
      <c r="N168" s="1453"/>
      <c r="O168" s="1453"/>
      <c r="P168" s="1526"/>
      <c r="R168" s="1463"/>
      <c r="S168" s="1463"/>
      <c r="T168" s="1463"/>
      <c r="U168" s="1463"/>
      <c r="V168" s="1463"/>
      <c r="W168" s="1463"/>
      <c r="X168" s="1463"/>
      <c r="Y168" s="1463"/>
    </row>
    <row r="169" spans="1:25">
      <c r="A169" s="2263"/>
      <c r="B169" s="2263"/>
      <c r="C169" s="2263"/>
      <c r="D169" s="2263"/>
      <c r="E169" s="1462"/>
      <c r="I169" s="1453"/>
      <c r="J169" s="1453"/>
      <c r="K169" s="1453"/>
      <c r="L169" s="1453"/>
      <c r="M169" s="1453"/>
      <c r="N169" s="1453"/>
      <c r="O169" s="1453"/>
      <c r="P169" s="1526"/>
      <c r="R169" s="1463"/>
      <c r="S169" s="1463"/>
      <c r="T169" s="1463"/>
      <c r="U169" s="1463"/>
      <c r="V169" s="1463"/>
      <c r="W169" s="1463"/>
      <c r="X169" s="1463"/>
      <c r="Y169" s="1463"/>
    </row>
    <row r="170" spans="1:25">
      <c r="A170" s="2263"/>
      <c r="B170" s="2263"/>
      <c r="C170" s="2263"/>
      <c r="D170" s="2263"/>
      <c r="E170" s="1462"/>
      <c r="I170" s="1453"/>
      <c r="J170" s="1453"/>
      <c r="K170" s="1453"/>
      <c r="L170" s="1453"/>
      <c r="M170" s="1453"/>
      <c r="N170" s="1453"/>
      <c r="O170" s="1453"/>
      <c r="P170" s="1526"/>
      <c r="R170" s="1463"/>
      <c r="S170" s="1463"/>
      <c r="T170" s="1463"/>
      <c r="U170" s="1463"/>
      <c r="V170" s="1463"/>
      <c r="W170" s="1463"/>
      <c r="X170" s="1463"/>
      <c r="Y170" s="1463"/>
    </row>
    <row r="171" spans="1:25">
      <c r="A171" s="2263"/>
      <c r="B171" s="2263"/>
      <c r="C171" s="2263"/>
      <c r="D171" s="2263"/>
      <c r="E171" s="1462"/>
      <c r="I171" s="1453"/>
      <c r="J171" s="1453"/>
      <c r="K171" s="1453"/>
      <c r="L171" s="1453"/>
      <c r="M171" s="1453"/>
      <c r="N171" s="1453"/>
      <c r="O171" s="1453"/>
      <c r="P171" s="1526"/>
      <c r="R171" s="1463"/>
      <c r="S171" s="1463"/>
      <c r="T171" s="1463"/>
      <c r="U171" s="1463"/>
      <c r="V171" s="1463"/>
      <c r="W171" s="1463"/>
      <c r="X171" s="1463"/>
      <c r="Y171" s="1463"/>
    </row>
    <row r="172" spans="1:25">
      <c r="A172" s="2263"/>
      <c r="B172" s="2263"/>
      <c r="C172" s="2263"/>
      <c r="D172" s="2263"/>
      <c r="E172" s="1462"/>
      <c r="I172" s="1453"/>
      <c r="J172" s="1453"/>
      <c r="K172" s="1453"/>
      <c r="L172" s="1453"/>
      <c r="M172" s="1453"/>
      <c r="N172" s="1453"/>
      <c r="O172" s="1453"/>
      <c r="P172" s="1526"/>
      <c r="R172" s="1463"/>
      <c r="S172" s="1463"/>
      <c r="T172" s="1463"/>
      <c r="U172" s="1463"/>
      <c r="V172" s="1463"/>
      <c r="W172" s="1463"/>
      <c r="X172" s="1463"/>
      <c r="Y172" s="1463"/>
    </row>
    <row r="173" spans="1:25">
      <c r="A173" s="2263"/>
      <c r="B173" s="2263"/>
      <c r="C173" s="2263"/>
      <c r="D173" s="2263"/>
      <c r="E173" s="1462"/>
      <c r="I173" s="1453"/>
      <c r="J173" s="1453"/>
      <c r="K173" s="1453"/>
      <c r="L173" s="1453"/>
      <c r="M173" s="1453"/>
      <c r="N173" s="1453"/>
      <c r="O173" s="1453"/>
      <c r="P173" s="1526"/>
      <c r="R173" s="1463"/>
      <c r="S173" s="1463"/>
      <c r="T173" s="1463"/>
      <c r="U173" s="1463"/>
      <c r="V173" s="1463"/>
      <c r="W173" s="1463"/>
      <c r="X173" s="1463"/>
      <c r="Y173" s="1463"/>
    </row>
    <row r="174" spans="1:25">
      <c r="A174" s="2263"/>
      <c r="B174" s="2263"/>
      <c r="C174" s="2263"/>
      <c r="D174" s="2263"/>
      <c r="E174" s="1462"/>
      <c r="I174" s="1453"/>
      <c r="J174" s="1453"/>
      <c r="K174" s="1453"/>
      <c r="L174" s="1453"/>
      <c r="M174" s="1453"/>
      <c r="N174" s="1453"/>
      <c r="O174" s="1453"/>
      <c r="P174" s="1526"/>
      <c r="R174" s="1463"/>
      <c r="S174" s="1463"/>
      <c r="T174" s="1463"/>
      <c r="U174" s="1463"/>
      <c r="V174" s="1463"/>
      <c r="W174" s="1463"/>
      <c r="X174" s="1463"/>
      <c r="Y174" s="1463"/>
    </row>
    <row r="175" spans="1:25">
      <c r="A175" s="2263"/>
      <c r="B175" s="2263"/>
      <c r="C175" s="2263"/>
      <c r="D175" s="2263"/>
      <c r="E175" s="1462"/>
      <c r="I175" s="1453"/>
      <c r="J175" s="1453"/>
      <c r="K175" s="1453"/>
      <c r="L175" s="1453"/>
      <c r="M175" s="1453"/>
      <c r="N175" s="1453"/>
      <c r="O175" s="1453"/>
      <c r="P175" s="1526"/>
      <c r="R175" s="1463"/>
      <c r="S175" s="1463"/>
      <c r="T175" s="1463"/>
      <c r="U175" s="1463"/>
      <c r="V175" s="1463"/>
      <c r="W175" s="1463"/>
      <c r="X175" s="1463"/>
      <c r="Y175" s="1463"/>
    </row>
    <row r="176" spans="1:25">
      <c r="A176" s="2263"/>
      <c r="B176" s="2263"/>
      <c r="C176" s="2263"/>
      <c r="D176" s="2263"/>
      <c r="E176" s="1462"/>
      <c r="I176" s="1453"/>
      <c r="J176" s="1453"/>
      <c r="K176" s="1453"/>
      <c r="L176" s="1453"/>
      <c r="M176" s="1453"/>
      <c r="N176" s="1453"/>
      <c r="O176" s="1453"/>
      <c r="P176" s="1526"/>
      <c r="R176" s="1463"/>
      <c r="S176" s="1463"/>
      <c r="T176" s="1463"/>
      <c r="U176" s="1463"/>
      <c r="V176" s="1463"/>
      <c r="W176" s="1463"/>
      <c r="X176" s="1463"/>
      <c r="Y176" s="1463"/>
    </row>
    <row r="177" spans="1:25">
      <c r="A177" s="2263"/>
      <c r="B177" s="2263"/>
      <c r="C177" s="2263"/>
      <c r="D177" s="2263"/>
      <c r="E177" s="1462"/>
      <c r="I177" s="1453"/>
      <c r="J177" s="1453"/>
      <c r="K177" s="1453"/>
      <c r="L177" s="1453"/>
      <c r="M177" s="1453"/>
      <c r="N177" s="1453"/>
      <c r="O177" s="1453"/>
      <c r="P177" s="1526"/>
      <c r="R177" s="1463"/>
      <c r="S177" s="1463"/>
      <c r="T177" s="1463"/>
      <c r="U177" s="1463"/>
      <c r="V177" s="1463"/>
      <c r="W177" s="1463"/>
      <c r="X177" s="1463"/>
      <c r="Y177" s="1463"/>
    </row>
    <row r="178" spans="1:25">
      <c r="A178" s="2263"/>
      <c r="B178" s="2263"/>
      <c r="C178" s="2263"/>
      <c r="D178" s="2263"/>
      <c r="E178" s="1462"/>
      <c r="I178" s="1453"/>
      <c r="J178" s="1453"/>
      <c r="K178" s="1453"/>
      <c r="L178" s="1453"/>
      <c r="M178" s="1453"/>
      <c r="N178" s="1453"/>
      <c r="O178" s="1453"/>
      <c r="P178" s="1526"/>
      <c r="R178" s="1463"/>
      <c r="S178" s="1463"/>
      <c r="T178" s="1463"/>
      <c r="U178" s="1463"/>
      <c r="V178" s="1463"/>
      <c r="W178" s="1463"/>
      <c r="X178" s="1463"/>
      <c r="Y178" s="1463"/>
    </row>
    <row r="179" spans="1:25">
      <c r="A179" s="2263"/>
      <c r="B179" s="2263"/>
      <c r="C179" s="2263"/>
      <c r="D179" s="2263"/>
      <c r="E179" s="1462"/>
      <c r="I179" s="1453"/>
      <c r="J179" s="1453"/>
      <c r="K179" s="1453"/>
      <c r="L179" s="1453"/>
      <c r="M179" s="1453"/>
      <c r="N179" s="1453"/>
      <c r="O179" s="1453"/>
      <c r="P179" s="1526"/>
      <c r="R179" s="1463"/>
      <c r="S179" s="1463"/>
      <c r="T179" s="1463"/>
      <c r="U179" s="1463"/>
      <c r="V179" s="1463"/>
      <c r="W179" s="1463"/>
      <c r="X179" s="1463"/>
      <c r="Y179" s="1463"/>
    </row>
    <row r="180" spans="1:25">
      <c r="A180" s="2263"/>
      <c r="B180" s="2263"/>
      <c r="C180" s="2263"/>
      <c r="D180" s="2263"/>
      <c r="E180" s="1462"/>
      <c r="I180" s="1453"/>
      <c r="J180" s="1453"/>
      <c r="K180" s="1453"/>
      <c r="L180" s="1453"/>
      <c r="M180" s="1453"/>
      <c r="N180" s="1453"/>
      <c r="O180" s="1453"/>
      <c r="P180" s="1526"/>
      <c r="R180" s="1463"/>
      <c r="S180" s="1463"/>
      <c r="T180" s="1463"/>
      <c r="U180" s="1463"/>
      <c r="V180" s="1463"/>
      <c r="W180" s="1463"/>
      <c r="X180" s="1463"/>
      <c r="Y180" s="1463"/>
    </row>
    <row r="181" spans="1:25">
      <c r="A181" s="2263"/>
      <c r="B181" s="2263"/>
      <c r="C181" s="2263"/>
      <c r="D181" s="2263"/>
      <c r="E181" s="1462"/>
      <c r="I181" s="1453"/>
      <c r="J181" s="1453"/>
      <c r="K181" s="1453"/>
      <c r="L181" s="1453"/>
      <c r="M181" s="1453"/>
      <c r="N181" s="1453"/>
      <c r="O181" s="1453"/>
      <c r="P181" s="1526"/>
      <c r="R181" s="1463"/>
      <c r="S181" s="1463"/>
      <c r="T181" s="1463"/>
      <c r="U181" s="1463"/>
      <c r="V181" s="1463"/>
      <c r="W181" s="1463"/>
      <c r="X181" s="1463"/>
      <c r="Y181" s="1463"/>
    </row>
    <row r="182" spans="1:25">
      <c r="A182" s="2263"/>
      <c r="B182" s="2263"/>
      <c r="C182" s="2263"/>
      <c r="D182" s="2263"/>
      <c r="E182" s="1462"/>
      <c r="I182" s="1453"/>
      <c r="J182" s="1453"/>
      <c r="K182" s="1453"/>
      <c r="L182" s="1453"/>
      <c r="M182" s="1453"/>
      <c r="N182" s="1453"/>
      <c r="O182" s="1453"/>
      <c r="P182" s="1526"/>
      <c r="R182" s="1463"/>
      <c r="S182" s="1463"/>
      <c r="T182" s="1463"/>
      <c r="U182" s="1463"/>
      <c r="V182" s="1463"/>
      <c r="W182" s="1463"/>
      <c r="X182" s="1463"/>
      <c r="Y182" s="1463"/>
    </row>
    <row r="183" spans="1:25">
      <c r="A183" s="2263"/>
      <c r="B183" s="2263"/>
      <c r="C183" s="2263"/>
      <c r="D183" s="2263"/>
      <c r="E183" s="1462"/>
      <c r="I183" s="1453"/>
      <c r="J183" s="1453"/>
      <c r="K183" s="1453"/>
      <c r="L183" s="1453"/>
      <c r="M183" s="1453"/>
      <c r="N183" s="1453"/>
      <c r="O183" s="1453"/>
      <c r="P183" s="1526"/>
      <c r="R183" s="1463"/>
      <c r="S183" s="1463"/>
      <c r="T183" s="1463"/>
      <c r="U183" s="1463"/>
      <c r="V183" s="1463"/>
      <c r="W183" s="1463"/>
      <c r="X183" s="1463"/>
      <c r="Y183" s="1463"/>
    </row>
    <row r="184" spans="1:25">
      <c r="A184" s="2263"/>
      <c r="B184" s="2263"/>
      <c r="C184" s="2263"/>
      <c r="D184" s="2263"/>
      <c r="E184" s="1462"/>
      <c r="I184" s="1453"/>
      <c r="J184" s="1453"/>
      <c r="K184" s="1453"/>
      <c r="L184" s="1453"/>
      <c r="M184" s="1453"/>
      <c r="N184" s="1453"/>
      <c r="O184" s="1453"/>
      <c r="P184" s="1526"/>
      <c r="R184" s="1463"/>
      <c r="S184" s="1463"/>
      <c r="T184" s="1463"/>
      <c r="U184" s="1463"/>
      <c r="V184" s="1463"/>
      <c r="W184" s="1463"/>
      <c r="X184" s="1463"/>
      <c r="Y184" s="1463"/>
    </row>
    <row r="185" spans="1:25">
      <c r="A185" s="2263"/>
      <c r="B185" s="2263"/>
      <c r="C185" s="2263"/>
      <c r="D185" s="2263"/>
      <c r="E185" s="1462"/>
      <c r="I185" s="1453"/>
      <c r="J185" s="1453"/>
      <c r="K185" s="1453"/>
      <c r="L185" s="1453"/>
      <c r="M185" s="1453"/>
      <c r="N185" s="1453"/>
      <c r="O185" s="1453"/>
      <c r="P185" s="1526"/>
      <c r="R185" s="1463"/>
      <c r="S185" s="1463"/>
      <c r="T185" s="1463"/>
      <c r="U185" s="1463"/>
      <c r="V185" s="1463"/>
      <c r="W185" s="1463"/>
      <c r="X185" s="1463"/>
      <c r="Y185" s="1463"/>
    </row>
    <row r="186" spans="1:25">
      <c r="A186" s="2263"/>
      <c r="B186" s="2263"/>
      <c r="C186" s="2263"/>
      <c r="D186" s="2263"/>
      <c r="E186" s="1462"/>
      <c r="I186" s="1453"/>
      <c r="J186" s="1453"/>
      <c r="K186" s="1453"/>
      <c r="L186" s="1453"/>
      <c r="M186" s="1453"/>
      <c r="N186" s="1453"/>
      <c r="O186" s="1453"/>
      <c r="P186" s="1526"/>
      <c r="R186" s="1463"/>
      <c r="S186" s="1463"/>
      <c r="T186" s="1463"/>
      <c r="U186" s="1463"/>
      <c r="V186" s="1463"/>
      <c r="W186" s="1463"/>
      <c r="X186" s="1463"/>
      <c r="Y186" s="1463"/>
    </row>
    <row r="187" spans="1:25">
      <c r="A187" s="2263"/>
      <c r="B187" s="2263"/>
      <c r="C187" s="2263"/>
      <c r="D187" s="2263"/>
      <c r="E187" s="1462"/>
      <c r="I187" s="1453"/>
      <c r="J187" s="1453"/>
      <c r="K187" s="1453"/>
      <c r="L187" s="1453"/>
      <c r="M187" s="1453"/>
      <c r="N187" s="1453"/>
      <c r="O187" s="1453"/>
      <c r="P187" s="1526"/>
      <c r="R187" s="1463"/>
      <c r="S187" s="1463"/>
      <c r="T187" s="1463"/>
      <c r="U187" s="1463"/>
      <c r="V187" s="1463"/>
      <c r="W187" s="1463"/>
      <c r="X187" s="1463"/>
      <c r="Y187" s="1463"/>
    </row>
    <row r="188" spans="1:25">
      <c r="A188" s="2263"/>
      <c r="B188" s="2263"/>
      <c r="C188" s="2263"/>
      <c r="D188" s="2263"/>
      <c r="E188" s="1462"/>
      <c r="I188" s="1453"/>
      <c r="J188" s="1453"/>
      <c r="K188" s="1453"/>
      <c r="L188" s="1453"/>
      <c r="M188" s="1453"/>
      <c r="N188" s="1453"/>
      <c r="O188" s="1453"/>
      <c r="P188" s="1526"/>
      <c r="R188" s="1463"/>
      <c r="S188" s="1463"/>
      <c r="T188" s="1463"/>
      <c r="U188" s="1463"/>
      <c r="V188" s="1463"/>
      <c r="W188" s="1463"/>
      <c r="X188" s="1463"/>
      <c r="Y188" s="1463"/>
    </row>
    <row r="189" spans="1:25">
      <c r="A189" s="2263"/>
      <c r="B189" s="2263"/>
      <c r="C189" s="2263"/>
      <c r="D189" s="2263"/>
      <c r="E189" s="1462"/>
      <c r="I189" s="1453"/>
      <c r="J189" s="1453"/>
      <c r="K189" s="1453"/>
      <c r="L189" s="1453"/>
      <c r="M189" s="1453"/>
      <c r="N189" s="1453"/>
      <c r="O189" s="1453"/>
      <c r="P189" s="1526"/>
      <c r="R189" s="1463"/>
      <c r="S189" s="1463"/>
      <c r="T189" s="1463"/>
      <c r="U189" s="1463"/>
      <c r="V189" s="1463"/>
      <c r="W189" s="1463"/>
      <c r="X189" s="1463"/>
      <c r="Y189" s="1463"/>
    </row>
    <row r="190" spans="1:25">
      <c r="A190" s="2263"/>
      <c r="B190" s="2263"/>
      <c r="C190" s="2263"/>
      <c r="D190" s="2263"/>
      <c r="E190" s="1462"/>
      <c r="I190" s="1453"/>
      <c r="J190" s="1453"/>
      <c r="K190" s="1453"/>
      <c r="L190" s="1453"/>
      <c r="M190" s="1453"/>
      <c r="N190" s="1453"/>
      <c r="O190" s="1453"/>
      <c r="P190" s="1526"/>
      <c r="R190" s="1463"/>
      <c r="S190" s="1463"/>
      <c r="T190" s="1463"/>
      <c r="U190" s="1463"/>
      <c r="V190" s="1463"/>
      <c r="W190" s="1463"/>
      <c r="X190" s="1463"/>
      <c r="Y190" s="1463"/>
    </row>
    <row r="191" spans="1:25">
      <c r="A191" s="2263"/>
      <c r="B191" s="2263"/>
      <c r="C191" s="2263"/>
      <c r="D191" s="2263"/>
      <c r="E191" s="1462"/>
      <c r="I191" s="1453"/>
      <c r="J191" s="1453"/>
      <c r="K191" s="1453"/>
      <c r="L191" s="1453"/>
      <c r="M191" s="1453"/>
      <c r="N191" s="1453"/>
      <c r="O191" s="1453"/>
      <c r="P191" s="1526"/>
      <c r="R191" s="1463"/>
      <c r="S191" s="1463"/>
      <c r="T191" s="1463"/>
      <c r="U191" s="1463"/>
      <c r="V191" s="1463"/>
      <c r="W191" s="1463"/>
      <c r="X191" s="1463"/>
      <c r="Y191" s="1463"/>
    </row>
    <row r="192" spans="1:25">
      <c r="A192" s="2263"/>
      <c r="B192" s="2263"/>
      <c r="C192" s="2263"/>
      <c r="D192" s="2263"/>
      <c r="E192" s="1462"/>
      <c r="I192" s="1453"/>
      <c r="J192" s="1453"/>
      <c r="K192" s="1453"/>
      <c r="L192" s="1453"/>
      <c r="M192" s="1453"/>
      <c r="N192" s="1453"/>
      <c r="O192" s="1453"/>
      <c r="P192" s="1526"/>
      <c r="R192" s="1463"/>
      <c r="S192" s="1463"/>
      <c r="T192" s="1463"/>
      <c r="U192" s="1463"/>
      <c r="V192" s="1463"/>
      <c r="W192" s="1463"/>
      <c r="X192" s="1463"/>
      <c r="Y192" s="1463"/>
    </row>
    <row r="193" spans="1:25">
      <c r="A193" s="2263"/>
      <c r="B193" s="2263"/>
      <c r="C193" s="2263"/>
      <c r="D193" s="2263"/>
      <c r="E193" s="1462"/>
      <c r="I193" s="1453"/>
      <c r="J193" s="1453"/>
      <c r="K193" s="1453"/>
      <c r="L193" s="1453"/>
      <c r="M193" s="1453"/>
      <c r="N193" s="1453"/>
      <c r="O193" s="1453"/>
      <c r="P193" s="1526"/>
      <c r="R193" s="1463"/>
      <c r="S193" s="1463"/>
      <c r="T193" s="1463"/>
      <c r="U193" s="1463"/>
      <c r="V193" s="1463"/>
      <c r="W193" s="1463"/>
      <c r="X193" s="1463"/>
      <c r="Y193" s="1463"/>
    </row>
    <row r="194" spans="1:25">
      <c r="A194" s="2263"/>
      <c r="B194" s="2263"/>
      <c r="C194" s="2263"/>
      <c r="D194" s="2263"/>
      <c r="E194" s="1462"/>
      <c r="I194" s="1453"/>
      <c r="J194" s="1453"/>
      <c r="K194" s="1453"/>
      <c r="L194" s="1453"/>
      <c r="M194" s="1453"/>
      <c r="N194" s="1453"/>
      <c r="O194" s="1453"/>
      <c r="P194" s="1526"/>
      <c r="R194" s="1463"/>
      <c r="S194" s="1463"/>
      <c r="T194" s="1463"/>
      <c r="U194" s="1463"/>
      <c r="V194" s="1463"/>
      <c r="W194" s="1463"/>
      <c r="X194" s="1463"/>
      <c r="Y194" s="1463"/>
    </row>
    <row r="195" spans="1:25">
      <c r="A195" s="2263"/>
      <c r="B195" s="2263"/>
      <c r="C195" s="2263"/>
      <c r="D195" s="2263"/>
      <c r="E195" s="1462"/>
      <c r="I195" s="1453"/>
      <c r="J195" s="1453"/>
      <c r="K195" s="1453"/>
      <c r="L195" s="1453"/>
      <c r="M195" s="1453"/>
      <c r="N195" s="1453"/>
      <c r="O195" s="1453"/>
      <c r="P195" s="1526"/>
      <c r="R195" s="1463"/>
      <c r="S195" s="1463"/>
      <c r="T195" s="1463"/>
      <c r="U195" s="1463"/>
      <c r="V195" s="1463"/>
      <c r="W195" s="1463"/>
      <c r="X195" s="1463"/>
      <c r="Y195" s="1463"/>
    </row>
    <row r="196" spans="1:25">
      <c r="A196" s="2263"/>
      <c r="B196" s="2263"/>
      <c r="C196" s="2263"/>
      <c r="D196" s="2263"/>
      <c r="E196" s="1462"/>
      <c r="I196" s="1453"/>
      <c r="J196" s="1453"/>
      <c r="K196" s="1453"/>
      <c r="L196" s="1453"/>
      <c r="M196" s="1453"/>
      <c r="N196" s="1453"/>
      <c r="O196" s="1453"/>
      <c r="P196" s="1526"/>
      <c r="R196" s="1463"/>
      <c r="S196" s="1463"/>
      <c r="T196" s="1463"/>
      <c r="U196" s="1463"/>
      <c r="V196" s="1463"/>
      <c r="W196" s="1463"/>
      <c r="X196" s="1463"/>
      <c r="Y196" s="1463"/>
    </row>
    <row r="197" spans="1:25">
      <c r="A197" s="2263"/>
      <c r="B197" s="2263"/>
      <c r="C197" s="2263"/>
      <c r="D197" s="2263"/>
      <c r="E197" s="1462"/>
      <c r="I197" s="1453"/>
      <c r="J197" s="1453"/>
      <c r="K197" s="1453"/>
      <c r="L197" s="1453"/>
      <c r="M197" s="1453"/>
      <c r="N197" s="1453"/>
      <c r="O197" s="1453"/>
      <c r="P197" s="1526"/>
      <c r="R197" s="1463"/>
      <c r="S197" s="1463"/>
      <c r="T197" s="1463"/>
      <c r="U197" s="1463"/>
      <c r="V197" s="1463"/>
      <c r="W197" s="1463"/>
      <c r="X197" s="1463"/>
      <c r="Y197" s="1463"/>
    </row>
    <row r="198" spans="1:25">
      <c r="A198" s="2263"/>
      <c r="B198" s="2263"/>
      <c r="C198" s="2263"/>
      <c r="D198" s="2263"/>
      <c r="E198" s="1462"/>
      <c r="I198" s="1453"/>
      <c r="J198" s="1453"/>
      <c r="K198" s="1453"/>
      <c r="L198" s="1453"/>
      <c r="M198" s="1453"/>
      <c r="N198" s="1453"/>
      <c r="O198" s="1453"/>
      <c r="P198" s="1526"/>
      <c r="R198" s="1463"/>
      <c r="S198" s="1463"/>
      <c r="T198" s="1463"/>
      <c r="U198" s="1463"/>
      <c r="V198" s="1463"/>
      <c r="W198" s="1463"/>
      <c r="X198" s="1463"/>
      <c r="Y198" s="1463"/>
    </row>
    <row r="199" spans="1:25">
      <c r="A199" s="2263"/>
      <c r="B199" s="2263"/>
      <c r="C199" s="2263"/>
      <c r="D199" s="2263"/>
      <c r="E199" s="1462"/>
      <c r="I199" s="1453"/>
      <c r="J199" s="1453"/>
      <c r="K199" s="1453"/>
      <c r="L199" s="1453"/>
      <c r="M199" s="1453"/>
      <c r="N199" s="1453"/>
      <c r="O199" s="1453"/>
      <c r="P199" s="1526"/>
      <c r="R199" s="1463"/>
      <c r="S199" s="1463"/>
      <c r="T199" s="1463"/>
      <c r="U199" s="1463"/>
      <c r="V199" s="1463"/>
      <c r="W199" s="1463"/>
      <c r="X199" s="1463"/>
      <c r="Y199" s="1463"/>
    </row>
    <row r="200" spans="1:25">
      <c r="A200" s="2263"/>
      <c r="B200" s="2263"/>
      <c r="C200" s="2263"/>
      <c r="D200" s="2263"/>
      <c r="E200" s="1462"/>
      <c r="I200" s="1453"/>
      <c r="J200" s="1453"/>
      <c r="K200" s="1453"/>
      <c r="L200" s="1453"/>
      <c r="M200" s="1453"/>
      <c r="N200" s="1453"/>
      <c r="O200" s="1453"/>
      <c r="P200" s="1526"/>
      <c r="R200" s="1463"/>
      <c r="S200" s="1463"/>
      <c r="T200" s="1463"/>
      <c r="U200" s="1463"/>
      <c r="V200" s="1463"/>
      <c r="W200" s="1463"/>
      <c r="X200" s="1463"/>
      <c r="Y200" s="1463"/>
    </row>
    <row r="201" spans="1:25">
      <c r="A201" s="2263"/>
      <c r="B201" s="2263"/>
      <c r="C201" s="2263"/>
      <c r="D201" s="2263"/>
      <c r="E201" s="1462"/>
      <c r="I201" s="1453"/>
      <c r="J201" s="1453"/>
      <c r="K201" s="1453"/>
      <c r="L201" s="1453"/>
      <c r="M201" s="1453"/>
      <c r="N201" s="1453"/>
      <c r="O201" s="1453"/>
      <c r="P201" s="1526"/>
      <c r="R201" s="1463"/>
      <c r="S201" s="1463"/>
      <c r="T201" s="1463"/>
      <c r="U201" s="1463"/>
      <c r="V201" s="1463"/>
      <c r="W201" s="1463"/>
      <c r="X201" s="1463"/>
      <c r="Y201" s="1463"/>
    </row>
    <row r="202" spans="1:25">
      <c r="A202" s="2263"/>
      <c r="B202" s="2263"/>
      <c r="C202" s="2263"/>
      <c r="D202" s="2263"/>
      <c r="E202" s="1462"/>
      <c r="I202" s="1453"/>
      <c r="J202" s="1453"/>
      <c r="K202" s="1453"/>
      <c r="L202" s="1453"/>
      <c r="M202" s="1453"/>
      <c r="N202" s="1453"/>
      <c r="O202" s="1453"/>
      <c r="P202" s="1526"/>
      <c r="R202" s="1463"/>
      <c r="S202" s="1463"/>
      <c r="T202" s="1463"/>
      <c r="U202" s="1463"/>
      <c r="V202" s="1463"/>
      <c r="W202" s="1463"/>
      <c r="X202" s="1463"/>
      <c r="Y202" s="1463"/>
    </row>
    <row r="203" spans="1:25">
      <c r="A203" s="2263"/>
      <c r="B203" s="2263"/>
      <c r="C203" s="2263"/>
      <c r="D203" s="2263"/>
      <c r="E203" s="1462"/>
      <c r="I203" s="1453"/>
      <c r="J203" s="1453"/>
      <c r="K203" s="1453"/>
      <c r="L203" s="1453"/>
      <c r="M203" s="1453"/>
      <c r="N203" s="1453"/>
      <c r="O203" s="1453"/>
      <c r="P203" s="1526"/>
      <c r="R203" s="1463"/>
      <c r="S203" s="1463"/>
      <c r="T203" s="1463"/>
      <c r="U203" s="1463"/>
      <c r="V203" s="1463"/>
      <c r="W203" s="1463"/>
      <c r="X203" s="1463"/>
      <c r="Y203" s="1463"/>
    </row>
    <row r="204" spans="1:25">
      <c r="A204" s="2263"/>
      <c r="B204" s="2263"/>
      <c r="C204" s="2263"/>
      <c r="D204" s="2263"/>
      <c r="E204" s="1462"/>
      <c r="I204" s="1453"/>
      <c r="J204" s="1453"/>
      <c r="K204" s="1453"/>
      <c r="L204" s="1453"/>
      <c r="M204" s="1453"/>
      <c r="N204" s="1453"/>
      <c r="O204" s="1453"/>
      <c r="P204" s="1526"/>
      <c r="R204" s="1463"/>
      <c r="S204" s="1463"/>
      <c r="T204" s="1463"/>
      <c r="U204" s="1463"/>
      <c r="V204" s="1463"/>
      <c r="W204" s="1463"/>
      <c r="X204" s="1463"/>
      <c r="Y204" s="1463"/>
    </row>
    <row r="205" spans="1:25">
      <c r="A205" s="2263"/>
      <c r="B205" s="2263"/>
      <c r="C205" s="2263"/>
      <c r="D205" s="2263"/>
      <c r="E205" s="1462"/>
      <c r="I205" s="1453"/>
      <c r="J205" s="1453"/>
      <c r="K205" s="1453"/>
      <c r="L205" s="1453"/>
      <c r="M205" s="1453"/>
      <c r="N205" s="1453"/>
      <c r="O205" s="1453"/>
      <c r="P205" s="1526"/>
      <c r="R205" s="1463"/>
      <c r="S205" s="1463"/>
      <c r="T205" s="1463"/>
      <c r="U205" s="1463"/>
      <c r="V205" s="1463"/>
      <c r="W205" s="1463"/>
      <c r="X205" s="1463"/>
      <c r="Y205" s="1463"/>
    </row>
    <row r="206" spans="1:25">
      <c r="A206" s="2263"/>
      <c r="B206" s="2263"/>
      <c r="C206" s="2263"/>
      <c r="D206" s="2263"/>
      <c r="E206" s="1462"/>
      <c r="I206" s="1453"/>
      <c r="J206" s="1453"/>
      <c r="K206" s="1453"/>
      <c r="L206" s="1453"/>
      <c r="M206" s="1453"/>
      <c r="N206" s="1453"/>
      <c r="O206" s="1453"/>
      <c r="P206" s="1526"/>
      <c r="R206" s="1463"/>
      <c r="S206" s="1463"/>
      <c r="T206" s="1463"/>
      <c r="U206" s="1463"/>
      <c r="V206" s="1463"/>
      <c r="W206" s="1463"/>
      <c r="X206" s="1463"/>
      <c r="Y206" s="1463"/>
    </row>
    <row r="207" spans="1:25">
      <c r="A207" s="2263"/>
      <c r="B207" s="2263"/>
      <c r="C207" s="2263"/>
      <c r="D207" s="2263"/>
      <c r="E207" s="1462"/>
      <c r="I207" s="1453"/>
      <c r="J207" s="1453"/>
      <c r="K207" s="1453"/>
      <c r="L207" s="1453"/>
      <c r="M207" s="1453"/>
      <c r="N207" s="1453"/>
      <c r="O207" s="1453"/>
      <c r="P207" s="1526"/>
      <c r="R207" s="1463"/>
      <c r="S207" s="1463"/>
      <c r="T207" s="1463"/>
      <c r="U207" s="1463"/>
      <c r="V207" s="1463"/>
      <c r="W207" s="1463"/>
      <c r="X207" s="1463"/>
      <c r="Y207" s="1463"/>
    </row>
    <row r="208" spans="1:25">
      <c r="A208" s="2263"/>
      <c r="B208" s="2263"/>
      <c r="C208" s="2263"/>
      <c r="D208" s="2263"/>
      <c r="E208" s="1462"/>
      <c r="I208" s="1453"/>
      <c r="J208" s="1453"/>
      <c r="K208" s="1453"/>
      <c r="L208" s="1453"/>
      <c r="M208" s="1453"/>
      <c r="N208" s="1453"/>
      <c r="O208" s="1453"/>
      <c r="P208" s="1526"/>
      <c r="R208" s="1463"/>
      <c r="S208" s="1463"/>
      <c r="T208" s="1463"/>
      <c r="U208" s="1463"/>
      <c r="V208" s="1463"/>
      <c r="W208" s="1463"/>
      <c r="X208" s="1463"/>
      <c r="Y208" s="1463"/>
    </row>
    <row r="209" spans="1:25">
      <c r="A209" s="2263"/>
      <c r="B209" s="2263"/>
      <c r="C209" s="2263"/>
      <c r="D209" s="2263"/>
      <c r="E209" s="1462"/>
      <c r="I209" s="1453"/>
      <c r="J209" s="1453"/>
      <c r="K209" s="1453"/>
      <c r="L209" s="1453"/>
      <c r="M209" s="1453"/>
      <c r="N209" s="1453"/>
      <c r="O209" s="1453"/>
      <c r="P209" s="1526"/>
      <c r="R209" s="1463"/>
      <c r="S209" s="1463"/>
      <c r="T209" s="1463"/>
      <c r="U209" s="1463"/>
      <c r="V209" s="1463"/>
      <c r="W209" s="1463"/>
      <c r="X209" s="1463"/>
      <c r="Y209" s="1463"/>
    </row>
    <row r="210" spans="1:25">
      <c r="A210" s="2263"/>
      <c r="B210" s="2263"/>
      <c r="C210" s="2263"/>
      <c r="D210" s="2263"/>
      <c r="E210" s="1462"/>
      <c r="I210" s="1453"/>
      <c r="J210" s="1453"/>
      <c r="K210" s="1453"/>
      <c r="L210" s="1453"/>
      <c r="M210" s="1453"/>
      <c r="N210" s="1453"/>
      <c r="O210" s="1453"/>
      <c r="P210" s="1526"/>
      <c r="R210" s="1463"/>
      <c r="S210" s="1463"/>
      <c r="T210" s="1463"/>
      <c r="U210" s="1463"/>
      <c r="V210" s="1463"/>
      <c r="W210" s="1463"/>
      <c r="X210" s="1463"/>
      <c r="Y210" s="1463"/>
    </row>
    <row r="211" spans="1:25">
      <c r="A211" s="2263"/>
      <c r="B211" s="2263"/>
      <c r="C211" s="2263"/>
      <c r="D211" s="2263"/>
      <c r="E211" s="1462"/>
      <c r="I211" s="1453"/>
      <c r="J211" s="1453"/>
      <c r="K211" s="1453"/>
      <c r="L211" s="1453"/>
      <c r="M211" s="1453"/>
      <c r="N211" s="1453"/>
      <c r="O211" s="1453"/>
      <c r="P211" s="1526"/>
      <c r="R211" s="1463"/>
      <c r="S211" s="1463"/>
      <c r="T211" s="1463"/>
      <c r="U211" s="1463"/>
      <c r="V211" s="1463"/>
      <c r="W211" s="1463"/>
      <c r="X211" s="1463"/>
      <c r="Y211" s="1463"/>
    </row>
    <row r="212" spans="1:25">
      <c r="A212" s="2263"/>
      <c r="B212" s="2263"/>
      <c r="C212" s="2263"/>
      <c r="D212" s="2263"/>
      <c r="E212" s="1462"/>
      <c r="I212" s="1453"/>
      <c r="J212" s="1453"/>
      <c r="K212" s="1453"/>
      <c r="L212" s="1453"/>
      <c r="M212" s="1453"/>
      <c r="N212" s="1453"/>
      <c r="O212" s="1453"/>
      <c r="P212" s="1526"/>
      <c r="R212" s="1463"/>
      <c r="S212" s="1463"/>
      <c r="T212" s="1463"/>
      <c r="U212" s="1463"/>
      <c r="V212" s="1463"/>
      <c r="W212" s="1463"/>
      <c r="X212" s="1463"/>
      <c r="Y212" s="1463"/>
    </row>
    <row r="213" spans="1:25">
      <c r="A213" s="2263"/>
      <c r="B213" s="2263"/>
      <c r="C213" s="2263"/>
      <c r="D213" s="2263"/>
      <c r="E213" s="1462"/>
      <c r="I213" s="1453"/>
      <c r="J213" s="1453"/>
      <c r="K213" s="1453"/>
      <c r="L213" s="1453"/>
      <c r="M213" s="1453"/>
      <c r="N213" s="1453"/>
      <c r="O213" s="1453"/>
      <c r="P213" s="1526"/>
      <c r="R213" s="1463"/>
      <c r="S213" s="1463"/>
      <c r="T213" s="1463"/>
      <c r="U213" s="1463"/>
      <c r="V213" s="1463"/>
      <c r="W213" s="1463"/>
      <c r="X213" s="1463"/>
      <c r="Y213" s="1463"/>
    </row>
    <row r="214" spans="1:25">
      <c r="A214" s="2263"/>
      <c r="B214" s="2263"/>
      <c r="C214" s="2263"/>
      <c r="D214" s="2263"/>
      <c r="E214" s="1462"/>
      <c r="I214" s="1453"/>
      <c r="J214" s="1453"/>
      <c r="K214" s="1453"/>
      <c r="L214" s="1453"/>
      <c r="M214" s="1453"/>
      <c r="N214" s="1453"/>
      <c r="O214" s="1453"/>
      <c r="P214" s="1526"/>
      <c r="R214" s="1463"/>
      <c r="S214" s="1463"/>
      <c r="T214" s="1463"/>
      <c r="U214" s="1463"/>
      <c r="V214" s="1463"/>
      <c r="W214" s="1463"/>
      <c r="X214" s="1463"/>
      <c r="Y214" s="1463"/>
    </row>
    <row r="215" spans="1:25">
      <c r="A215" s="2263"/>
      <c r="B215" s="2263"/>
      <c r="C215" s="2263"/>
      <c r="D215" s="2263"/>
      <c r="E215" s="1462"/>
      <c r="I215" s="1453"/>
      <c r="J215" s="1453"/>
      <c r="K215" s="1453"/>
      <c r="L215" s="1453"/>
      <c r="M215" s="1453"/>
      <c r="N215" s="1453"/>
      <c r="O215" s="1453"/>
      <c r="P215" s="1526"/>
      <c r="R215" s="1463"/>
      <c r="S215" s="1463"/>
      <c r="T215" s="1463"/>
      <c r="U215" s="1463"/>
      <c r="V215" s="1463"/>
      <c r="W215" s="1463"/>
      <c r="X215" s="1463"/>
      <c r="Y215" s="1463"/>
    </row>
    <row r="216" spans="1:25">
      <c r="A216" s="2263"/>
      <c r="B216" s="2263"/>
      <c r="C216" s="2263"/>
      <c r="D216" s="2263"/>
      <c r="E216" s="1462"/>
      <c r="I216" s="1453"/>
      <c r="J216" s="1453"/>
      <c r="K216" s="1453"/>
      <c r="L216" s="1453"/>
      <c r="M216" s="1453"/>
      <c r="N216" s="1453"/>
      <c r="O216" s="1453"/>
      <c r="P216" s="1526"/>
      <c r="R216" s="1463"/>
      <c r="S216" s="1463"/>
      <c r="T216" s="1463"/>
      <c r="U216" s="1463"/>
      <c r="V216" s="1463"/>
      <c r="W216" s="1463"/>
      <c r="X216" s="1463"/>
      <c r="Y216" s="1463"/>
    </row>
    <row r="217" spans="1:25">
      <c r="A217" s="2263"/>
      <c r="B217" s="2263"/>
      <c r="C217" s="2263"/>
      <c r="D217" s="2263"/>
      <c r="E217" s="1462"/>
      <c r="I217" s="1453"/>
      <c r="J217" s="1453"/>
      <c r="K217" s="1453"/>
      <c r="L217" s="1453"/>
      <c r="M217" s="1453"/>
      <c r="N217" s="1453"/>
      <c r="O217" s="1453"/>
      <c r="P217" s="1526"/>
      <c r="R217" s="1463"/>
      <c r="S217" s="1463"/>
      <c r="T217" s="1463"/>
      <c r="U217" s="1463"/>
      <c r="V217" s="1463"/>
      <c r="W217" s="1463"/>
      <c r="X217" s="1463"/>
      <c r="Y217" s="1463"/>
    </row>
    <row r="218" spans="1:25">
      <c r="A218" s="2263"/>
      <c r="B218" s="2263"/>
      <c r="C218" s="2263"/>
      <c r="D218" s="2263"/>
      <c r="E218" s="1462"/>
      <c r="I218" s="1453"/>
      <c r="J218" s="1453"/>
      <c r="K218" s="1453"/>
      <c r="L218" s="1453"/>
      <c r="M218" s="1453"/>
      <c r="N218" s="1453"/>
      <c r="O218" s="1453"/>
      <c r="P218" s="1526"/>
      <c r="R218" s="1463"/>
      <c r="S218" s="1463"/>
      <c r="T218" s="1463"/>
      <c r="U218" s="1463"/>
      <c r="V218" s="1463"/>
      <c r="W218" s="1463"/>
      <c r="X218" s="1463"/>
      <c r="Y218" s="1463"/>
    </row>
    <row r="219" spans="1:25">
      <c r="A219" s="2263"/>
      <c r="B219" s="2263"/>
      <c r="C219" s="2263"/>
      <c r="D219" s="2263"/>
      <c r="E219" s="1462"/>
      <c r="I219" s="1453"/>
      <c r="J219" s="1453"/>
      <c r="K219" s="1453"/>
      <c r="L219" s="1453"/>
      <c r="M219" s="1453"/>
      <c r="N219" s="1453"/>
      <c r="O219" s="1453"/>
      <c r="P219" s="1526"/>
      <c r="R219" s="1463"/>
      <c r="S219" s="1463"/>
      <c r="T219" s="1463"/>
      <c r="U219" s="1463"/>
      <c r="V219" s="1463"/>
      <c r="W219" s="1463"/>
      <c r="X219" s="1463"/>
      <c r="Y219" s="1463"/>
    </row>
    <row r="220" spans="1:25">
      <c r="A220" s="2263"/>
      <c r="B220" s="2263"/>
      <c r="C220" s="2263"/>
      <c r="D220" s="2263"/>
      <c r="E220" s="1462"/>
      <c r="I220" s="1453"/>
      <c r="J220" s="1453"/>
      <c r="K220" s="1453"/>
      <c r="L220" s="1453"/>
      <c r="M220" s="1453"/>
      <c r="N220" s="1453"/>
      <c r="O220" s="1453"/>
      <c r="P220" s="1526"/>
      <c r="R220" s="1463"/>
      <c r="S220" s="1463"/>
      <c r="T220" s="1463"/>
      <c r="U220" s="1463"/>
      <c r="V220" s="1463"/>
      <c r="W220" s="1463"/>
      <c r="X220" s="1463"/>
      <c r="Y220" s="1463"/>
    </row>
    <row r="221" spans="1:25">
      <c r="A221" s="2263"/>
      <c r="B221" s="2263"/>
      <c r="C221" s="2263"/>
      <c r="D221" s="2263"/>
      <c r="E221" s="1462"/>
      <c r="I221" s="1453"/>
      <c r="J221" s="1453"/>
      <c r="K221" s="1453"/>
      <c r="L221" s="1453"/>
      <c r="M221" s="1453"/>
      <c r="N221" s="1453"/>
      <c r="O221" s="1453"/>
      <c r="P221" s="1526"/>
      <c r="R221" s="1463"/>
      <c r="S221" s="1463"/>
      <c r="T221" s="1463"/>
      <c r="U221" s="1463"/>
      <c r="V221" s="1463"/>
      <c r="W221" s="1463"/>
      <c r="X221" s="1463"/>
      <c r="Y221" s="1463"/>
    </row>
    <row r="222" spans="1:25">
      <c r="A222" s="2263"/>
      <c r="B222" s="2263"/>
      <c r="C222" s="2263"/>
      <c r="D222" s="2263"/>
      <c r="E222" s="1462"/>
      <c r="I222" s="1453"/>
      <c r="J222" s="1453"/>
      <c r="K222" s="1453"/>
      <c r="L222" s="1453"/>
      <c r="M222" s="1453"/>
      <c r="N222" s="1453"/>
      <c r="O222" s="1453"/>
      <c r="P222" s="1526"/>
      <c r="R222" s="1463"/>
      <c r="S222" s="1463"/>
      <c r="T222" s="1463"/>
      <c r="U222" s="1463"/>
      <c r="V222" s="1463"/>
      <c r="W222" s="1463"/>
      <c r="X222" s="1463"/>
      <c r="Y222" s="1463"/>
    </row>
    <row r="223" spans="1:25">
      <c r="A223" s="2263"/>
      <c r="B223" s="2263"/>
      <c r="C223" s="2263"/>
      <c r="D223" s="2263"/>
      <c r="E223" s="1462"/>
      <c r="I223" s="1453"/>
      <c r="J223" s="1453"/>
      <c r="K223" s="1453"/>
      <c r="L223" s="1453"/>
      <c r="M223" s="1453"/>
      <c r="N223" s="1453"/>
      <c r="O223" s="1453"/>
      <c r="P223" s="1526"/>
      <c r="R223" s="1463"/>
      <c r="S223" s="1463"/>
      <c r="T223" s="1463"/>
      <c r="U223" s="1463"/>
      <c r="V223" s="1463"/>
      <c r="W223" s="1463"/>
      <c r="X223" s="1463"/>
      <c r="Y223" s="1463"/>
    </row>
    <row r="224" spans="1:25">
      <c r="A224" s="2263"/>
      <c r="B224" s="2263"/>
      <c r="C224" s="2263"/>
      <c r="D224" s="2263"/>
      <c r="E224" s="1462"/>
      <c r="I224" s="1453"/>
      <c r="J224" s="1453"/>
      <c r="K224" s="1453"/>
      <c r="L224" s="1453"/>
      <c r="M224" s="1453"/>
      <c r="N224" s="1453"/>
      <c r="O224" s="1453"/>
      <c r="P224" s="1526"/>
      <c r="R224" s="1463"/>
      <c r="S224" s="1463"/>
      <c r="T224" s="1463"/>
      <c r="U224" s="1463"/>
      <c r="V224" s="1463"/>
      <c r="W224" s="1463"/>
      <c r="X224" s="1463"/>
      <c r="Y224" s="1463"/>
    </row>
    <row r="225" spans="1:25">
      <c r="A225" s="2263"/>
      <c r="B225" s="2263"/>
      <c r="C225" s="2263"/>
      <c r="D225" s="2263"/>
      <c r="E225" s="1462"/>
      <c r="I225" s="1453"/>
      <c r="J225" s="1453"/>
      <c r="K225" s="1453"/>
      <c r="L225" s="1453"/>
      <c r="M225" s="1453"/>
      <c r="N225" s="1453"/>
      <c r="O225" s="1453"/>
      <c r="P225" s="1526"/>
      <c r="R225" s="1463"/>
      <c r="S225" s="1463"/>
      <c r="T225" s="1463"/>
      <c r="U225" s="1463"/>
      <c r="V225" s="1463"/>
      <c r="W225" s="1463"/>
      <c r="X225" s="1463"/>
      <c r="Y225" s="1463"/>
    </row>
    <row r="226" spans="1:25">
      <c r="A226" s="2263"/>
      <c r="B226" s="2263"/>
      <c r="C226" s="2263"/>
      <c r="D226" s="2263"/>
      <c r="E226" s="1462"/>
      <c r="I226" s="1453"/>
      <c r="J226" s="1453"/>
      <c r="K226" s="1453"/>
      <c r="L226" s="1453"/>
      <c r="M226" s="1453"/>
      <c r="N226" s="1453"/>
      <c r="O226" s="1453"/>
      <c r="P226" s="1526"/>
      <c r="R226" s="1463"/>
      <c r="S226" s="1463"/>
      <c r="T226" s="1463"/>
      <c r="U226" s="1463"/>
      <c r="V226" s="1463"/>
      <c r="W226" s="1463"/>
      <c r="X226" s="1463"/>
      <c r="Y226" s="1463"/>
    </row>
    <row r="227" spans="1:25">
      <c r="A227" s="2263"/>
      <c r="B227" s="2263"/>
      <c r="C227" s="2263"/>
      <c r="D227" s="2263"/>
      <c r="E227" s="1462"/>
      <c r="I227" s="1453"/>
      <c r="J227" s="1453"/>
      <c r="K227" s="1453"/>
      <c r="L227" s="1453"/>
      <c r="M227" s="1453"/>
      <c r="N227" s="1453"/>
      <c r="O227" s="1453"/>
      <c r="P227" s="1526"/>
      <c r="R227" s="1463"/>
      <c r="S227" s="1463"/>
      <c r="T227" s="1463"/>
      <c r="U227" s="1463"/>
      <c r="V227" s="1463"/>
      <c r="W227" s="1463"/>
      <c r="X227" s="1463"/>
      <c r="Y227" s="1463"/>
    </row>
    <row r="228" spans="1:25">
      <c r="A228" s="2263"/>
      <c r="B228" s="2263"/>
      <c r="C228" s="2263"/>
      <c r="D228" s="2263"/>
      <c r="E228" s="1462"/>
      <c r="I228" s="1453"/>
      <c r="J228" s="1453"/>
      <c r="K228" s="1453"/>
      <c r="L228" s="1453"/>
      <c r="M228" s="1453"/>
      <c r="N228" s="1453"/>
      <c r="O228" s="1453"/>
      <c r="P228" s="1526"/>
      <c r="R228" s="1463"/>
      <c r="S228" s="1463"/>
      <c r="T228" s="1463"/>
      <c r="U228" s="1463"/>
      <c r="V228" s="1463"/>
      <c r="W228" s="1463"/>
      <c r="X228" s="1463"/>
      <c r="Y228" s="1463"/>
    </row>
    <row r="229" spans="1:25">
      <c r="A229" s="2263"/>
      <c r="B229" s="2263"/>
      <c r="C229" s="2263"/>
      <c r="D229" s="2263"/>
      <c r="E229" s="1462"/>
      <c r="I229" s="1453"/>
      <c r="J229" s="1453"/>
      <c r="K229" s="1453"/>
      <c r="L229" s="1453"/>
      <c r="M229" s="1453"/>
      <c r="N229" s="1453"/>
      <c r="O229" s="1453"/>
      <c r="P229" s="1526"/>
      <c r="R229" s="1463"/>
      <c r="S229" s="1463"/>
      <c r="T229" s="1463"/>
      <c r="U229" s="1463"/>
      <c r="V229" s="1463"/>
      <c r="W229" s="1463"/>
      <c r="X229" s="1463"/>
      <c r="Y229" s="1463"/>
    </row>
    <row r="230" spans="1:25">
      <c r="A230" s="2263"/>
      <c r="B230" s="2263"/>
      <c r="C230" s="2263"/>
      <c r="D230" s="2263"/>
      <c r="E230" s="1462"/>
      <c r="I230" s="1453"/>
      <c r="J230" s="1453"/>
      <c r="K230" s="1453"/>
      <c r="L230" s="1453"/>
      <c r="M230" s="1453"/>
      <c r="N230" s="1453"/>
      <c r="O230" s="1453"/>
      <c r="P230" s="1526"/>
      <c r="R230" s="1463"/>
      <c r="S230" s="1463"/>
      <c r="T230" s="1463"/>
      <c r="U230" s="1463"/>
      <c r="V230" s="1463"/>
      <c r="W230" s="1463"/>
      <c r="X230" s="1463"/>
      <c r="Y230" s="1463"/>
    </row>
    <row r="231" spans="1:25">
      <c r="A231" s="2263"/>
      <c r="B231" s="2263"/>
      <c r="C231" s="2263"/>
      <c r="D231" s="2263"/>
      <c r="E231" s="1462"/>
      <c r="I231" s="1453"/>
      <c r="J231" s="1453"/>
      <c r="K231" s="1453"/>
      <c r="L231" s="1453"/>
      <c r="M231" s="1453"/>
      <c r="N231" s="1453"/>
      <c r="O231" s="1453"/>
      <c r="P231" s="1526"/>
      <c r="R231" s="1463"/>
      <c r="S231" s="1463"/>
      <c r="T231" s="1463"/>
      <c r="U231" s="1463"/>
      <c r="V231" s="1463"/>
      <c r="W231" s="1463"/>
      <c r="X231" s="1463"/>
      <c r="Y231" s="1463"/>
    </row>
    <row r="232" spans="1:25">
      <c r="A232" s="2263"/>
      <c r="B232" s="2263"/>
      <c r="C232" s="2263"/>
      <c r="D232" s="2263"/>
      <c r="E232" s="1462"/>
      <c r="I232" s="1453"/>
      <c r="J232" s="1453"/>
      <c r="K232" s="1453"/>
      <c r="L232" s="1453"/>
      <c r="M232" s="1453"/>
      <c r="N232" s="1453"/>
      <c r="O232" s="1453"/>
      <c r="P232" s="1526"/>
      <c r="R232" s="1463"/>
      <c r="S232" s="1463"/>
      <c r="T232" s="1463"/>
      <c r="U232" s="1463"/>
      <c r="V232" s="1463"/>
      <c r="W232" s="1463"/>
      <c r="X232" s="1463"/>
      <c r="Y232" s="1463"/>
    </row>
    <row r="233" spans="1:25">
      <c r="A233" s="2263"/>
      <c r="B233" s="2263"/>
      <c r="C233" s="2263"/>
      <c r="D233" s="2263"/>
      <c r="E233" s="1462"/>
      <c r="I233" s="1453"/>
      <c r="J233" s="1453"/>
      <c r="K233" s="1453"/>
      <c r="L233" s="1453"/>
      <c r="M233" s="1453"/>
      <c r="N233" s="1453"/>
      <c r="O233" s="1453"/>
      <c r="P233" s="1526"/>
      <c r="R233" s="1463"/>
      <c r="S233" s="1463"/>
      <c r="T233" s="1463"/>
      <c r="U233" s="1463"/>
      <c r="V233" s="1463"/>
      <c r="W233" s="1463"/>
      <c r="X233" s="1463"/>
      <c r="Y233" s="1463"/>
    </row>
    <row r="234" spans="1:25">
      <c r="A234" s="2263"/>
      <c r="B234" s="2263"/>
      <c r="C234" s="2263"/>
      <c r="D234" s="2263"/>
      <c r="E234" s="1462"/>
      <c r="I234" s="1453"/>
      <c r="J234" s="1453"/>
      <c r="K234" s="1453"/>
      <c r="L234" s="1453"/>
      <c r="M234" s="1453"/>
      <c r="N234" s="1453"/>
      <c r="O234" s="1453"/>
      <c r="P234" s="1526"/>
      <c r="R234" s="1463"/>
      <c r="S234" s="1463"/>
      <c r="T234" s="1463"/>
      <c r="U234" s="1463"/>
      <c r="V234" s="1463"/>
      <c r="W234" s="1463"/>
      <c r="X234" s="1463"/>
      <c r="Y234" s="1463"/>
    </row>
    <row r="235" spans="1:25">
      <c r="A235" s="2263"/>
      <c r="B235" s="2263"/>
      <c r="C235" s="2263"/>
      <c r="D235" s="2263"/>
      <c r="E235" s="1462"/>
      <c r="I235" s="1453"/>
      <c r="J235" s="1453"/>
      <c r="K235" s="1453"/>
      <c r="L235" s="1453"/>
      <c r="M235" s="1453"/>
      <c r="N235" s="1453"/>
      <c r="O235" s="1453"/>
      <c r="P235" s="1526"/>
      <c r="R235" s="1463"/>
      <c r="S235" s="1463"/>
      <c r="T235" s="1463"/>
      <c r="U235" s="1463"/>
      <c r="V235" s="1463"/>
      <c r="W235" s="1463"/>
      <c r="X235" s="1463"/>
      <c r="Y235" s="1463"/>
    </row>
    <row r="236" spans="1:25">
      <c r="A236" s="2263"/>
      <c r="B236" s="2263"/>
      <c r="C236" s="2263"/>
      <c r="D236" s="2263"/>
      <c r="E236" s="1462"/>
      <c r="I236" s="1453"/>
      <c r="J236" s="1453"/>
      <c r="K236" s="1453"/>
      <c r="L236" s="1453"/>
      <c r="M236" s="1453"/>
      <c r="N236" s="1453"/>
      <c r="O236" s="1453"/>
      <c r="P236" s="1526"/>
      <c r="R236" s="1463"/>
      <c r="S236" s="1463"/>
      <c r="T236" s="1463"/>
      <c r="U236" s="1463"/>
      <c r="V236" s="1463"/>
      <c r="W236" s="1463"/>
      <c r="X236" s="1463"/>
      <c r="Y236" s="1463"/>
    </row>
    <row r="237" spans="1:25">
      <c r="A237" s="2263"/>
      <c r="B237" s="2263"/>
      <c r="C237" s="2263"/>
      <c r="D237" s="2263"/>
      <c r="E237" s="1462"/>
      <c r="I237" s="1453"/>
      <c r="J237" s="1453"/>
      <c r="K237" s="1453"/>
      <c r="L237" s="1453"/>
      <c r="M237" s="1453"/>
      <c r="N237" s="1453"/>
      <c r="O237" s="1453"/>
      <c r="P237" s="1526"/>
      <c r="R237" s="1463"/>
      <c r="S237" s="1463"/>
      <c r="T237" s="1463"/>
      <c r="U237" s="1463"/>
      <c r="V237" s="1463"/>
      <c r="W237" s="1463"/>
      <c r="X237" s="1463"/>
      <c r="Y237" s="1463"/>
    </row>
    <row r="238" spans="1:25">
      <c r="A238" s="2263"/>
      <c r="B238" s="2263"/>
      <c r="C238" s="2263"/>
      <c r="D238" s="2263"/>
      <c r="E238" s="1462"/>
      <c r="I238" s="1453"/>
      <c r="J238" s="1453"/>
      <c r="K238" s="1453"/>
      <c r="L238" s="1453"/>
      <c r="M238" s="1453"/>
      <c r="N238" s="1453"/>
      <c r="O238" s="1453"/>
      <c r="P238" s="1526"/>
      <c r="R238" s="1463"/>
      <c r="S238" s="1463"/>
      <c r="T238" s="1463"/>
      <c r="U238" s="1463"/>
      <c r="V238" s="1463"/>
      <c r="W238" s="1463"/>
      <c r="X238" s="1463"/>
      <c r="Y238" s="1463"/>
    </row>
    <row r="239" spans="1:25">
      <c r="A239" s="2263"/>
      <c r="B239" s="2263"/>
      <c r="C239" s="2263"/>
      <c r="D239" s="2263"/>
      <c r="E239" s="1462"/>
      <c r="I239" s="1453"/>
      <c r="J239" s="1453"/>
      <c r="K239" s="1453"/>
      <c r="L239" s="1453"/>
      <c r="M239" s="1453"/>
      <c r="N239" s="1453"/>
      <c r="O239" s="1453"/>
      <c r="P239" s="1526"/>
      <c r="R239" s="1463"/>
      <c r="S239" s="1463"/>
      <c r="T239" s="1463"/>
      <c r="U239" s="1463"/>
      <c r="V239" s="1463"/>
      <c r="W239" s="1463"/>
      <c r="X239" s="1463"/>
      <c r="Y239" s="1463"/>
    </row>
    <row r="240" spans="1:25">
      <c r="A240" s="2263"/>
      <c r="B240" s="2263"/>
      <c r="C240" s="2263"/>
      <c r="D240" s="2263"/>
      <c r="E240" s="1462"/>
      <c r="I240" s="1453"/>
      <c r="J240" s="1453"/>
      <c r="K240" s="1453"/>
      <c r="L240" s="1453"/>
      <c r="M240" s="1453"/>
      <c r="N240" s="1453"/>
      <c r="O240" s="1453"/>
      <c r="P240" s="1526"/>
      <c r="R240" s="1463"/>
      <c r="S240" s="1463"/>
      <c r="T240" s="1463"/>
      <c r="U240" s="1463"/>
      <c r="V240" s="1463"/>
      <c r="W240" s="1463"/>
      <c r="X240" s="1463"/>
      <c r="Y240" s="1463"/>
    </row>
    <row r="241" spans="1:25">
      <c r="A241" s="2263"/>
      <c r="B241" s="2263"/>
      <c r="C241" s="2263"/>
      <c r="D241" s="2263"/>
      <c r="E241" s="1462"/>
      <c r="I241" s="1453"/>
      <c r="J241" s="1453"/>
      <c r="K241" s="1453"/>
      <c r="L241" s="1453"/>
      <c r="M241" s="1453"/>
      <c r="N241" s="1453"/>
      <c r="O241" s="1453"/>
      <c r="P241" s="1526"/>
      <c r="R241" s="1463"/>
      <c r="S241" s="1463"/>
      <c r="T241" s="1463"/>
      <c r="U241" s="1463"/>
      <c r="V241" s="1463"/>
      <c r="W241" s="1463"/>
      <c r="X241" s="1463"/>
      <c r="Y241" s="1463"/>
    </row>
    <row r="242" spans="1:25">
      <c r="A242" s="2263"/>
      <c r="B242" s="2263"/>
      <c r="C242" s="2263"/>
      <c r="D242" s="2263"/>
      <c r="E242" s="1462"/>
      <c r="I242" s="1453"/>
      <c r="J242" s="1453"/>
      <c r="K242" s="1453"/>
      <c r="L242" s="1453"/>
      <c r="M242" s="1453"/>
      <c r="N242" s="1453"/>
      <c r="O242" s="1453"/>
      <c r="P242" s="1526"/>
      <c r="R242" s="1463"/>
      <c r="S242" s="1463"/>
      <c r="T242" s="1463"/>
      <c r="U242" s="1463"/>
      <c r="V242" s="1463"/>
      <c r="W242" s="1463"/>
      <c r="X242" s="1463"/>
      <c r="Y242" s="1463"/>
    </row>
    <row r="243" spans="1:25">
      <c r="A243" s="2263"/>
      <c r="B243" s="2263"/>
      <c r="C243" s="2263"/>
      <c r="D243" s="2263"/>
      <c r="E243" s="1462"/>
      <c r="I243" s="1453"/>
      <c r="J243" s="1453"/>
      <c r="K243" s="1453"/>
      <c r="L243" s="1453"/>
      <c r="M243" s="1453"/>
      <c r="N243" s="1453"/>
      <c r="O243" s="1453"/>
      <c r="P243" s="1526"/>
      <c r="R243" s="1463"/>
      <c r="S243" s="1463"/>
      <c r="T243" s="1463"/>
      <c r="U243" s="1463"/>
      <c r="V243" s="1463"/>
      <c r="W243" s="1463"/>
      <c r="X243" s="1463"/>
      <c r="Y243" s="1463"/>
    </row>
    <row r="244" spans="1:25">
      <c r="A244" s="2263"/>
      <c r="B244" s="2263"/>
      <c r="C244" s="2263"/>
      <c r="D244" s="2263"/>
      <c r="E244" s="1462"/>
      <c r="I244" s="1453"/>
      <c r="J244" s="1453"/>
      <c r="K244" s="1453"/>
      <c r="L244" s="1453"/>
      <c r="M244" s="1453"/>
      <c r="N244" s="1453"/>
      <c r="O244" s="1453"/>
      <c r="P244" s="1526"/>
      <c r="R244" s="1463"/>
      <c r="S244" s="1463"/>
      <c r="T244" s="1463"/>
      <c r="U244" s="1463"/>
      <c r="V244" s="1463"/>
      <c r="W244" s="1463"/>
      <c r="X244" s="1463"/>
      <c r="Y244" s="1463"/>
    </row>
    <row r="245" spans="1:25">
      <c r="A245" s="2263"/>
      <c r="B245" s="2263"/>
      <c r="C245" s="2263"/>
      <c r="D245" s="2263"/>
      <c r="E245" s="1462"/>
      <c r="I245" s="1453"/>
      <c r="J245" s="1453"/>
      <c r="K245" s="1453"/>
      <c r="L245" s="1453"/>
      <c r="M245" s="1453"/>
      <c r="N245" s="1453"/>
      <c r="O245" s="1453"/>
      <c r="P245" s="1526"/>
      <c r="R245" s="1463"/>
      <c r="S245" s="1463"/>
      <c r="T245" s="1463"/>
      <c r="U245" s="1463"/>
      <c r="V245" s="1463"/>
      <c r="W245" s="1463"/>
      <c r="X245" s="1463"/>
      <c r="Y245" s="1463"/>
    </row>
    <row r="246" spans="1:25">
      <c r="A246" s="2263"/>
      <c r="B246" s="2263"/>
      <c r="C246" s="2263"/>
      <c r="D246" s="2263"/>
      <c r="E246" s="1462"/>
      <c r="I246" s="1453"/>
      <c r="J246" s="1453"/>
      <c r="K246" s="1453"/>
      <c r="L246" s="1453"/>
      <c r="M246" s="1453"/>
      <c r="N246" s="1453"/>
      <c r="O246" s="1453"/>
      <c r="P246" s="1526"/>
      <c r="R246" s="1463"/>
      <c r="S246" s="1463"/>
      <c r="T246" s="1463"/>
      <c r="U246" s="1463"/>
      <c r="V246" s="1463"/>
      <c r="W246" s="1463"/>
      <c r="X246" s="1463"/>
      <c r="Y246" s="1463"/>
    </row>
    <row r="247" spans="1:25">
      <c r="A247" s="2263"/>
      <c r="B247" s="2263"/>
      <c r="C247" s="2263"/>
      <c r="D247" s="2263"/>
      <c r="E247" s="1462"/>
      <c r="I247" s="1453"/>
      <c r="J247" s="1453"/>
      <c r="K247" s="1453"/>
      <c r="L247" s="1453"/>
      <c r="M247" s="1453"/>
      <c r="N247" s="1453"/>
      <c r="O247" s="1453"/>
      <c r="P247" s="1526"/>
      <c r="R247" s="1463"/>
      <c r="S247" s="1463"/>
      <c r="T247" s="1463"/>
      <c r="U247" s="1463"/>
      <c r="V247" s="1463"/>
      <c r="W247" s="1463"/>
      <c r="X247" s="1463"/>
      <c r="Y247" s="1463"/>
    </row>
    <row r="248" spans="1:25">
      <c r="A248" s="2263"/>
      <c r="B248" s="2263"/>
      <c r="C248" s="2263"/>
      <c r="D248" s="2263"/>
      <c r="E248" s="1462"/>
      <c r="I248" s="1453"/>
      <c r="J248" s="1453"/>
      <c r="K248" s="1453"/>
      <c r="L248" s="1453"/>
      <c r="M248" s="1453"/>
      <c r="N248" s="1453"/>
      <c r="O248" s="1453"/>
      <c r="P248" s="1526"/>
      <c r="R248" s="1463"/>
      <c r="S248" s="1463"/>
      <c r="T248" s="1463"/>
      <c r="U248" s="1463"/>
      <c r="V248" s="1463"/>
      <c r="W248" s="1463"/>
      <c r="X248" s="1463"/>
      <c r="Y248" s="1463"/>
    </row>
    <row r="249" spans="1:25">
      <c r="A249" s="2263"/>
      <c r="B249" s="2263"/>
      <c r="C249" s="2263"/>
      <c r="D249" s="2263"/>
      <c r="E249" s="1462"/>
      <c r="I249" s="1453"/>
      <c r="J249" s="1453"/>
      <c r="K249" s="1453"/>
      <c r="L249" s="1453"/>
      <c r="M249" s="1453"/>
      <c r="N249" s="1453"/>
      <c r="O249" s="1453"/>
      <c r="P249" s="1526"/>
      <c r="R249" s="1463"/>
      <c r="S249" s="1463"/>
      <c r="T249" s="1463"/>
      <c r="U249" s="1463"/>
      <c r="V249" s="1463"/>
      <c r="W249" s="1463"/>
      <c r="X249" s="1463"/>
      <c r="Y249" s="1463"/>
    </row>
    <row r="250" spans="1:25">
      <c r="A250" s="2263"/>
      <c r="B250" s="2263"/>
      <c r="C250" s="2263"/>
      <c r="D250" s="2263"/>
      <c r="E250" s="1462"/>
      <c r="I250" s="1453"/>
      <c r="J250" s="1453"/>
      <c r="K250" s="1453"/>
      <c r="L250" s="1453"/>
      <c r="M250" s="1453"/>
      <c r="N250" s="1453"/>
      <c r="O250" s="1453"/>
      <c r="P250" s="1526"/>
      <c r="R250" s="1463"/>
      <c r="S250" s="1463"/>
      <c r="T250" s="1463"/>
      <c r="U250" s="1463"/>
      <c r="V250" s="1463"/>
      <c r="W250" s="1463"/>
      <c r="X250" s="1463"/>
      <c r="Y250" s="1463"/>
    </row>
    <row r="251" spans="1:25">
      <c r="A251" s="2263"/>
      <c r="B251" s="2263"/>
      <c r="C251" s="2263"/>
      <c r="D251" s="2263"/>
      <c r="E251" s="1462"/>
      <c r="I251" s="1453"/>
      <c r="J251" s="1453"/>
      <c r="K251" s="1453"/>
      <c r="L251" s="1453"/>
      <c r="M251" s="1453"/>
      <c r="N251" s="1453"/>
      <c r="O251" s="1453"/>
      <c r="P251" s="1526"/>
      <c r="R251" s="1463"/>
      <c r="S251" s="1463"/>
      <c r="T251" s="1463"/>
      <c r="U251" s="1463"/>
      <c r="V251" s="1463"/>
      <c r="W251" s="1463"/>
      <c r="X251" s="1463"/>
      <c r="Y251" s="1463"/>
    </row>
    <row r="252" spans="1:25">
      <c r="A252" s="2263"/>
      <c r="B252" s="2263"/>
      <c r="C252" s="2263"/>
      <c r="D252" s="2263"/>
      <c r="E252" s="1462"/>
      <c r="I252" s="1453"/>
      <c r="J252" s="1453"/>
      <c r="K252" s="1453"/>
      <c r="L252" s="1453"/>
      <c r="M252" s="1453"/>
      <c r="N252" s="1453"/>
      <c r="O252" s="1453"/>
      <c r="P252" s="1526"/>
      <c r="R252" s="1463"/>
      <c r="S252" s="1463"/>
      <c r="T252" s="1463"/>
      <c r="U252" s="1463"/>
      <c r="V252" s="1463"/>
      <c r="W252" s="1463"/>
      <c r="X252" s="1463"/>
      <c r="Y252" s="1463"/>
    </row>
    <row r="253" spans="1:25">
      <c r="A253" s="2263"/>
      <c r="B253" s="2263"/>
      <c r="C253" s="2263"/>
      <c r="D253" s="2263"/>
      <c r="E253" s="1462"/>
      <c r="I253" s="1453"/>
      <c r="J253" s="1453"/>
      <c r="K253" s="1453"/>
      <c r="L253" s="1453"/>
      <c r="M253" s="1453"/>
      <c r="N253" s="1453"/>
      <c r="O253" s="1453"/>
      <c r="P253" s="1526"/>
      <c r="R253" s="1463"/>
      <c r="S253" s="1463"/>
      <c r="T253" s="1463"/>
      <c r="U253" s="1463"/>
      <c r="V253" s="1463"/>
      <c r="W253" s="1463"/>
      <c r="X253" s="1463"/>
      <c r="Y253" s="1463"/>
    </row>
    <row r="254" spans="1:25">
      <c r="A254" s="2263"/>
      <c r="B254" s="2263"/>
      <c r="C254" s="2263"/>
      <c r="D254" s="2263"/>
      <c r="E254" s="1462"/>
      <c r="I254" s="1453"/>
      <c r="J254" s="1453"/>
      <c r="K254" s="1453"/>
      <c r="L254" s="1453"/>
      <c r="M254" s="1453"/>
      <c r="N254" s="1453"/>
      <c r="O254" s="1453"/>
      <c r="P254" s="1526"/>
      <c r="R254" s="1463"/>
      <c r="S254" s="1463"/>
      <c r="T254" s="1463"/>
      <c r="U254" s="1463"/>
      <c r="V254" s="1463"/>
      <c r="W254" s="1463"/>
      <c r="X254" s="1463"/>
      <c r="Y254" s="1463"/>
    </row>
    <row r="255" spans="1:25">
      <c r="A255" s="2263"/>
      <c r="B255" s="2263"/>
      <c r="C255" s="2263"/>
      <c r="D255" s="2263"/>
      <c r="E255" s="1462"/>
      <c r="I255" s="1453"/>
      <c r="J255" s="1453"/>
      <c r="K255" s="1453"/>
      <c r="L255" s="1453"/>
      <c r="M255" s="1453"/>
      <c r="N255" s="1453"/>
      <c r="O255" s="1453"/>
      <c r="P255" s="1526"/>
      <c r="R255" s="1463"/>
      <c r="S255" s="1463"/>
      <c r="T255" s="1463"/>
      <c r="U255" s="1463"/>
      <c r="V255" s="1463"/>
      <c r="W255" s="1463"/>
      <c r="X255" s="1463"/>
      <c r="Y255" s="1463"/>
    </row>
    <row r="256" spans="1:25">
      <c r="A256" s="2263"/>
      <c r="B256" s="2263"/>
      <c r="C256" s="2263"/>
      <c r="D256" s="2263"/>
      <c r="E256" s="1462"/>
      <c r="I256" s="1453"/>
      <c r="J256" s="1453"/>
      <c r="K256" s="1453"/>
      <c r="L256" s="1453"/>
      <c r="M256" s="1453"/>
      <c r="N256" s="1453"/>
      <c r="O256" s="1453"/>
      <c r="P256" s="1526"/>
      <c r="R256" s="1463"/>
      <c r="S256" s="1463"/>
      <c r="T256" s="1463"/>
      <c r="U256" s="1463"/>
      <c r="V256" s="1463"/>
      <c r="W256" s="1463"/>
      <c r="X256" s="1463"/>
      <c r="Y256" s="1463"/>
    </row>
    <row r="257" spans="1:25">
      <c r="A257" s="2263"/>
      <c r="B257" s="2263"/>
      <c r="C257" s="2263"/>
      <c r="D257" s="2263"/>
      <c r="E257" s="1462"/>
      <c r="I257" s="1453"/>
      <c r="J257" s="1453"/>
      <c r="K257" s="1453"/>
      <c r="L257" s="1453"/>
      <c r="M257" s="1453"/>
      <c r="N257" s="1453"/>
      <c r="O257" s="1453"/>
      <c r="P257" s="1526"/>
      <c r="R257" s="1463"/>
      <c r="S257" s="1463"/>
      <c r="T257" s="1463"/>
      <c r="U257" s="1463"/>
      <c r="V257" s="1463"/>
      <c r="W257" s="1463"/>
      <c r="X257" s="1463"/>
      <c r="Y257" s="1463"/>
    </row>
    <row r="258" spans="1:25">
      <c r="A258" s="2263"/>
      <c r="B258" s="2263"/>
      <c r="C258" s="2263"/>
      <c r="D258" s="2263"/>
      <c r="E258" s="1462"/>
      <c r="I258" s="1453"/>
      <c r="J258" s="1453"/>
      <c r="K258" s="1453"/>
      <c r="L258" s="1453"/>
      <c r="M258" s="1453"/>
      <c r="N258" s="1453"/>
      <c r="O258" s="1453"/>
      <c r="P258" s="1526"/>
      <c r="R258" s="1463"/>
      <c r="S258" s="1463"/>
      <c r="T258" s="1463"/>
      <c r="U258" s="1463"/>
      <c r="V258" s="1463"/>
      <c r="W258" s="1463"/>
      <c r="X258" s="1463"/>
      <c r="Y258" s="1463"/>
    </row>
    <row r="259" spans="1:25">
      <c r="A259" s="2263"/>
      <c r="B259" s="2263"/>
      <c r="C259" s="2263"/>
      <c r="D259" s="2263"/>
      <c r="E259" s="1462"/>
      <c r="I259" s="1453"/>
      <c r="J259" s="1453"/>
      <c r="K259" s="1453"/>
      <c r="L259" s="1453"/>
      <c r="M259" s="1453"/>
      <c r="N259" s="1453"/>
      <c r="O259" s="1453"/>
      <c r="P259" s="1526"/>
      <c r="R259" s="1463"/>
      <c r="S259" s="1463"/>
      <c r="T259" s="1463"/>
      <c r="U259" s="1463"/>
      <c r="V259" s="1463"/>
      <c r="W259" s="1463"/>
      <c r="X259" s="1463"/>
      <c r="Y259" s="1463"/>
    </row>
    <row r="260" spans="1:25">
      <c r="A260" s="2263"/>
      <c r="B260" s="2263"/>
      <c r="C260" s="2263"/>
      <c r="D260" s="2263"/>
      <c r="E260" s="1462"/>
      <c r="I260" s="1453"/>
      <c r="J260" s="1453"/>
      <c r="K260" s="1453"/>
      <c r="L260" s="1453"/>
      <c r="M260" s="1453"/>
      <c r="N260" s="1453"/>
      <c r="O260" s="1453"/>
      <c r="P260" s="1526"/>
      <c r="R260" s="1463"/>
      <c r="S260" s="1463"/>
      <c r="T260" s="1463"/>
      <c r="U260" s="1463"/>
      <c r="V260" s="1463"/>
      <c r="W260" s="1463"/>
      <c r="X260" s="1463"/>
      <c r="Y260" s="1463"/>
    </row>
    <row r="261" spans="1:25">
      <c r="A261" s="2263"/>
      <c r="B261" s="2263"/>
      <c r="C261" s="2263"/>
      <c r="D261" s="2263"/>
      <c r="E261" s="1462"/>
      <c r="I261" s="1453"/>
      <c r="J261" s="1453"/>
      <c r="K261" s="1453"/>
      <c r="L261" s="1453"/>
      <c r="M261" s="1453"/>
      <c r="N261" s="1453"/>
      <c r="O261" s="1453"/>
      <c r="P261" s="1526"/>
      <c r="R261" s="1463"/>
      <c r="S261" s="1463"/>
      <c r="T261" s="1463"/>
      <c r="U261" s="1463"/>
      <c r="V261" s="1463"/>
      <c r="W261" s="1463"/>
      <c r="X261" s="1463"/>
      <c r="Y261" s="1463"/>
    </row>
    <row r="262" spans="1:25">
      <c r="A262" s="2263"/>
      <c r="B262" s="2263"/>
      <c r="C262" s="2263"/>
      <c r="D262" s="2263"/>
      <c r="E262" s="1462"/>
      <c r="I262" s="1453"/>
      <c r="J262" s="1453"/>
      <c r="K262" s="1453"/>
      <c r="L262" s="1453"/>
      <c r="M262" s="1453"/>
      <c r="N262" s="1453"/>
      <c r="O262" s="1453"/>
      <c r="P262" s="1526"/>
      <c r="R262" s="1463"/>
      <c r="S262" s="1463"/>
      <c r="T262" s="1463"/>
      <c r="U262" s="1463"/>
      <c r="V262" s="1463"/>
      <c r="W262" s="1463"/>
      <c r="X262" s="1463"/>
      <c r="Y262" s="1463"/>
    </row>
    <row r="263" spans="1:25">
      <c r="A263" s="2263"/>
      <c r="B263" s="2263"/>
      <c r="C263" s="2263"/>
      <c r="D263" s="2263"/>
      <c r="E263" s="1462"/>
      <c r="I263" s="1453"/>
      <c r="J263" s="1453"/>
      <c r="K263" s="1453"/>
      <c r="L263" s="1453"/>
      <c r="M263" s="1453"/>
      <c r="N263" s="1453"/>
      <c r="O263" s="1453"/>
      <c r="P263" s="1526"/>
      <c r="R263" s="1463"/>
      <c r="S263" s="1463"/>
      <c r="T263" s="1463"/>
      <c r="U263" s="1463"/>
      <c r="V263" s="1463"/>
      <c r="W263" s="1463"/>
      <c r="X263" s="1463"/>
      <c r="Y263" s="1463"/>
    </row>
    <row r="264" spans="1:25">
      <c r="A264" s="2263"/>
      <c r="B264" s="2263"/>
      <c r="C264" s="2263"/>
      <c r="D264" s="2263"/>
      <c r="E264" s="1462"/>
      <c r="I264" s="1453"/>
      <c r="J264" s="1453"/>
      <c r="K264" s="1453"/>
      <c r="L264" s="1453"/>
      <c r="M264" s="1453"/>
      <c r="N264" s="1453"/>
      <c r="O264" s="1453"/>
      <c r="P264" s="1526"/>
      <c r="R264" s="1463"/>
      <c r="S264" s="1463"/>
      <c r="T264" s="1463"/>
      <c r="U264" s="1463"/>
      <c r="V264" s="1463"/>
      <c r="W264" s="1463"/>
      <c r="X264" s="1463"/>
      <c r="Y264" s="1463"/>
    </row>
    <row r="265" spans="1:25">
      <c r="A265" s="2263"/>
      <c r="B265" s="2263"/>
      <c r="C265" s="2263"/>
      <c r="D265" s="2263"/>
      <c r="E265" s="1462"/>
      <c r="I265" s="1453"/>
      <c r="J265" s="1453"/>
      <c r="K265" s="1453"/>
      <c r="L265" s="1453"/>
      <c r="M265" s="1453"/>
      <c r="N265" s="1453"/>
      <c r="O265" s="1453"/>
      <c r="P265" s="1526"/>
      <c r="R265" s="1463"/>
      <c r="S265" s="1463"/>
      <c r="T265" s="1463"/>
      <c r="U265" s="1463"/>
      <c r="V265" s="1463"/>
      <c r="W265" s="1463"/>
      <c r="X265" s="1463"/>
      <c r="Y265" s="1463"/>
    </row>
    <row r="266" spans="1:25">
      <c r="A266" s="2263"/>
      <c r="B266" s="2263"/>
      <c r="C266" s="2263"/>
      <c r="D266" s="2263"/>
      <c r="E266" s="1462"/>
      <c r="I266" s="1453"/>
      <c r="J266" s="1453"/>
      <c r="K266" s="1453"/>
      <c r="L266" s="1453"/>
      <c r="M266" s="1453"/>
      <c r="N266" s="1453"/>
      <c r="O266" s="1453"/>
      <c r="P266" s="1526"/>
      <c r="R266" s="1463"/>
      <c r="S266" s="1463"/>
      <c r="T266" s="1463"/>
      <c r="U266" s="1463"/>
      <c r="V266" s="1463"/>
      <c r="W266" s="1463"/>
      <c r="X266" s="1463"/>
      <c r="Y266" s="1463"/>
    </row>
    <row r="267" spans="1:25">
      <c r="A267" s="2263"/>
      <c r="B267" s="2263"/>
      <c r="C267" s="2263"/>
      <c r="D267" s="2263"/>
      <c r="E267" s="1462"/>
      <c r="I267" s="1453"/>
      <c r="J267" s="1453"/>
      <c r="K267" s="1453"/>
      <c r="L267" s="1453"/>
      <c r="M267" s="1453"/>
      <c r="N267" s="1453"/>
      <c r="O267" s="1453"/>
      <c r="P267" s="1526"/>
      <c r="R267" s="1463"/>
      <c r="S267" s="1463"/>
      <c r="T267" s="1463"/>
      <c r="U267" s="1463"/>
      <c r="V267" s="1463"/>
      <c r="W267" s="1463"/>
      <c r="X267" s="1463"/>
      <c r="Y267" s="1463"/>
    </row>
    <row r="268" spans="1:25">
      <c r="A268" s="2263"/>
      <c r="B268" s="2263"/>
      <c r="C268" s="2263"/>
      <c r="D268" s="2263"/>
      <c r="E268" s="1462"/>
      <c r="I268" s="1453"/>
      <c r="J268" s="1453"/>
      <c r="K268" s="1453"/>
      <c r="L268" s="1453"/>
      <c r="M268" s="1453"/>
      <c r="N268" s="1453"/>
      <c r="O268" s="1453"/>
      <c r="P268" s="1526"/>
      <c r="R268" s="1463"/>
      <c r="S268" s="1463"/>
      <c r="T268" s="1463"/>
      <c r="U268" s="1463"/>
      <c r="V268" s="1463"/>
      <c r="W268" s="1463"/>
      <c r="X268" s="1463"/>
      <c r="Y268" s="1463"/>
    </row>
    <row r="269" spans="1:25">
      <c r="A269" s="2263"/>
      <c r="B269" s="2263"/>
      <c r="C269" s="2263"/>
      <c r="D269" s="2263"/>
      <c r="E269" s="1462"/>
      <c r="I269" s="1453"/>
      <c r="J269" s="1453"/>
      <c r="K269" s="1453"/>
      <c r="L269" s="1453"/>
      <c r="M269" s="1453"/>
      <c r="N269" s="1453"/>
      <c r="O269" s="1453"/>
      <c r="P269" s="1526"/>
      <c r="R269" s="1463"/>
      <c r="S269" s="1463"/>
      <c r="T269" s="1463"/>
      <c r="U269" s="1463"/>
      <c r="V269" s="1463"/>
      <c r="W269" s="1463"/>
      <c r="X269" s="1463"/>
      <c r="Y269" s="1463"/>
    </row>
    <row r="270" spans="1:25">
      <c r="A270" s="2263"/>
      <c r="B270" s="2263"/>
      <c r="C270" s="2263"/>
      <c r="D270" s="2263"/>
      <c r="E270" s="1462"/>
      <c r="I270" s="1453"/>
      <c r="J270" s="1453"/>
      <c r="K270" s="1453"/>
      <c r="L270" s="1453"/>
      <c r="M270" s="1453"/>
      <c r="N270" s="1453"/>
      <c r="O270" s="1453"/>
      <c r="P270" s="1526"/>
      <c r="R270" s="1463"/>
      <c r="S270" s="1463"/>
      <c r="T270" s="1463"/>
      <c r="U270" s="1463"/>
      <c r="V270" s="1463"/>
      <c r="W270" s="1463"/>
      <c r="X270" s="1463"/>
      <c r="Y270" s="1463"/>
    </row>
    <row r="271" spans="1:25">
      <c r="A271" s="2263"/>
      <c r="B271" s="2263"/>
      <c r="C271" s="2263"/>
      <c r="D271" s="2263"/>
      <c r="E271" s="1462"/>
      <c r="I271" s="1453"/>
      <c r="J271" s="1453"/>
      <c r="K271" s="1453"/>
      <c r="L271" s="1453"/>
      <c r="M271" s="1453"/>
      <c r="N271" s="1453"/>
      <c r="O271" s="1453"/>
      <c r="P271" s="1526"/>
      <c r="R271" s="1463"/>
      <c r="S271" s="1463"/>
      <c r="T271" s="1463"/>
      <c r="U271" s="1463"/>
      <c r="V271" s="1463"/>
      <c r="W271" s="1463"/>
      <c r="X271" s="1463"/>
      <c r="Y271" s="1463"/>
    </row>
    <row r="272" spans="1:25">
      <c r="A272" s="2263"/>
      <c r="B272" s="2263"/>
      <c r="C272" s="2263"/>
      <c r="D272" s="2263"/>
      <c r="E272" s="1462"/>
      <c r="I272" s="1453"/>
      <c r="J272" s="1453"/>
      <c r="K272" s="1453"/>
      <c r="L272" s="1453"/>
      <c r="M272" s="1453"/>
      <c r="N272" s="1453"/>
      <c r="O272" s="1453"/>
      <c r="P272" s="1526"/>
      <c r="R272" s="1463"/>
      <c r="S272" s="1463"/>
      <c r="T272" s="1463"/>
      <c r="U272" s="1463"/>
      <c r="V272" s="1463"/>
      <c r="W272" s="1463"/>
      <c r="X272" s="1463"/>
      <c r="Y272" s="1463"/>
    </row>
    <row r="273" spans="1:25">
      <c r="A273" s="2263"/>
      <c r="B273" s="2263"/>
      <c r="C273" s="2263"/>
      <c r="D273" s="2263"/>
      <c r="E273" s="1462"/>
      <c r="I273" s="1453"/>
      <c r="J273" s="1453"/>
      <c r="K273" s="1453"/>
      <c r="L273" s="1453"/>
      <c r="M273" s="1453"/>
      <c r="N273" s="1453"/>
      <c r="O273" s="1453"/>
      <c r="P273" s="1526"/>
      <c r="R273" s="1463"/>
      <c r="S273" s="1463"/>
      <c r="T273" s="1463"/>
      <c r="U273" s="1463"/>
      <c r="V273" s="1463"/>
      <c r="W273" s="1463"/>
      <c r="X273" s="1463"/>
      <c r="Y273" s="1463"/>
    </row>
    <row r="274" spans="1:25">
      <c r="A274" s="2263"/>
      <c r="B274" s="2263"/>
      <c r="C274" s="2263"/>
      <c r="D274" s="2263"/>
      <c r="E274" s="1462"/>
      <c r="I274" s="1453"/>
      <c r="J274" s="1453"/>
      <c r="K274" s="1453"/>
      <c r="L274" s="1453"/>
      <c r="M274" s="1453"/>
      <c r="N274" s="1453"/>
      <c r="O274" s="1453"/>
      <c r="P274" s="1526"/>
      <c r="R274" s="1463"/>
      <c r="S274" s="1463"/>
      <c r="T274" s="1463"/>
      <c r="U274" s="1463"/>
      <c r="V274" s="1463"/>
      <c r="W274" s="1463"/>
      <c r="X274" s="1463"/>
      <c r="Y274" s="1463"/>
    </row>
    <row r="275" spans="1:25">
      <c r="A275" s="2263"/>
      <c r="B275" s="2263"/>
      <c r="C275" s="2263"/>
      <c r="D275" s="2263"/>
      <c r="E275" s="1462"/>
      <c r="I275" s="1453"/>
      <c r="J275" s="1453"/>
      <c r="K275" s="1453"/>
      <c r="L275" s="1453"/>
      <c r="M275" s="1453"/>
      <c r="N275" s="1453"/>
      <c r="O275" s="1453"/>
      <c r="P275" s="1526"/>
      <c r="R275" s="1463"/>
      <c r="S275" s="1463"/>
      <c r="T275" s="1463"/>
      <c r="U275" s="1463"/>
      <c r="V275" s="1463"/>
      <c r="W275" s="1463"/>
      <c r="X275" s="1463"/>
      <c r="Y275" s="1463"/>
    </row>
    <row r="276" spans="1:25">
      <c r="A276" s="2263"/>
      <c r="B276" s="2263"/>
      <c r="C276" s="2263"/>
      <c r="D276" s="2263"/>
      <c r="E276" s="1462"/>
      <c r="I276" s="1453"/>
      <c r="J276" s="1453"/>
      <c r="K276" s="1453"/>
      <c r="L276" s="1453"/>
      <c r="M276" s="1453"/>
      <c r="N276" s="1453"/>
      <c r="O276" s="1453"/>
      <c r="P276" s="1526"/>
      <c r="R276" s="1463"/>
      <c r="S276" s="1463"/>
      <c r="T276" s="1463"/>
      <c r="U276" s="1463"/>
      <c r="V276" s="1463"/>
      <c r="W276" s="1463"/>
      <c r="X276" s="1463"/>
      <c r="Y276" s="1463"/>
    </row>
    <row r="277" spans="1:25">
      <c r="A277" s="2263"/>
      <c r="B277" s="2263"/>
      <c r="C277" s="2263"/>
      <c r="D277" s="2263"/>
      <c r="E277" s="1462"/>
      <c r="I277" s="1453"/>
      <c r="J277" s="1453"/>
      <c r="K277" s="1453"/>
      <c r="L277" s="1453"/>
      <c r="M277" s="1453"/>
      <c r="N277" s="1453"/>
      <c r="O277" s="1453"/>
      <c r="P277" s="1526"/>
      <c r="R277" s="1463"/>
      <c r="S277" s="1463"/>
      <c r="T277" s="1463"/>
      <c r="U277" s="1463"/>
      <c r="V277" s="1463"/>
      <c r="W277" s="1463"/>
      <c r="X277" s="1463"/>
      <c r="Y277" s="1463"/>
    </row>
    <row r="278" spans="1:25">
      <c r="A278" s="2263"/>
      <c r="B278" s="2263"/>
      <c r="C278" s="2263"/>
      <c r="D278" s="2263"/>
      <c r="E278" s="1462"/>
      <c r="I278" s="1453"/>
      <c r="J278" s="1453"/>
      <c r="K278" s="1453"/>
      <c r="L278" s="1453"/>
      <c r="M278" s="1453"/>
      <c r="N278" s="1453"/>
      <c r="O278" s="1453"/>
      <c r="P278" s="1526"/>
      <c r="R278" s="1463"/>
      <c r="S278" s="1463"/>
      <c r="T278" s="1463"/>
      <c r="U278" s="1463"/>
      <c r="V278" s="1463"/>
      <c r="W278" s="1463"/>
      <c r="X278" s="1463"/>
      <c r="Y278" s="1463"/>
    </row>
    <row r="279" spans="1:25">
      <c r="A279" s="2263"/>
      <c r="B279" s="2263"/>
      <c r="C279" s="2263"/>
      <c r="D279" s="2263"/>
      <c r="E279" s="1462"/>
      <c r="I279" s="1453"/>
      <c r="J279" s="1453"/>
      <c r="K279" s="1453"/>
      <c r="L279" s="1453"/>
      <c r="M279" s="1453"/>
      <c r="N279" s="1453"/>
      <c r="O279" s="1453"/>
      <c r="P279" s="1526"/>
      <c r="R279" s="1463"/>
      <c r="S279" s="1463"/>
      <c r="T279" s="1463"/>
      <c r="U279" s="1463"/>
      <c r="V279" s="1463"/>
      <c r="W279" s="1463"/>
      <c r="X279" s="1463"/>
      <c r="Y279" s="1463"/>
    </row>
    <row r="280" spans="1:25">
      <c r="A280" s="2263"/>
      <c r="B280" s="2263"/>
      <c r="C280" s="2263"/>
      <c r="D280" s="2263"/>
      <c r="E280" s="1462"/>
      <c r="I280" s="1453"/>
      <c r="J280" s="1453"/>
      <c r="K280" s="1453"/>
      <c r="L280" s="1453"/>
      <c r="M280" s="1453"/>
      <c r="N280" s="1453"/>
      <c r="O280" s="1453"/>
      <c r="P280" s="1526"/>
      <c r="R280" s="1463"/>
      <c r="S280" s="1463"/>
      <c r="T280" s="1463"/>
      <c r="U280" s="1463"/>
      <c r="V280" s="1463"/>
      <c r="W280" s="1463"/>
      <c r="X280" s="1463"/>
      <c r="Y280" s="1463"/>
    </row>
    <row r="281" spans="1:25">
      <c r="A281" s="2263"/>
      <c r="B281" s="2263"/>
      <c r="C281" s="2263"/>
      <c r="D281" s="2263"/>
      <c r="E281" s="1462"/>
      <c r="I281" s="1453"/>
      <c r="J281" s="1453"/>
      <c r="K281" s="1453"/>
      <c r="L281" s="1453"/>
      <c r="M281" s="1453"/>
      <c r="N281" s="1453"/>
      <c r="O281" s="1453"/>
      <c r="P281" s="1526"/>
      <c r="R281" s="1463"/>
      <c r="S281" s="1463"/>
      <c r="T281" s="1463"/>
      <c r="U281" s="1463"/>
      <c r="V281" s="1463"/>
      <c r="W281" s="1463"/>
      <c r="X281" s="1463"/>
      <c r="Y281" s="1463"/>
    </row>
    <row r="282" spans="1:25">
      <c r="A282" s="2263"/>
      <c r="B282" s="2263"/>
      <c r="C282" s="2263"/>
      <c r="D282" s="2263"/>
      <c r="E282" s="1462"/>
      <c r="I282" s="1453"/>
      <c r="J282" s="1453"/>
      <c r="K282" s="1453"/>
      <c r="L282" s="1453"/>
      <c r="M282" s="1453"/>
      <c r="N282" s="1453"/>
      <c r="O282" s="1453"/>
      <c r="P282" s="1526"/>
      <c r="R282" s="1463"/>
      <c r="S282" s="1463"/>
      <c r="T282" s="1463"/>
      <c r="U282" s="1463"/>
      <c r="V282" s="1463"/>
      <c r="W282" s="1463"/>
      <c r="X282" s="1463"/>
      <c r="Y282" s="1463"/>
    </row>
    <row r="283" spans="1:25">
      <c r="A283" s="2263"/>
      <c r="B283" s="2263"/>
      <c r="C283" s="2263"/>
      <c r="D283" s="2263"/>
      <c r="E283" s="1462"/>
      <c r="I283" s="1453"/>
      <c r="J283" s="1453"/>
      <c r="K283" s="1453"/>
      <c r="L283" s="1453"/>
      <c r="M283" s="1453"/>
      <c r="N283" s="1453"/>
      <c r="O283" s="1453"/>
      <c r="P283" s="1526"/>
      <c r="R283" s="1463"/>
      <c r="S283" s="1463"/>
      <c r="T283" s="1463"/>
      <c r="U283" s="1463"/>
      <c r="V283" s="1463"/>
      <c r="W283" s="1463"/>
      <c r="X283" s="1463"/>
      <c r="Y283" s="1463"/>
    </row>
    <row r="284" spans="1:25">
      <c r="A284" s="2263"/>
      <c r="B284" s="2263"/>
      <c r="C284" s="2263"/>
      <c r="D284" s="2263"/>
      <c r="E284" s="1462"/>
      <c r="I284" s="1453"/>
      <c r="J284" s="1453"/>
      <c r="K284" s="1453"/>
      <c r="L284" s="1453"/>
      <c r="M284" s="1453"/>
      <c r="N284" s="1453"/>
      <c r="O284" s="1453"/>
      <c r="P284" s="1526"/>
      <c r="R284" s="1463"/>
      <c r="S284" s="1463"/>
      <c r="T284" s="1463"/>
      <c r="U284" s="1463"/>
      <c r="V284" s="1463"/>
      <c r="W284" s="1463"/>
      <c r="X284" s="1463"/>
      <c r="Y284" s="1463"/>
    </row>
    <row r="285" spans="1:25">
      <c r="A285" s="2263"/>
      <c r="B285" s="2263"/>
      <c r="C285" s="2263"/>
      <c r="D285" s="2263"/>
      <c r="E285" s="1462"/>
      <c r="I285" s="1453"/>
      <c r="J285" s="1453"/>
      <c r="K285" s="1453"/>
      <c r="L285" s="1453"/>
      <c r="M285" s="1453"/>
      <c r="N285" s="1453"/>
      <c r="O285" s="1453"/>
      <c r="P285" s="1526"/>
      <c r="R285" s="1463"/>
      <c r="S285" s="1463"/>
      <c r="T285" s="1463"/>
      <c r="U285" s="1463"/>
      <c r="V285" s="1463"/>
      <c r="W285" s="1463"/>
      <c r="X285" s="1463"/>
      <c r="Y285" s="1463"/>
    </row>
    <row r="286" spans="1:25">
      <c r="A286" s="2263"/>
      <c r="B286" s="2263"/>
      <c r="C286" s="2263"/>
      <c r="D286" s="2263"/>
      <c r="E286" s="1462"/>
      <c r="I286" s="1453"/>
      <c r="J286" s="1453"/>
      <c r="K286" s="1453"/>
      <c r="L286" s="1453"/>
      <c r="M286" s="1453"/>
      <c r="N286" s="1453"/>
      <c r="O286" s="1453"/>
      <c r="P286" s="1526"/>
      <c r="R286" s="1463"/>
      <c r="S286" s="1463"/>
      <c r="T286" s="1463"/>
      <c r="U286" s="1463"/>
      <c r="V286" s="1463"/>
      <c r="W286" s="1463"/>
      <c r="X286" s="1463"/>
      <c r="Y286" s="1463"/>
    </row>
    <row r="287" spans="1:25">
      <c r="A287" s="2263"/>
      <c r="B287" s="2263"/>
      <c r="C287" s="2263"/>
      <c r="D287" s="2263"/>
      <c r="E287" s="1462"/>
      <c r="I287" s="1453"/>
      <c r="J287" s="1453"/>
      <c r="K287" s="1453"/>
      <c r="L287" s="1453"/>
      <c r="M287" s="1453"/>
      <c r="N287" s="1453"/>
      <c r="O287" s="1453"/>
      <c r="P287" s="1446"/>
      <c r="R287" s="1463"/>
      <c r="S287" s="1463"/>
      <c r="T287" s="1463"/>
      <c r="U287" s="1463"/>
      <c r="V287" s="1463"/>
      <c r="W287" s="1463"/>
      <c r="X287" s="1463"/>
      <c r="Y287" s="1463"/>
    </row>
    <row r="288" spans="1:25">
      <c r="A288" s="2263"/>
      <c r="B288" s="2263"/>
      <c r="C288" s="2263"/>
      <c r="D288" s="2263"/>
      <c r="E288" s="1462"/>
      <c r="I288" s="1453"/>
      <c r="J288" s="1453"/>
      <c r="K288" s="1453"/>
      <c r="L288" s="1453"/>
      <c r="M288" s="1453"/>
      <c r="N288" s="1453"/>
      <c r="O288" s="1453"/>
      <c r="P288" s="1446"/>
      <c r="R288" s="1463"/>
      <c r="S288" s="1463"/>
      <c r="T288" s="1463"/>
      <c r="U288" s="1463"/>
      <c r="V288" s="1463"/>
      <c r="W288" s="1463"/>
      <c r="X288" s="1463"/>
      <c r="Y288" s="1463"/>
    </row>
    <row r="289" spans="1:25">
      <c r="A289" s="2263"/>
      <c r="B289" s="2263"/>
      <c r="C289" s="2263"/>
      <c r="D289" s="2263"/>
      <c r="E289" s="1462"/>
      <c r="I289" s="1453"/>
      <c r="J289" s="1453"/>
      <c r="K289" s="1453"/>
      <c r="L289" s="1453"/>
      <c r="M289" s="1453"/>
      <c r="N289" s="1453"/>
      <c r="O289" s="1453"/>
      <c r="P289" s="1446"/>
      <c r="R289" s="1463"/>
      <c r="S289" s="1463"/>
      <c r="T289" s="1463"/>
      <c r="U289" s="1463"/>
      <c r="V289" s="1463"/>
      <c r="W289" s="1463"/>
      <c r="X289" s="1463"/>
      <c r="Y289" s="1463"/>
    </row>
    <row r="290" spans="1:25">
      <c r="A290" s="2263"/>
      <c r="B290" s="2263"/>
      <c r="C290" s="2263"/>
      <c r="D290" s="2263"/>
      <c r="E290" s="1462"/>
      <c r="I290" s="1453"/>
      <c r="J290" s="1453"/>
      <c r="K290" s="1453"/>
      <c r="L290" s="1453"/>
      <c r="M290" s="1453"/>
      <c r="N290" s="1453"/>
      <c r="O290" s="1453"/>
      <c r="P290" s="1446"/>
      <c r="R290" s="1463"/>
      <c r="S290" s="1463"/>
      <c r="T290" s="1463"/>
      <c r="U290" s="1463"/>
      <c r="V290" s="1463"/>
      <c r="W290" s="1463"/>
      <c r="X290" s="1463"/>
      <c r="Y290" s="1463"/>
    </row>
    <row r="291" spans="1:25">
      <c r="A291" s="2263"/>
      <c r="B291" s="2263"/>
      <c r="C291" s="2263"/>
      <c r="D291" s="2263"/>
      <c r="E291" s="1462"/>
      <c r="I291" s="1453"/>
      <c r="J291" s="1453"/>
      <c r="K291" s="1453"/>
      <c r="L291" s="1453"/>
      <c r="M291" s="1453"/>
      <c r="N291" s="1453"/>
      <c r="O291" s="1453"/>
      <c r="P291" s="1446"/>
      <c r="R291" s="1463"/>
      <c r="S291" s="1463"/>
      <c r="T291" s="1463"/>
      <c r="U291" s="1463"/>
      <c r="V291" s="1463"/>
      <c r="W291" s="1463"/>
      <c r="X291" s="1463"/>
      <c r="Y291" s="1463"/>
    </row>
    <row r="292" spans="1:25">
      <c r="A292" s="2263"/>
      <c r="B292" s="2263"/>
      <c r="C292" s="2263"/>
      <c r="D292" s="2263"/>
      <c r="E292" s="1462"/>
      <c r="I292" s="1453"/>
      <c r="J292" s="1453"/>
      <c r="K292" s="1453"/>
      <c r="L292" s="1453"/>
      <c r="M292" s="1453"/>
      <c r="N292" s="1453"/>
      <c r="O292" s="1453"/>
      <c r="P292" s="1446"/>
      <c r="R292" s="1463"/>
      <c r="S292" s="1463"/>
      <c r="T292" s="1463"/>
      <c r="U292" s="1463"/>
      <c r="V292" s="1463"/>
      <c r="W292" s="1463"/>
      <c r="X292" s="1463"/>
      <c r="Y292" s="1463"/>
    </row>
    <row r="293" spans="1:25">
      <c r="A293" s="2263"/>
      <c r="B293" s="2263"/>
      <c r="C293" s="2263"/>
      <c r="D293" s="2263"/>
      <c r="E293" s="1462"/>
      <c r="I293" s="1453"/>
      <c r="J293" s="1453"/>
      <c r="K293" s="1453"/>
      <c r="L293" s="1453"/>
      <c r="M293" s="1453"/>
      <c r="N293" s="1453"/>
      <c r="O293" s="1453"/>
      <c r="P293" s="1446"/>
      <c r="R293" s="1463"/>
      <c r="S293" s="1463"/>
      <c r="T293" s="1463"/>
      <c r="U293" s="1463"/>
      <c r="V293" s="1463"/>
      <c r="W293" s="1463"/>
      <c r="X293" s="1463"/>
      <c r="Y293" s="1463"/>
    </row>
    <row r="294" spans="1:25">
      <c r="A294" s="2263"/>
      <c r="B294" s="2263"/>
      <c r="C294" s="2263"/>
      <c r="D294" s="2263"/>
      <c r="E294" s="1462"/>
      <c r="I294" s="1453"/>
      <c r="J294" s="1453"/>
      <c r="K294" s="1453"/>
      <c r="L294" s="1453"/>
      <c r="M294" s="1453"/>
      <c r="N294" s="1453"/>
      <c r="O294" s="1453"/>
      <c r="P294" s="1446"/>
      <c r="R294" s="1463"/>
      <c r="S294" s="1463"/>
      <c r="T294" s="1463"/>
      <c r="U294" s="1463"/>
      <c r="V294" s="1463"/>
      <c r="W294" s="1463"/>
      <c r="X294" s="1463"/>
      <c r="Y294" s="1463"/>
    </row>
    <row r="295" spans="1:25">
      <c r="A295" s="2263"/>
      <c r="B295" s="2263"/>
      <c r="C295" s="2263"/>
      <c r="D295" s="2263"/>
      <c r="E295" s="1462"/>
      <c r="I295" s="1453"/>
      <c r="J295" s="1453"/>
      <c r="K295" s="1453"/>
      <c r="L295" s="1453"/>
      <c r="M295" s="1453"/>
      <c r="N295" s="1453"/>
      <c r="O295" s="1453"/>
      <c r="P295" s="1446"/>
      <c r="R295" s="1463"/>
      <c r="S295" s="1463"/>
      <c r="T295" s="1463"/>
      <c r="U295" s="1463"/>
      <c r="V295" s="1463"/>
      <c r="W295" s="1463"/>
      <c r="X295" s="1463"/>
      <c r="Y295" s="1463"/>
    </row>
    <row r="296" spans="1:25">
      <c r="A296" s="2263"/>
      <c r="B296" s="2263"/>
      <c r="C296" s="2263"/>
      <c r="D296" s="2263"/>
      <c r="E296" s="1462"/>
      <c r="I296" s="1453"/>
      <c r="J296" s="1453"/>
      <c r="K296" s="1453"/>
      <c r="L296" s="1453"/>
      <c r="M296" s="1453"/>
      <c r="N296" s="1453"/>
      <c r="O296" s="1453"/>
      <c r="P296" s="1446"/>
      <c r="R296" s="1463"/>
      <c r="S296" s="1463"/>
      <c r="T296" s="1463"/>
      <c r="U296" s="1463"/>
      <c r="V296" s="1463"/>
      <c r="W296" s="1463"/>
      <c r="X296" s="1463"/>
      <c r="Y296" s="1463"/>
    </row>
    <row r="297" spans="1:25">
      <c r="A297" s="2263"/>
      <c r="B297" s="2263"/>
      <c r="C297" s="2263"/>
      <c r="D297" s="2263"/>
      <c r="E297" s="1462"/>
      <c r="I297" s="1453"/>
      <c r="J297" s="1453"/>
      <c r="K297" s="1453"/>
      <c r="L297" s="1453"/>
      <c r="M297" s="1453"/>
      <c r="N297" s="1453"/>
      <c r="O297" s="1453"/>
      <c r="P297" s="1446"/>
      <c r="R297" s="1463"/>
      <c r="S297" s="1463"/>
      <c r="T297" s="1463"/>
      <c r="U297" s="1463"/>
      <c r="V297" s="1463"/>
      <c r="W297" s="1463"/>
      <c r="X297" s="1463"/>
      <c r="Y297" s="1463"/>
    </row>
    <row r="298" spans="1:25">
      <c r="A298" s="2263"/>
      <c r="B298" s="2263"/>
      <c r="C298" s="2263"/>
      <c r="D298" s="2263"/>
      <c r="E298" s="1462"/>
      <c r="I298" s="1453"/>
      <c r="J298" s="1453"/>
      <c r="K298" s="1453"/>
      <c r="L298" s="1453"/>
      <c r="M298" s="1453"/>
      <c r="N298" s="1453"/>
      <c r="O298" s="1453"/>
      <c r="P298" s="1446"/>
      <c r="R298" s="1463"/>
      <c r="S298" s="1463"/>
      <c r="T298" s="1463"/>
      <c r="U298" s="1463"/>
      <c r="V298" s="1463"/>
      <c r="W298" s="1463"/>
      <c r="X298" s="1463"/>
      <c r="Y298" s="1463"/>
    </row>
    <row r="299" spans="1:25">
      <c r="A299" s="2263"/>
      <c r="B299" s="2263"/>
      <c r="C299" s="2263"/>
      <c r="D299" s="2263"/>
      <c r="E299" s="1462"/>
      <c r="I299" s="1453"/>
      <c r="J299" s="1453"/>
      <c r="K299" s="1453"/>
      <c r="L299" s="1453"/>
      <c r="M299" s="1453"/>
      <c r="N299" s="1453"/>
      <c r="O299" s="1453"/>
      <c r="P299" s="1446"/>
      <c r="R299" s="1463"/>
      <c r="S299" s="1463"/>
      <c r="T299" s="1463"/>
      <c r="U299" s="1463"/>
      <c r="V299" s="1463"/>
      <c r="W299" s="1463"/>
      <c r="X299" s="1463"/>
      <c r="Y299" s="1463"/>
    </row>
    <row r="300" spans="1:25">
      <c r="A300" s="2263"/>
      <c r="B300" s="2263"/>
      <c r="C300" s="2263"/>
      <c r="D300" s="2263"/>
      <c r="E300" s="1462"/>
      <c r="I300" s="1453"/>
      <c r="J300" s="1453"/>
      <c r="K300" s="1453"/>
      <c r="L300" s="1453"/>
      <c r="M300" s="1453"/>
      <c r="N300" s="1453"/>
      <c r="O300" s="1453"/>
      <c r="P300" s="1446"/>
      <c r="R300" s="1463"/>
      <c r="S300" s="1463"/>
      <c r="T300" s="1463"/>
      <c r="U300" s="1463"/>
      <c r="V300" s="1463"/>
      <c r="W300" s="1463"/>
      <c r="X300" s="1463"/>
      <c r="Y300" s="1463"/>
    </row>
    <row r="301" spans="1:25">
      <c r="A301" s="2263"/>
      <c r="B301" s="2263"/>
      <c r="C301" s="2263"/>
      <c r="D301" s="2263"/>
      <c r="E301" s="1462"/>
      <c r="I301" s="1453"/>
      <c r="J301" s="1453"/>
      <c r="K301" s="1453"/>
      <c r="L301" s="1453"/>
      <c r="M301" s="1453"/>
      <c r="N301" s="1453"/>
      <c r="O301" s="1453"/>
      <c r="P301" s="1464"/>
      <c r="R301" s="1463"/>
      <c r="S301" s="1463"/>
      <c r="T301" s="1463"/>
      <c r="U301" s="1463"/>
      <c r="V301" s="1463"/>
      <c r="W301" s="1463"/>
      <c r="X301" s="1463"/>
      <c r="Y301" s="1463"/>
    </row>
    <row r="302" spans="1:25">
      <c r="A302" s="2263"/>
      <c r="B302" s="2263"/>
      <c r="C302" s="2263"/>
      <c r="D302" s="2263"/>
      <c r="E302" s="1462"/>
      <c r="I302" s="1453"/>
      <c r="J302" s="1453"/>
      <c r="K302" s="1453"/>
      <c r="L302" s="1453"/>
      <c r="M302" s="1453"/>
      <c r="N302" s="1453"/>
      <c r="O302" s="1453"/>
      <c r="P302" s="1446"/>
      <c r="R302" s="1463"/>
      <c r="S302" s="1463"/>
      <c r="T302" s="1463"/>
      <c r="U302" s="1463"/>
      <c r="V302" s="1463"/>
      <c r="W302" s="1463"/>
      <c r="X302" s="1463"/>
      <c r="Y302" s="1463"/>
    </row>
    <row r="303" spans="1:25">
      <c r="A303" s="2263"/>
      <c r="B303" s="2263"/>
      <c r="C303" s="2263"/>
      <c r="D303" s="2263"/>
      <c r="E303" s="1462"/>
      <c r="I303" s="1453"/>
      <c r="J303" s="1453"/>
      <c r="K303" s="1453"/>
      <c r="L303" s="1453"/>
      <c r="M303" s="1453"/>
      <c r="N303" s="1453"/>
      <c r="O303" s="1453"/>
      <c r="P303" s="1446"/>
      <c r="R303" s="1463"/>
      <c r="S303" s="1463"/>
      <c r="T303" s="1463"/>
      <c r="U303" s="1463"/>
      <c r="V303" s="1463"/>
      <c r="W303" s="1463"/>
      <c r="X303" s="1463"/>
      <c r="Y303" s="1463"/>
    </row>
    <row r="304" spans="1:25">
      <c r="A304" s="2263"/>
      <c r="B304" s="2263"/>
      <c r="C304" s="2263"/>
      <c r="D304" s="2263"/>
      <c r="E304" s="1462"/>
      <c r="I304" s="1453"/>
      <c r="J304" s="1453"/>
      <c r="K304" s="1453"/>
      <c r="L304" s="1453"/>
      <c r="M304" s="1453"/>
      <c r="N304" s="1453"/>
      <c r="O304" s="1453"/>
      <c r="P304" s="1446"/>
      <c r="R304" s="1463"/>
      <c r="S304" s="1463"/>
      <c r="T304" s="1463"/>
      <c r="U304" s="1463"/>
      <c r="V304" s="1463"/>
      <c r="W304" s="1463"/>
      <c r="X304" s="1463"/>
      <c r="Y304" s="1463"/>
    </row>
    <row r="305" spans="1:25">
      <c r="A305" s="2263"/>
      <c r="B305" s="2263"/>
      <c r="C305" s="2263"/>
      <c r="D305" s="2263"/>
      <c r="E305" s="1462"/>
      <c r="I305" s="1453"/>
      <c r="J305" s="1453"/>
      <c r="K305" s="1453"/>
      <c r="L305" s="1453"/>
      <c r="M305" s="1453"/>
      <c r="N305" s="1453"/>
      <c r="O305" s="1453"/>
      <c r="P305" s="1446"/>
      <c r="R305" s="1463"/>
      <c r="S305" s="1463"/>
      <c r="T305" s="1463"/>
      <c r="U305" s="1463"/>
      <c r="V305" s="1463"/>
      <c r="W305" s="1463"/>
      <c r="X305" s="1463"/>
      <c r="Y305" s="1463"/>
    </row>
    <row r="306" spans="1:25">
      <c r="A306" s="2263"/>
      <c r="B306" s="2263"/>
      <c r="C306" s="2263"/>
      <c r="D306" s="2263"/>
      <c r="E306" s="1462"/>
      <c r="I306" s="1453"/>
      <c r="J306" s="1453"/>
      <c r="K306" s="1453"/>
      <c r="L306" s="1453"/>
      <c r="M306" s="1453"/>
      <c r="N306" s="1453"/>
      <c r="O306" s="1453"/>
      <c r="P306" s="1446"/>
      <c r="R306" s="1463"/>
      <c r="S306" s="1463"/>
      <c r="T306" s="1463"/>
      <c r="U306" s="1463"/>
      <c r="V306" s="1463"/>
      <c r="W306" s="1463"/>
      <c r="X306" s="1463"/>
      <c r="Y306" s="1463"/>
    </row>
    <row r="307" spans="1:25">
      <c r="A307" s="2263"/>
      <c r="B307" s="2263"/>
      <c r="C307" s="2263"/>
      <c r="D307" s="2263"/>
      <c r="E307" s="1462"/>
      <c r="I307" s="1453"/>
      <c r="J307" s="1453"/>
      <c r="K307" s="1453"/>
      <c r="L307" s="1453"/>
      <c r="M307" s="1453"/>
      <c r="N307" s="1453"/>
      <c r="O307" s="1453"/>
      <c r="P307" s="1446"/>
      <c r="R307" s="1463"/>
      <c r="S307" s="1463"/>
      <c r="T307" s="1463"/>
      <c r="U307" s="1463"/>
      <c r="V307" s="1463"/>
      <c r="W307" s="1463"/>
      <c r="X307" s="1463"/>
      <c r="Y307" s="1463"/>
    </row>
    <row r="308" spans="1:25">
      <c r="A308" s="2263"/>
      <c r="B308" s="2263"/>
      <c r="C308" s="2263"/>
      <c r="D308" s="2263"/>
      <c r="E308" s="1462"/>
      <c r="I308" s="1453"/>
      <c r="J308" s="1453"/>
      <c r="K308" s="1453"/>
      <c r="L308" s="1453"/>
      <c r="M308" s="1453"/>
      <c r="N308" s="1453"/>
      <c r="O308" s="1453"/>
      <c r="P308" s="1446"/>
      <c r="R308" s="1463"/>
      <c r="S308" s="1463"/>
      <c r="T308" s="1463"/>
      <c r="U308" s="1463"/>
      <c r="V308" s="1463"/>
      <c r="W308" s="1463"/>
      <c r="X308" s="1463"/>
      <c r="Y308" s="1463"/>
    </row>
    <row r="309" spans="1:25">
      <c r="A309" s="2263"/>
      <c r="B309" s="2263"/>
      <c r="C309" s="2263"/>
      <c r="D309" s="2263"/>
      <c r="E309" s="1462"/>
      <c r="I309" s="1453"/>
      <c r="J309" s="1453"/>
      <c r="K309" s="1453"/>
      <c r="L309" s="1453"/>
      <c r="M309" s="1453"/>
      <c r="N309" s="1453"/>
      <c r="O309" s="1453"/>
      <c r="P309" s="1446"/>
      <c r="R309" s="1463"/>
      <c r="S309" s="1463"/>
      <c r="T309" s="1463"/>
      <c r="U309" s="1463"/>
      <c r="V309" s="1463"/>
      <c r="W309" s="1463"/>
      <c r="X309" s="1463"/>
      <c r="Y309" s="1463"/>
    </row>
    <row r="310" spans="1:25">
      <c r="A310" s="2263"/>
      <c r="B310" s="2263"/>
      <c r="C310" s="2263"/>
      <c r="D310" s="2263"/>
      <c r="E310" s="1462"/>
      <c r="I310" s="1453"/>
      <c r="J310" s="1453"/>
      <c r="K310" s="1453"/>
      <c r="L310" s="1453"/>
      <c r="M310" s="1453"/>
      <c r="N310" s="1453"/>
      <c r="O310" s="1453"/>
      <c r="P310" s="1464"/>
      <c r="R310" s="1463"/>
      <c r="S310" s="1463"/>
      <c r="T310" s="1463"/>
      <c r="U310" s="1463"/>
      <c r="V310" s="1463"/>
      <c r="W310" s="1463"/>
      <c r="X310" s="1463"/>
      <c r="Y310" s="1463"/>
    </row>
    <row r="311" spans="1:25">
      <c r="A311" s="2263"/>
      <c r="B311" s="2263"/>
      <c r="C311" s="2263"/>
      <c r="D311" s="2263"/>
      <c r="E311" s="1462"/>
      <c r="I311" s="1453"/>
      <c r="J311" s="1453"/>
      <c r="K311" s="1453"/>
      <c r="L311" s="1453"/>
      <c r="M311" s="1453"/>
      <c r="N311" s="1453"/>
      <c r="O311" s="1453"/>
      <c r="P311" s="1446"/>
      <c r="R311" s="1463"/>
      <c r="S311" s="1463"/>
      <c r="T311" s="1463"/>
      <c r="U311" s="1463"/>
      <c r="V311" s="1463"/>
      <c r="W311" s="1463"/>
      <c r="X311" s="1463"/>
      <c r="Y311" s="1463"/>
    </row>
    <row r="312" spans="1:25">
      <c r="A312" s="2263"/>
      <c r="B312" s="2263"/>
      <c r="C312" s="2263"/>
      <c r="D312" s="2263"/>
      <c r="E312" s="1462"/>
      <c r="I312" s="1453"/>
      <c r="J312" s="1453"/>
      <c r="K312" s="1453"/>
      <c r="L312" s="1453"/>
      <c r="M312" s="1453"/>
      <c r="N312" s="1453"/>
      <c r="O312" s="1453"/>
      <c r="P312" s="1446"/>
      <c r="R312" s="1463"/>
      <c r="S312" s="1463"/>
      <c r="T312" s="1463"/>
      <c r="U312" s="1463"/>
      <c r="V312" s="1463"/>
      <c r="W312" s="1463"/>
      <c r="X312" s="1463"/>
      <c r="Y312" s="1463"/>
    </row>
    <row r="313" spans="1:25">
      <c r="A313" s="2263"/>
      <c r="B313" s="2263"/>
      <c r="C313" s="2263"/>
      <c r="D313" s="2263"/>
      <c r="E313" s="1462"/>
      <c r="I313" s="1453"/>
      <c r="J313" s="1453"/>
      <c r="K313" s="1453"/>
      <c r="L313" s="1453"/>
      <c r="M313" s="1453"/>
      <c r="N313" s="1453"/>
      <c r="O313" s="1453"/>
      <c r="P313" s="1446"/>
      <c r="R313" s="1463"/>
      <c r="S313" s="1463"/>
      <c r="T313" s="1463"/>
      <c r="U313" s="1463"/>
      <c r="V313" s="1463"/>
      <c r="W313" s="1463"/>
      <c r="X313" s="1463"/>
      <c r="Y313" s="1463"/>
    </row>
    <row r="314" spans="1:25">
      <c r="A314" s="2263"/>
      <c r="B314" s="2263"/>
      <c r="C314" s="2263"/>
      <c r="D314" s="2263"/>
      <c r="E314" s="1462"/>
      <c r="I314" s="1453"/>
      <c r="J314" s="1453"/>
      <c r="K314" s="1453"/>
      <c r="L314" s="1453"/>
      <c r="M314" s="1453"/>
      <c r="N314" s="1453"/>
      <c r="O314" s="1453"/>
      <c r="P314" s="1446"/>
      <c r="R314" s="1463"/>
      <c r="S314" s="1463"/>
      <c r="T314" s="1463"/>
      <c r="U314" s="1463"/>
      <c r="V314" s="1463"/>
      <c r="W314" s="1463"/>
      <c r="X314" s="1463"/>
      <c r="Y314" s="1463"/>
    </row>
    <row r="315" spans="1:25">
      <c r="A315" s="2263"/>
      <c r="B315" s="2263"/>
      <c r="C315" s="2263"/>
      <c r="D315" s="2263"/>
      <c r="E315" s="1462"/>
      <c r="I315" s="1453"/>
      <c r="J315" s="1453"/>
      <c r="K315" s="1453"/>
      <c r="L315" s="1453"/>
      <c r="M315" s="1453"/>
      <c r="N315" s="1453"/>
      <c r="O315" s="1453"/>
      <c r="P315" s="1446"/>
      <c r="R315" s="1463"/>
      <c r="S315" s="1463"/>
      <c r="T315" s="1463"/>
      <c r="U315" s="1463"/>
      <c r="V315" s="1463"/>
      <c r="W315" s="1463"/>
      <c r="X315" s="1463"/>
      <c r="Y315" s="1463"/>
    </row>
    <row r="316" spans="1:25">
      <c r="A316" s="2263"/>
      <c r="B316" s="2263"/>
      <c r="C316" s="2263"/>
      <c r="D316" s="2263"/>
      <c r="E316" s="1462"/>
      <c r="I316" s="1453"/>
      <c r="J316" s="1453"/>
      <c r="K316" s="1453"/>
      <c r="L316" s="1453"/>
      <c r="M316" s="1453"/>
      <c r="N316" s="1453"/>
      <c r="O316" s="1453"/>
      <c r="P316" s="1446"/>
      <c r="R316" s="1463"/>
      <c r="S316" s="1463"/>
      <c r="T316" s="1463"/>
      <c r="U316" s="1463"/>
      <c r="V316" s="1463"/>
      <c r="W316" s="1463"/>
      <c r="X316" s="1463"/>
      <c r="Y316" s="1463"/>
    </row>
    <row r="317" spans="1:25">
      <c r="A317" s="2263"/>
      <c r="B317" s="2263"/>
      <c r="C317" s="2263"/>
      <c r="D317" s="2263"/>
      <c r="E317" s="1462"/>
      <c r="I317" s="1453"/>
      <c r="J317" s="1453"/>
      <c r="K317" s="1453"/>
      <c r="L317" s="1453"/>
      <c r="M317" s="1453"/>
      <c r="N317" s="1453"/>
      <c r="O317" s="1453"/>
      <c r="P317" s="1446"/>
      <c r="R317" s="1463"/>
      <c r="S317" s="1463"/>
      <c r="T317" s="1463"/>
      <c r="U317" s="1463"/>
      <c r="V317" s="1463"/>
      <c r="W317" s="1463"/>
      <c r="X317" s="1463"/>
      <c r="Y317" s="1463"/>
    </row>
    <row r="318" spans="1:25">
      <c r="A318" s="2263"/>
      <c r="B318" s="2263"/>
      <c r="C318" s="2263"/>
      <c r="D318" s="2263"/>
      <c r="E318" s="1462"/>
      <c r="I318" s="1453"/>
      <c r="J318" s="1453"/>
      <c r="K318" s="1453"/>
      <c r="L318" s="1453"/>
      <c r="M318" s="1453"/>
      <c r="N318" s="1453"/>
      <c r="O318" s="1453"/>
      <c r="P318" s="1446"/>
      <c r="R318" s="1463"/>
      <c r="S318" s="1463"/>
      <c r="T318" s="1463"/>
      <c r="U318" s="1463"/>
      <c r="V318" s="1463"/>
      <c r="W318" s="1463"/>
      <c r="X318" s="1463"/>
      <c r="Y318" s="1463"/>
    </row>
    <row r="319" spans="1:25">
      <c r="A319" s="2263"/>
      <c r="B319" s="2263"/>
      <c r="C319" s="2263"/>
      <c r="D319" s="2263"/>
      <c r="E319" s="1462"/>
      <c r="I319" s="1453"/>
      <c r="J319" s="1453"/>
      <c r="K319" s="1453"/>
      <c r="L319" s="1453"/>
      <c r="M319" s="1453"/>
      <c r="N319" s="1453"/>
      <c r="O319" s="1453"/>
      <c r="P319" s="1446"/>
      <c r="R319" s="1463"/>
      <c r="S319" s="1463"/>
      <c r="T319" s="1463"/>
      <c r="U319" s="1463"/>
      <c r="V319" s="1463"/>
      <c r="W319" s="1463"/>
      <c r="X319" s="1463"/>
      <c r="Y319" s="1463"/>
    </row>
    <row r="320" spans="1:25">
      <c r="A320" s="2263"/>
      <c r="B320" s="2263"/>
      <c r="C320" s="2263"/>
      <c r="D320" s="2263"/>
      <c r="E320" s="1462"/>
      <c r="I320" s="1453"/>
      <c r="J320" s="1453"/>
      <c r="K320" s="1453"/>
      <c r="L320" s="1453"/>
      <c r="M320" s="1453"/>
      <c r="N320" s="1453"/>
      <c r="O320" s="1453"/>
      <c r="P320" s="1446"/>
      <c r="R320" s="1463"/>
      <c r="S320" s="1463"/>
      <c r="T320" s="1463"/>
      <c r="U320" s="1463"/>
      <c r="V320" s="1463"/>
      <c r="W320" s="1463"/>
      <c r="X320" s="1463"/>
      <c r="Y320" s="1463"/>
    </row>
    <row r="321" spans="1:25">
      <c r="A321" s="2263"/>
      <c r="B321" s="2263"/>
      <c r="C321" s="2263"/>
      <c r="D321" s="2263"/>
      <c r="E321" s="1462"/>
      <c r="I321" s="1453"/>
      <c r="J321" s="1453"/>
      <c r="K321" s="1453"/>
      <c r="L321" s="1453"/>
      <c r="M321" s="1453"/>
      <c r="N321" s="1453"/>
      <c r="O321" s="1453"/>
      <c r="P321" s="1446"/>
      <c r="R321" s="1463"/>
      <c r="S321" s="1463"/>
      <c r="T321" s="1463"/>
      <c r="U321" s="1463"/>
      <c r="V321" s="1463"/>
      <c r="W321" s="1463"/>
      <c r="X321" s="1463"/>
      <c r="Y321" s="1463"/>
    </row>
    <row r="322" spans="1:25">
      <c r="A322" s="2263"/>
      <c r="B322" s="2263"/>
      <c r="C322" s="2263"/>
      <c r="D322" s="2263"/>
      <c r="E322" s="1462"/>
      <c r="I322" s="1453"/>
      <c r="J322" s="1453"/>
      <c r="K322" s="1453"/>
      <c r="L322" s="1453"/>
      <c r="M322" s="1453"/>
      <c r="N322" s="1453"/>
      <c r="O322" s="1453"/>
      <c r="P322" s="1446"/>
      <c r="R322" s="1463"/>
      <c r="S322" s="1463"/>
      <c r="T322" s="1463"/>
      <c r="U322" s="1463"/>
      <c r="V322" s="1463"/>
      <c r="W322" s="1463"/>
      <c r="X322" s="1463"/>
      <c r="Y322" s="1463"/>
    </row>
    <row r="323" spans="1:25">
      <c r="A323" s="2263"/>
      <c r="B323" s="2263"/>
      <c r="C323" s="2263"/>
      <c r="D323" s="2263"/>
      <c r="E323" s="1462"/>
      <c r="I323" s="1453"/>
      <c r="J323" s="1453"/>
      <c r="K323" s="1453"/>
      <c r="L323" s="1453"/>
      <c r="M323" s="1453"/>
      <c r="N323" s="1453"/>
      <c r="O323" s="1453"/>
      <c r="P323" s="1446"/>
      <c r="R323" s="1463"/>
      <c r="S323" s="1463"/>
      <c r="T323" s="1463"/>
      <c r="U323" s="1463"/>
      <c r="V323" s="1463"/>
      <c r="W323" s="1463"/>
      <c r="X323" s="1463"/>
      <c r="Y323" s="1463"/>
    </row>
    <row r="324" spans="1:25">
      <c r="A324" s="2263"/>
      <c r="B324" s="2263"/>
      <c r="C324" s="2263"/>
      <c r="D324" s="2263"/>
      <c r="E324" s="1462"/>
      <c r="I324" s="1453"/>
      <c r="J324" s="1453"/>
      <c r="K324" s="1453"/>
      <c r="L324" s="1453"/>
      <c r="M324" s="1453"/>
      <c r="N324" s="1453"/>
      <c r="O324" s="1453"/>
      <c r="P324" s="1446"/>
      <c r="R324" s="1463"/>
      <c r="S324" s="1463"/>
      <c r="T324" s="1463"/>
      <c r="U324" s="1463"/>
      <c r="V324" s="1463"/>
      <c r="W324" s="1463"/>
      <c r="X324" s="1463"/>
      <c r="Y324" s="1463"/>
    </row>
    <row r="325" spans="1:25">
      <c r="A325" s="2263"/>
      <c r="B325" s="2263"/>
      <c r="C325" s="2263"/>
      <c r="D325" s="2263"/>
      <c r="E325" s="1462"/>
      <c r="I325" s="1453"/>
      <c r="J325" s="1453"/>
      <c r="K325" s="1453"/>
      <c r="L325" s="1453"/>
      <c r="M325" s="1453"/>
      <c r="N325" s="1453"/>
      <c r="O325" s="1453"/>
      <c r="P325" s="1446"/>
      <c r="R325" s="1463"/>
      <c r="S325" s="1463"/>
      <c r="T325" s="1463"/>
      <c r="U325" s="1463"/>
      <c r="V325" s="1463"/>
      <c r="W325" s="1463"/>
      <c r="X325" s="1463"/>
      <c r="Y325" s="1463"/>
    </row>
    <row r="326" spans="1:25">
      <c r="A326" s="2263"/>
      <c r="B326" s="2263"/>
      <c r="C326" s="2263"/>
      <c r="D326" s="2263"/>
      <c r="E326" s="1462"/>
      <c r="I326" s="1453"/>
      <c r="J326" s="1453"/>
      <c r="K326" s="1453"/>
      <c r="L326" s="1453"/>
      <c r="M326" s="1453"/>
      <c r="N326" s="1453"/>
      <c r="O326" s="1453"/>
      <c r="P326" s="1446"/>
      <c r="R326" s="1463"/>
      <c r="S326" s="1463"/>
      <c r="T326" s="1463"/>
      <c r="U326" s="1463"/>
      <c r="V326" s="1463"/>
      <c r="W326" s="1463"/>
      <c r="X326" s="1463"/>
      <c r="Y326" s="1463"/>
    </row>
    <row r="327" spans="1:25">
      <c r="A327" s="2263"/>
      <c r="B327" s="2263"/>
      <c r="C327" s="2263"/>
      <c r="D327" s="2263"/>
      <c r="E327" s="1462"/>
      <c r="I327" s="1453"/>
      <c r="J327" s="1453"/>
      <c r="K327" s="1453"/>
      <c r="L327" s="1453"/>
      <c r="M327" s="1453"/>
      <c r="N327" s="1453"/>
      <c r="O327" s="1453"/>
      <c r="P327" s="1446"/>
      <c r="R327" s="1463"/>
      <c r="S327" s="1463"/>
      <c r="T327" s="1463"/>
      <c r="U327" s="1463"/>
      <c r="V327" s="1463"/>
      <c r="W327" s="1463"/>
      <c r="X327" s="1463"/>
      <c r="Y327" s="1463"/>
    </row>
    <row r="328" spans="1:25">
      <c r="A328" s="2263"/>
      <c r="B328" s="2263"/>
      <c r="C328" s="2263"/>
      <c r="D328" s="2263"/>
      <c r="E328" s="1462"/>
      <c r="I328" s="1453"/>
      <c r="J328" s="1453"/>
      <c r="K328" s="1453"/>
      <c r="L328" s="1453"/>
      <c r="M328" s="1453"/>
      <c r="N328" s="1453"/>
      <c r="O328" s="1453"/>
      <c r="P328" s="1446"/>
      <c r="R328" s="1463"/>
      <c r="S328" s="1463"/>
      <c r="T328" s="1463"/>
      <c r="U328" s="1463"/>
      <c r="V328" s="1463"/>
      <c r="W328" s="1463"/>
      <c r="X328" s="1463"/>
      <c r="Y328" s="1463"/>
    </row>
    <row r="329" spans="1:25">
      <c r="A329" s="2263"/>
      <c r="B329" s="2263"/>
      <c r="C329" s="2263"/>
      <c r="D329" s="2263"/>
      <c r="E329" s="1462"/>
      <c r="I329" s="1453"/>
      <c r="J329" s="1453"/>
      <c r="K329" s="1453"/>
      <c r="L329" s="1453"/>
      <c r="M329" s="1453"/>
      <c r="N329" s="1453"/>
      <c r="O329" s="1453"/>
      <c r="P329" s="1464"/>
      <c r="R329" s="1463"/>
      <c r="S329" s="1463"/>
      <c r="T329" s="1463"/>
      <c r="U329" s="1463"/>
      <c r="V329" s="1463"/>
      <c r="W329" s="1463"/>
      <c r="X329" s="1463"/>
      <c r="Y329" s="1463"/>
    </row>
    <row r="330" spans="1:25">
      <c r="A330" s="2263"/>
      <c r="B330" s="2263"/>
      <c r="C330" s="2263"/>
      <c r="D330" s="2263"/>
      <c r="E330" s="1462"/>
      <c r="I330" s="1453"/>
      <c r="J330" s="1453"/>
      <c r="K330" s="1453"/>
      <c r="L330" s="1453"/>
      <c r="M330" s="1453"/>
      <c r="N330" s="1453"/>
      <c r="O330" s="1453"/>
      <c r="P330" s="1446"/>
      <c r="R330" s="1463"/>
      <c r="S330" s="1463"/>
      <c r="T330" s="1463"/>
      <c r="U330" s="1463"/>
      <c r="V330" s="1463"/>
      <c r="W330" s="1463"/>
      <c r="X330" s="1463"/>
      <c r="Y330" s="1463"/>
    </row>
    <row r="331" spans="1:25">
      <c r="A331" s="2263"/>
      <c r="B331" s="2263"/>
      <c r="C331" s="2263"/>
      <c r="D331" s="2263"/>
      <c r="E331" s="1462"/>
      <c r="I331" s="1453"/>
      <c r="J331" s="1453"/>
      <c r="K331" s="1453"/>
      <c r="L331" s="1453"/>
      <c r="M331" s="1453"/>
      <c r="N331" s="1453"/>
      <c r="O331" s="1453"/>
      <c r="P331" s="1446"/>
      <c r="R331" s="1463"/>
      <c r="S331" s="1463"/>
      <c r="T331" s="1463"/>
      <c r="U331" s="1463"/>
      <c r="V331" s="1463"/>
      <c r="W331" s="1463"/>
      <c r="X331" s="1463"/>
      <c r="Y331" s="1463"/>
    </row>
    <row r="332" spans="1:25">
      <c r="A332" s="2263"/>
      <c r="B332" s="2263"/>
      <c r="C332" s="2263"/>
      <c r="D332" s="2263"/>
      <c r="E332" s="1462"/>
      <c r="I332" s="1453"/>
      <c r="J332" s="1453"/>
      <c r="K332" s="1453"/>
      <c r="L332" s="1453"/>
      <c r="M332" s="1453"/>
      <c r="N332" s="1453"/>
      <c r="O332" s="1453"/>
      <c r="P332" s="1446"/>
      <c r="R332" s="1463"/>
      <c r="S332" s="1463"/>
      <c r="T332" s="1463"/>
      <c r="U332" s="1463"/>
      <c r="V332" s="1463"/>
      <c r="W332" s="1463"/>
      <c r="X332" s="1463"/>
      <c r="Y332" s="1463"/>
    </row>
    <row r="333" spans="1:25">
      <c r="A333" s="2263"/>
      <c r="B333" s="2263"/>
      <c r="C333" s="2263"/>
      <c r="D333" s="2263"/>
      <c r="E333" s="1462"/>
      <c r="I333" s="1453"/>
      <c r="J333" s="1453"/>
      <c r="K333" s="1453"/>
      <c r="L333" s="1453"/>
      <c r="M333" s="1453"/>
      <c r="N333" s="1453"/>
      <c r="O333" s="1453"/>
      <c r="P333" s="1464"/>
      <c r="R333" s="1463"/>
      <c r="S333" s="1463"/>
      <c r="T333" s="1463"/>
      <c r="U333" s="1463"/>
      <c r="V333" s="1463"/>
      <c r="W333" s="1463"/>
      <c r="X333" s="1463"/>
      <c r="Y333" s="1463"/>
    </row>
    <row r="334" spans="1:25">
      <c r="A334" s="2263"/>
      <c r="B334" s="2263"/>
      <c r="C334" s="2263"/>
      <c r="D334" s="2263"/>
      <c r="E334" s="1462"/>
      <c r="I334" s="1453"/>
      <c r="J334" s="1453"/>
      <c r="K334" s="1453"/>
      <c r="L334" s="1453"/>
      <c r="M334" s="1453"/>
      <c r="N334" s="1453"/>
      <c r="O334" s="1453"/>
      <c r="P334" s="1446"/>
      <c r="R334" s="1463"/>
      <c r="S334" s="1463"/>
      <c r="T334" s="1463"/>
      <c r="U334" s="1463"/>
      <c r="V334" s="1463"/>
      <c r="W334" s="1463"/>
      <c r="X334" s="1463"/>
      <c r="Y334" s="1463"/>
    </row>
    <row r="335" spans="1:25">
      <c r="A335" s="2263"/>
      <c r="B335" s="2263"/>
      <c r="C335" s="2263"/>
      <c r="D335" s="2263"/>
      <c r="E335" s="1462"/>
      <c r="I335" s="1453"/>
      <c r="J335" s="1453"/>
      <c r="K335" s="1453"/>
      <c r="L335" s="1453"/>
      <c r="M335" s="1453"/>
      <c r="N335" s="1453"/>
      <c r="O335" s="1453"/>
      <c r="P335" s="1446"/>
      <c r="R335" s="1463"/>
      <c r="S335" s="1463"/>
      <c r="T335" s="1463"/>
      <c r="U335" s="1463"/>
      <c r="V335" s="1463"/>
      <c r="W335" s="1463"/>
      <c r="X335" s="1463"/>
      <c r="Y335" s="1463"/>
    </row>
    <row r="336" spans="1:25">
      <c r="A336" s="2263"/>
      <c r="B336" s="2263"/>
      <c r="C336" s="2263"/>
      <c r="D336" s="2263"/>
      <c r="E336" s="1462"/>
      <c r="I336" s="1453"/>
      <c r="J336" s="1453"/>
      <c r="K336" s="1453"/>
      <c r="L336" s="1453"/>
      <c r="M336" s="1453"/>
      <c r="N336" s="1453"/>
      <c r="O336" s="1453"/>
      <c r="P336" s="1446"/>
      <c r="R336" s="1463"/>
      <c r="S336" s="1463"/>
      <c r="T336" s="1463"/>
      <c r="U336" s="1463"/>
      <c r="V336" s="1463"/>
      <c r="W336" s="1463"/>
      <c r="X336" s="1463"/>
      <c r="Y336" s="1463"/>
    </row>
    <row r="337" spans="1:25">
      <c r="A337" s="2263"/>
      <c r="B337" s="2263"/>
      <c r="C337" s="2263"/>
      <c r="D337" s="2263"/>
      <c r="E337" s="1462"/>
      <c r="I337" s="1453"/>
      <c r="J337" s="1453"/>
      <c r="K337" s="1453"/>
      <c r="L337" s="1453"/>
      <c r="M337" s="1453"/>
      <c r="N337" s="1453"/>
      <c r="O337" s="1453"/>
      <c r="P337" s="1446"/>
      <c r="R337" s="1463"/>
      <c r="S337" s="1463"/>
      <c r="T337" s="1463"/>
      <c r="U337" s="1463"/>
      <c r="V337" s="1463"/>
      <c r="W337" s="1463"/>
      <c r="X337" s="1463"/>
      <c r="Y337" s="1463"/>
    </row>
    <row r="338" spans="1:25">
      <c r="A338" s="2263"/>
      <c r="B338" s="2263"/>
      <c r="C338" s="2263"/>
      <c r="D338" s="2263"/>
      <c r="E338" s="1462"/>
      <c r="I338" s="1453"/>
      <c r="J338" s="1453"/>
      <c r="K338" s="1453"/>
      <c r="L338" s="1453"/>
      <c r="M338" s="1453"/>
      <c r="N338" s="1453"/>
      <c r="O338" s="1453"/>
      <c r="P338" s="1446"/>
      <c r="R338" s="1463"/>
      <c r="S338" s="1463"/>
      <c r="T338" s="1463"/>
      <c r="U338" s="1463"/>
      <c r="V338" s="1463"/>
      <c r="W338" s="1463"/>
      <c r="X338" s="1463"/>
      <c r="Y338" s="1463"/>
    </row>
    <row r="339" spans="1:25">
      <c r="A339" s="2263"/>
      <c r="B339" s="2263"/>
      <c r="C339" s="2263"/>
      <c r="D339" s="2263"/>
      <c r="E339" s="1462"/>
      <c r="R339" s="1463"/>
      <c r="S339" s="1463"/>
      <c r="T339" s="1463"/>
      <c r="U339" s="1463"/>
      <c r="V339" s="1463"/>
      <c r="W339" s="1463"/>
      <c r="X339" s="1463"/>
      <c r="Y339" s="1463"/>
    </row>
    <row r="340" spans="1:25">
      <c r="A340" s="2263"/>
      <c r="B340" s="2263"/>
      <c r="C340" s="2263"/>
      <c r="D340" s="2263"/>
      <c r="E340" s="1462"/>
      <c r="R340" s="1463"/>
      <c r="S340" s="1463"/>
      <c r="T340" s="1463"/>
      <c r="U340" s="1463"/>
      <c r="V340" s="1463"/>
      <c r="W340" s="1463"/>
      <c r="X340" s="1463"/>
      <c r="Y340" s="1463"/>
    </row>
    <row r="341" spans="1:25">
      <c r="A341" s="2263"/>
      <c r="B341" s="2263"/>
      <c r="C341" s="2263"/>
      <c r="D341" s="2263"/>
      <c r="E341" s="1462"/>
      <c r="R341" s="1463"/>
      <c r="S341" s="1463"/>
      <c r="T341" s="1463"/>
      <c r="U341" s="1463"/>
      <c r="V341" s="1463"/>
      <c r="W341" s="1463"/>
      <c r="X341" s="1463"/>
      <c r="Y341" s="1463"/>
    </row>
    <row r="342" spans="1:25">
      <c r="A342" s="2263"/>
      <c r="B342" s="2263"/>
      <c r="C342" s="2263"/>
      <c r="D342" s="2263"/>
      <c r="E342" s="1462"/>
      <c r="R342" s="1463"/>
      <c r="S342" s="1463"/>
      <c r="T342" s="1463"/>
      <c r="U342" s="1463"/>
      <c r="V342" s="1463"/>
      <c r="W342" s="1463"/>
      <c r="X342" s="1463"/>
      <c r="Y342" s="1463"/>
    </row>
    <row r="343" spans="1:25">
      <c r="A343" s="2263"/>
      <c r="B343" s="2263"/>
      <c r="C343" s="2263"/>
      <c r="D343" s="2263"/>
      <c r="E343" s="1462"/>
      <c r="R343" s="1463"/>
      <c r="S343" s="1463"/>
      <c r="T343" s="1463"/>
      <c r="U343" s="1463"/>
      <c r="V343" s="1463"/>
      <c r="W343" s="1463"/>
      <c r="X343" s="1463"/>
      <c r="Y343" s="1463"/>
    </row>
    <row r="344" spans="1:25">
      <c r="A344" s="2263"/>
      <c r="B344" s="2263"/>
      <c r="C344" s="2263"/>
      <c r="D344" s="2263"/>
      <c r="E344" s="1462"/>
      <c r="R344" s="1463"/>
      <c r="S344" s="1463"/>
      <c r="T344" s="1463"/>
      <c r="U344" s="1463"/>
      <c r="V344" s="1463"/>
      <c r="W344" s="1463"/>
      <c r="X344" s="1463"/>
      <c r="Y344" s="1463"/>
    </row>
    <row r="345" spans="1:25">
      <c r="A345" s="2263"/>
      <c r="B345" s="2263"/>
      <c r="C345" s="2263"/>
      <c r="D345" s="2263"/>
      <c r="E345" s="1462"/>
      <c r="R345" s="1463"/>
      <c r="S345" s="1463"/>
      <c r="T345" s="1463"/>
      <c r="U345" s="1463"/>
      <c r="V345" s="1463"/>
      <c r="W345" s="1463"/>
      <c r="X345" s="1463"/>
      <c r="Y345" s="1463"/>
    </row>
    <row r="346" spans="1:25">
      <c r="A346" s="2263"/>
      <c r="B346" s="2263"/>
      <c r="C346" s="2263"/>
      <c r="D346" s="2263"/>
      <c r="E346" s="1462"/>
      <c r="R346" s="1463"/>
      <c r="S346" s="1463"/>
      <c r="T346" s="1463"/>
      <c r="U346" s="1463"/>
      <c r="V346" s="1463"/>
      <c r="W346" s="1463"/>
      <c r="X346" s="1463"/>
      <c r="Y346" s="1463"/>
    </row>
    <row r="347" spans="1:25">
      <c r="A347" s="2263"/>
      <c r="B347" s="2263"/>
      <c r="C347" s="2263"/>
      <c r="D347" s="2263"/>
      <c r="E347" s="1462"/>
      <c r="R347" s="1463"/>
      <c r="S347" s="1463"/>
      <c r="T347" s="1463"/>
      <c r="U347" s="1463"/>
      <c r="V347" s="1463"/>
      <c r="W347" s="1463"/>
      <c r="X347" s="1463"/>
      <c r="Y347" s="1463"/>
    </row>
    <row r="348" spans="1:25">
      <c r="A348" s="2263"/>
      <c r="B348" s="2263"/>
      <c r="C348" s="2263"/>
      <c r="D348" s="2263"/>
      <c r="E348" s="1462"/>
      <c r="R348" s="1463"/>
      <c r="S348" s="1463"/>
      <c r="T348" s="1463"/>
      <c r="U348" s="1463"/>
      <c r="V348" s="1463"/>
      <c r="W348" s="1463"/>
      <c r="X348" s="1463"/>
      <c r="Y348" s="1463"/>
    </row>
    <row r="349" spans="1:25">
      <c r="A349" s="2263"/>
      <c r="B349" s="2263"/>
      <c r="C349" s="2263"/>
      <c r="D349" s="2263"/>
      <c r="E349" s="1462"/>
      <c r="R349" s="1463"/>
      <c r="S349" s="1463"/>
      <c r="T349" s="1463"/>
      <c r="U349" s="1463"/>
      <c r="V349" s="1463"/>
      <c r="W349" s="1463"/>
      <c r="X349" s="1463"/>
      <c r="Y349" s="1463"/>
    </row>
    <row r="350" spans="1:25">
      <c r="A350" s="2263"/>
      <c r="B350" s="2263"/>
      <c r="C350" s="2263"/>
      <c r="D350" s="2263"/>
      <c r="E350" s="1462"/>
      <c r="R350" s="1463"/>
      <c r="S350" s="1463"/>
      <c r="T350" s="1463"/>
      <c r="U350" s="1463"/>
      <c r="V350" s="1463"/>
      <c r="W350" s="1463"/>
      <c r="X350" s="1463"/>
      <c r="Y350" s="1463"/>
    </row>
    <row r="351" spans="1:25">
      <c r="A351" s="2263"/>
      <c r="B351" s="2263"/>
      <c r="C351" s="2263"/>
      <c r="D351" s="2263"/>
      <c r="E351" s="1462"/>
      <c r="R351" s="1463"/>
      <c r="S351" s="1463"/>
      <c r="T351" s="1463"/>
      <c r="U351" s="1463"/>
      <c r="V351" s="1463"/>
      <c r="W351" s="1463"/>
      <c r="X351" s="1463"/>
      <c r="Y351" s="1463"/>
    </row>
    <row r="352" spans="1:25">
      <c r="A352" s="2263"/>
      <c r="B352" s="2263"/>
      <c r="C352" s="2263"/>
      <c r="D352" s="2263"/>
      <c r="E352" s="1462"/>
      <c r="R352" s="1463"/>
      <c r="S352" s="1463"/>
      <c r="T352" s="1463"/>
      <c r="U352" s="1463"/>
      <c r="V352" s="1463"/>
      <c r="W352" s="1463"/>
      <c r="X352" s="1463"/>
      <c r="Y352" s="1463"/>
    </row>
    <row r="353" spans="1:25">
      <c r="A353" s="2263"/>
      <c r="B353" s="2263"/>
      <c r="C353" s="2263"/>
      <c r="D353" s="2263"/>
      <c r="E353" s="1462"/>
      <c r="R353" s="1463"/>
      <c r="S353" s="1463"/>
      <c r="T353" s="1463"/>
      <c r="U353" s="1463"/>
      <c r="V353" s="1463"/>
      <c r="W353" s="1463"/>
      <c r="X353" s="1463"/>
      <c r="Y353" s="1463"/>
    </row>
    <row r="354" spans="1:25">
      <c r="A354" s="2263"/>
      <c r="B354" s="2263"/>
      <c r="C354" s="2263"/>
      <c r="D354" s="2263"/>
      <c r="E354" s="1462"/>
      <c r="R354" s="1463"/>
      <c r="S354" s="1463"/>
      <c r="T354" s="1463"/>
      <c r="U354" s="1463"/>
      <c r="V354" s="1463"/>
      <c r="W354" s="1463"/>
      <c r="X354" s="1463"/>
      <c r="Y354" s="1463"/>
    </row>
    <row r="355" spans="1:25">
      <c r="A355" s="2263"/>
      <c r="B355" s="2263"/>
      <c r="C355" s="2263"/>
      <c r="D355" s="2263"/>
      <c r="E355" s="1462"/>
      <c r="R355" s="1463"/>
      <c r="S355" s="1463"/>
      <c r="T355" s="1463"/>
      <c r="U355" s="1463"/>
      <c r="V355" s="1463"/>
      <c r="W355" s="1463"/>
      <c r="X355" s="1463"/>
      <c r="Y355" s="1463"/>
    </row>
    <row r="356" spans="1:25">
      <c r="A356" s="2263"/>
      <c r="B356" s="2263"/>
      <c r="C356" s="2263"/>
      <c r="D356" s="2263"/>
      <c r="E356" s="1462"/>
      <c r="R356" s="1463"/>
      <c r="S356" s="1463"/>
      <c r="T356" s="1463"/>
      <c r="U356" s="1463"/>
      <c r="V356" s="1463"/>
      <c r="W356" s="1463"/>
      <c r="X356" s="1463"/>
      <c r="Y356" s="1463"/>
    </row>
    <row r="357" spans="1:25">
      <c r="A357" s="2263"/>
      <c r="B357" s="2263"/>
      <c r="C357" s="2263"/>
      <c r="D357" s="2263"/>
      <c r="E357" s="1462"/>
      <c r="R357" s="1463"/>
      <c r="S357" s="1463"/>
      <c r="T357" s="1463"/>
      <c r="U357" s="1463"/>
      <c r="V357" s="1463"/>
      <c r="W357" s="1463"/>
      <c r="X357" s="1463"/>
      <c r="Y357" s="1463"/>
    </row>
    <row r="358" spans="1:25">
      <c r="A358" s="2263"/>
      <c r="B358" s="2263"/>
      <c r="C358" s="2263"/>
      <c r="D358" s="2263"/>
      <c r="E358" s="1462"/>
      <c r="R358" s="1463"/>
      <c r="S358" s="1463"/>
      <c r="T358" s="1463"/>
      <c r="U358" s="1463"/>
      <c r="V358" s="1463"/>
      <c r="W358" s="1463"/>
      <c r="X358" s="1463"/>
      <c r="Y358" s="1463"/>
    </row>
    <row r="359" spans="1:25">
      <c r="A359" s="2263"/>
      <c r="B359" s="2263"/>
      <c r="C359" s="2263"/>
      <c r="D359" s="2263"/>
      <c r="E359" s="1462"/>
      <c r="R359" s="1463"/>
      <c r="S359" s="1463"/>
      <c r="T359" s="1463"/>
      <c r="U359" s="1463"/>
      <c r="V359" s="1463"/>
      <c r="W359" s="1463"/>
      <c r="X359" s="1463"/>
      <c r="Y359" s="1463"/>
    </row>
    <row r="360" spans="1:25">
      <c r="A360" s="2263"/>
      <c r="B360" s="2263"/>
      <c r="C360" s="2263"/>
      <c r="D360" s="2263"/>
      <c r="E360" s="1462"/>
      <c r="R360" s="1463"/>
      <c r="S360" s="1463"/>
      <c r="T360" s="1463"/>
      <c r="U360" s="1463"/>
      <c r="V360" s="1463"/>
      <c r="W360" s="1463"/>
      <c r="X360" s="1463"/>
      <c r="Y360" s="1463"/>
    </row>
    <row r="361" spans="1:25">
      <c r="A361" s="2263"/>
      <c r="B361" s="2263"/>
      <c r="C361" s="2263"/>
      <c r="D361" s="2263"/>
      <c r="E361" s="1462"/>
      <c r="R361" s="1463"/>
      <c r="S361" s="1463"/>
      <c r="T361" s="1463"/>
      <c r="U361" s="1463"/>
      <c r="V361" s="1463"/>
      <c r="W361" s="1463"/>
      <c r="X361" s="1463"/>
      <c r="Y361" s="1463"/>
    </row>
    <row r="362" spans="1:25">
      <c r="A362" s="2263"/>
      <c r="B362" s="2263"/>
      <c r="C362" s="2263"/>
      <c r="D362" s="2263"/>
      <c r="E362" s="1462"/>
      <c r="R362" s="1463"/>
      <c r="S362" s="1463"/>
      <c r="T362" s="1463"/>
      <c r="U362" s="1463"/>
      <c r="V362" s="1463"/>
      <c r="W362" s="1463"/>
      <c r="X362" s="1463"/>
      <c r="Y362" s="1463"/>
    </row>
    <row r="363" spans="1:25">
      <c r="A363" s="2263"/>
      <c r="B363" s="2263"/>
      <c r="C363" s="2263"/>
      <c r="D363" s="2263"/>
      <c r="E363" s="1462"/>
      <c r="R363" s="1463"/>
      <c r="S363" s="1463"/>
      <c r="T363" s="1463"/>
      <c r="U363" s="1463"/>
      <c r="V363" s="1463"/>
      <c r="W363" s="1463"/>
      <c r="X363" s="1463"/>
      <c r="Y363" s="1463"/>
    </row>
    <row r="364" spans="1:25">
      <c r="A364" s="2263"/>
      <c r="B364" s="2263"/>
      <c r="C364" s="2263"/>
      <c r="D364" s="2263"/>
      <c r="E364" s="1462"/>
      <c r="R364" s="1463"/>
      <c r="S364" s="1463"/>
      <c r="T364" s="1463"/>
      <c r="U364" s="1463"/>
      <c r="V364" s="1463"/>
      <c r="W364" s="1463"/>
      <c r="X364" s="1463"/>
      <c r="Y364" s="1463"/>
    </row>
    <row r="365" spans="1:25">
      <c r="A365" s="2263"/>
      <c r="B365" s="2263"/>
      <c r="C365" s="2263"/>
      <c r="D365" s="2263"/>
      <c r="E365" s="1462"/>
      <c r="R365" s="1463"/>
      <c r="S365" s="1463"/>
      <c r="T365" s="1463"/>
      <c r="U365" s="1463"/>
      <c r="V365" s="1463"/>
      <c r="W365" s="1463"/>
      <c r="X365" s="1463"/>
      <c r="Y365" s="1463"/>
    </row>
    <row r="366" spans="1:25">
      <c r="A366" s="2263"/>
      <c r="B366" s="2263"/>
      <c r="C366" s="2263"/>
      <c r="D366" s="2263"/>
      <c r="E366" s="1462"/>
      <c r="R366" s="1463"/>
      <c r="S366" s="1463"/>
      <c r="T366" s="1463"/>
      <c r="U366" s="1463"/>
      <c r="V366" s="1463"/>
      <c r="W366" s="1463"/>
      <c r="X366" s="1463"/>
      <c r="Y366" s="1463"/>
    </row>
    <row r="367" spans="1:25">
      <c r="A367" s="2263"/>
      <c r="B367" s="2263"/>
      <c r="C367" s="2263"/>
      <c r="D367" s="2263"/>
      <c r="E367" s="1462"/>
      <c r="R367" s="1463"/>
      <c r="S367" s="1463"/>
      <c r="T367" s="1463"/>
      <c r="U367" s="1463"/>
      <c r="V367" s="1463"/>
      <c r="W367" s="1463"/>
      <c r="X367" s="1463"/>
      <c r="Y367" s="1463"/>
    </row>
    <row r="368" spans="1:25">
      <c r="A368" s="2263"/>
      <c r="B368" s="2263"/>
      <c r="C368" s="2263"/>
      <c r="D368" s="2263"/>
      <c r="E368" s="1462"/>
      <c r="R368" s="1463"/>
      <c r="S368" s="1463"/>
      <c r="T368" s="1463"/>
      <c r="U368" s="1463"/>
      <c r="V368" s="1463"/>
      <c r="W368" s="1463"/>
      <c r="X368" s="1463"/>
      <c r="Y368" s="1463"/>
    </row>
    <row r="369" spans="1:25">
      <c r="A369" s="2263"/>
      <c r="B369" s="2263"/>
      <c r="C369" s="2263"/>
      <c r="D369" s="2263"/>
      <c r="E369" s="1462"/>
      <c r="R369" s="1463"/>
      <c r="S369" s="1463"/>
      <c r="T369" s="1463"/>
      <c r="U369" s="1463"/>
      <c r="V369" s="1463"/>
      <c r="W369" s="1463"/>
      <c r="X369" s="1463"/>
      <c r="Y369" s="1463"/>
    </row>
    <row r="370" spans="1:25">
      <c r="A370" s="2263"/>
      <c r="B370" s="2263"/>
      <c r="C370" s="2263"/>
      <c r="D370" s="2263"/>
      <c r="E370" s="1462"/>
      <c r="R370" s="1463"/>
      <c r="S370" s="1463"/>
      <c r="T370" s="1463"/>
      <c r="U370" s="1463"/>
      <c r="V370" s="1463"/>
      <c r="W370" s="1463"/>
      <c r="X370" s="1463"/>
      <c r="Y370" s="1463"/>
    </row>
    <row r="371" spans="1:25">
      <c r="A371" s="2263"/>
      <c r="B371" s="2263"/>
      <c r="C371" s="2263"/>
      <c r="D371" s="2263"/>
      <c r="E371" s="1462"/>
      <c r="R371" s="1463"/>
      <c r="S371" s="1463"/>
      <c r="T371" s="1463"/>
      <c r="U371" s="1463"/>
      <c r="V371" s="1463"/>
      <c r="W371" s="1463"/>
      <c r="X371" s="1463"/>
      <c r="Y371" s="1463"/>
    </row>
    <row r="372" spans="1:25">
      <c r="A372" s="2263"/>
      <c r="B372" s="2263"/>
      <c r="C372" s="2263"/>
      <c r="D372" s="2263"/>
      <c r="E372" s="1462"/>
      <c r="R372" s="1463"/>
      <c r="S372" s="1463"/>
      <c r="T372" s="1463"/>
      <c r="U372" s="1463"/>
      <c r="V372" s="1463"/>
      <c r="W372" s="1463"/>
      <c r="X372" s="1463"/>
      <c r="Y372" s="1463"/>
    </row>
    <row r="373" spans="1:25">
      <c r="A373" s="2263"/>
      <c r="B373" s="2263"/>
      <c r="C373" s="2263"/>
      <c r="D373" s="2263"/>
      <c r="E373" s="1462"/>
      <c r="R373" s="1463"/>
      <c r="S373" s="1463"/>
      <c r="T373" s="1463"/>
      <c r="U373" s="1463"/>
      <c r="V373" s="1463"/>
      <c r="W373" s="1463"/>
      <c r="X373" s="1463"/>
      <c r="Y373" s="1463"/>
    </row>
    <row r="374" spans="1:25">
      <c r="A374" s="2263"/>
      <c r="B374" s="2263"/>
      <c r="C374" s="2263"/>
      <c r="D374" s="2263"/>
      <c r="E374" s="1462"/>
      <c r="R374" s="1463"/>
      <c r="S374" s="1463"/>
      <c r="T374" s="1463"/>
      <c r="U374" s="1463"/>
      <c r="V374" s="1463"/>
      <c r="W374" s="1463"/>
      <c r="X374" s="1463"/>
      <c r="Y374" s="1463"/>
    </row>
    <row r="375" spans="1:25">
      <c r="A375" s="2263"/>
      <c r="B375" s="2263"/>
      <c r="C375" s="2263"/>
      <c r="D375" s="2263"/>
      <c r="E375" s="1462"/>
      <c r="R375" s="1463"/>
      <c r="S375" s="1463"/>
      <c r="T375" s="1463"/>
      <c r="U375" s="1463"/>
      <c r="V375" s="1463"/>
      <c r="W375" s="1463"/>
      <c r="X375" s="1463"/>
      <c r="Y375" s="1463"/>
    </row>
    <row r="376" spans="1:25">
      <c r="A376" s="2263"/>
      <c r="B376" s="2263"/>
      <c r="C376" s="2263"/>
      <c r="D376" s="2263"/>
      <c r="E376" s="1462"/>
      <c r="R376" s="1463"/>
      <c r="S376" s="1463"/>
      <c r="T376" s="1463"/>
      <c r="U376" s="1463"/>
      <c r="V376" s="1463"/>
      <c r="W376" s="1463"/>
      <c r="X376" s="1463"/>
      <c r="Y376" s="1463"/>
    </row>
    <row r="377" spans="1:25">
      <c r="A377" s="2263"/>
      <c r="B377" s="2263"/>
      <c r="C377" s="2263"/>
      <c r="D377" s="2263"/>
      <c r="E377" s="1462"/>
      <c r="R377" s="1463"/>
      <c r="S377" s="1463"/>
      <c r="T377" s="1463"/>
      <c r="U377" s="1463"/>
      <c r="V377" s="1463"/>
      <c r="W377" s="1463"/>
      <c r="X377" s="1463"/>
      <c r="Y377" s="1463"/>
    </row>
    <row r="378" spans="1:25">
      <c r="A378" s="2263"/>
      <c r="B378" s="2263"/>
      <c r="C378" s="2263"/>
      <c r="D378" s="2263"/>
      <c r="E378" s="1462"/>
      <c r="R378" s="1463"/>
      <c r="S378" s="1463"/>
      <c r="T378" s="1463"/>
      <c r="U378" s="1463"/>
      <c r="V378" s="1463"/>
      <c r="W378" s="1463"/>
      <c r="X378" s="1463"/>
      <c r="Y378" s="1463"/>
    </row>
    <row r="379" spans="1:25">
      <c r="A379" s="2263"/>
      <c r="B379" s="2263"/>
      <c r="C379" s="2263"/>
      <c r="D379" s="2263"/>
      <c r="E379" s="1462"/>
      <c r="R379" s="1463"/>
      <c r="S379" s="1463"/>
      <c r="T379" s="1463"/>
      <c r="U379" s="1463"/>
      <c r="V379" s="1463"/>
      <c r="W379" s="1463"/>
      <c r="X379" s="1463"/>
      <c r="Y379" s="1463"/>
    </row>
    <row r="380" spans="1:25">
      <c r="A380" s="2263"/>
      <c r="B380" s="2263"/>
      <c r="C380" s="2263"/>
      <c r="D380" s="2263"/>
      <c r="E380" s="1462"/>
      <c r="R380" s="1463"/>
      <c r="S380" s="1463"/>
      <c r="T380" s="1463"/>
      <c r="U380" s="1463"/>
      <c r="V380" s="1463"/>
      <c r="W380" s="1463"/>
      <c r="X380" s="1463"/>
      <c r="Y380" s="1463"/>
    </row>
    <row r="381" spans="1:25">
      <c r="A381" s="2263"/>
      <c r="B381" s="2263"/>
      <c r="C381" s="2263"/>
      <c r="D381" s="2263"/>
      <c r="E381" s="1462"/>
      <c r="R381" s="1463"/>
      <c r="S381" s="1463"/>
      <c r="T381" s="1463"/>
      <c r="U381" s="1463"/>
      <c r="V381" s="1463"/>
      <c r="W381" s="1463"/>
      <c r="X381" s="1463"/>
      <c r="Y381" s="1463"/>
    </row>
    <row r="382" spans="1:25">
      <c r="A382" s="2263"/>
      <c r="B382" s="2263"/>
      <c r="C382" s="2263"/>
      <c r="D382" s="2263"/>
      <c r="E382" s="1462"/>
      <c r="R382" s="1463"/>
      <c r="S382" s="1463"/>
      <c r="T382" s="1463"/>
      <c r="U382" s="1463"/>
      <c r="V382" s="1463"/>
      <c r="W382" s="1463"/>
      <c r="X382" s="1463"/>
      <c r="Y382" s="1463"/>
    </row>
    <row r="383" spans="1:25">
      <c r="A383" s="2263"/>
      <c r="B383" s="2263"/>
      <c r="C383" s="2263"/>
      <c r="D383" s="2263"/>
      <c r="E383" s="1462"/>
      <c r="R383" s="1463"/>
      <c r="S383" s="1463"/>
      <c r="T383" s="1463"/>
      <c r="U383" s="1463"/>
      <c r="V383" s="1463"/>
      <c r="W383" s="1463"/>
      <c r="X383" s="1463"/>
      <c r="Y383" s="1463"/>
    </row>
    <row r="384" spans="1:25">
      <c r="A384" s="2263"/>
      <c r="B384" s="2263"/>
      <c r="C384" s="2263"/>
      <c r="D384" s="2263"/>
      <c r="E384" s="1462"/>
      <c r="R384" s="1463"/>
      <c r="S384" s="1463"/>
      <c r="T384" s="1463"/>
      <c r="U384" s="1463"/>
      <c r="V384" s="1463"/>
      <c r="W384" s="1463"/>
      <c r="X384" s="1463"/>
      <c r="Y384" s="1463"/>
    </row>
    <row r="385" spans="1:25">
      <c r="A385" s="2263"/>
      <c r="B385" s="2263"/>
      <c r="C385" s="2263"/>
      <c r="D385" s="2263"/>
      <c r="E385" s="1462"/>
      <c r="R385" s="1463"/>
      <c r="S385" s="1463"/>
      <c r="T385" s="1463"/>
      <c r="U385" s="1463"/>
      <c r="V385" s="1463"/>
      <c r="W385" s="1463"/>
      <c r="X385" s="1463"/>
      <c r="Y385" s="1463"/>
    </row>
    <row r="386" spans="1:25">
      <c r="A386" s="2263"/>
      <c r="B386" s="2263"/>
      <c r="C386" s="2263"/>
      <c r="D386" s="2263"/>
      <c r="E386" s="1462"/>
      <c r="R386" s="1463"/>
      <c r="S386" s="1463"/>
      <c r="T386" s="1463"/>
      <c r="U386" s="1463"/>
      <c r="V386" s="1463"/>
      <c r="W386" s="1463"/>
      <c r="X386" s="1463"/>
      <c r="Y386" s="1463"/>
    </row>
    <row r="387" spans="1:25">
      <c r="A387" s="2263"/>
      <c r="B387" s="2263"/>
      <c r="C387" s="2263"/>
      <c r="D387" s="2263"/>
      <c r="E387" s="1462"/>
      <c r="R387" s="1463"/>
      <c r="S387" s="1463"/>
      <c r="T387" s="1463"/>
      <c r="U387" s="1463"/>
      <c r="V387" s="1463"/>
      <c r="W387" s="1463"/>
      <c r="X387" s="1463"/>
      <c r="Y387" s="1463"/>
    </row>
    <row r="388" spans="1:25">
      <c r="A388" s="2263"/>
      <c r="B388" s="2263"/>
      <c r="C388" s="2263"/>
      <c r="D388" s="2263"/>
      <c r="E388" s="1462"/>
      <c r="R388" s="1463"/>
      <c r="S388" s="1463"/>
      <c r="T388" s="1463"/>
      <c r="U388" s="1463"/>
      <c r="V388" s="1463"/>
      <c r="W388" s="1463"/>
      <c r="X388" s="1463"/>
      <c r="Y388" s="1463"/>
    </row>
    <row r="389" spans="1:25">
      <c r="A389" s="2263"/>
      <c r="B389" s="2263"/>
      <c r="C389" s="2263"/>
      <c r="D389" s="2263"/>
      <c r="E389" s="1462"/>
      <c r="R389" s="1463"/>
      <c r="S389" s="1463"/>
      <c r="T389" s="1463"/>
      <c r="U389" s="1463"/>
      <c r="V389" s="1463"/>
      <c r="W389" s="1463"/>
      <c r="X389" s="1463"/>
      <c r="Y389" s="1463"/>
    </row>
    <row r="390" spans="1:25">
      <c r="A390" s="2263"/>
      <c r="B390" s="2263"/>
      <c r="C390" s="2263"/>
      <c r="D390" s="2263"/>
      <c r="E390" s="1462"/>
      <c r="R390" s="1463"/>
      <c r="S390" s="1463"/>
      <c r="T390" s="1463"/>
      <c r="U390" s="1463"/>
      <c r="V390" s="1463"/>
      <c r="W390" s="1463"/>
      <c r="X390" s="1463"/>
      <c r="Y390" s="1463"/>
    </row>
    <row r="391" spans="1:25">
      <c r="A391" s="2263"/>
      <c r="B391" s="2263"/>
      <c r="C391" s="2263"/>
      <c r="D391" s="2263"/>
      <c r="E391" s="1462"/>
      <c r="R391" s="1463"/>
      <c r="S391" s="1463"/>
      <c r="T391" s="1463"/>
      <c r="U391" s="1463"/>
      <c r="V391" s="1463"/>
      <c r="W391" s="1463"/>
      <c r="X391" s="1463"/>
      <c r="Y391" s="1463"/>
    </row>
    <row r="392" spans="1:25">
      <c r="A392" s="2263"/>
      <c r="B392" s="2263"/>
      <c r="C392" s="2263"/>
      <c r="D392" s="2263"/>
      <c r="E392" s="1462"/>
      <c r="R392" s="1463"/>
      <c r="S392" s="1463"/>
      <c r="T392" s="1463"/>
      <c r="U392" s="1463"/>
      <c r="V392" s="1463"/>
      <c r="W392" s="1463"/>
      <c r="X392" s="1463"/>
      <c r="Y392" s="1463"/>
    </row>
    <row r="393" spans="1:25">
      <c r="A393" s="2263"/>
      <c r="B393" s="2263"/>
      <c r="C393" s="2263"/>
      <c r="D393" s="2263"/>
      <c r="E393" s="1462"/>
      <c r="R393" s="1463"/>
      <c r="S393" s="1463"/>
      <c r="T393" s="1463"/>
      <c r="U393" s="1463"/>
      <c r="V393" s="1463"/>
      <c r="W393" s="1463"/>
      <c r="X393" s="1463"/>
      <c r="Y393" s="1463"/>
    </row>
    <row r="394" spans="1:25">
      <c r="A394" s="2263"/>
      <c r="B394" s="2263"/>
      <c r="C394" s="2263"/>
      <c r="D394" s="2263"/>
      <c r="E394" s="1462"/>
      <c r="R394" s="1463"/>
      <c r="S394" s="1463"/>
      <c r="T394" s="1463"/>
      <c r="U394" s="1463"/>
      <c r="V394" s="1463"/>
      <c r="W394" s="1463"/>
      <c r="X394" s="1463"/>
      <c r="Y394" s="1463"/>
    </row>
    <row r="395" spans="1:25">
      <c r="A395" s="2263"/>
      <c r="B395" s="2263"/>
      <c r="C395" s="2263"/>
      <c r="D395" s="2263"/>
      <c r="E395" s="1462"/>
      <c r="R395" s="1463"/>
      <c r="S395" s="1463"/>
      <c r="T395" s="1463"/>
      <c r="U395" s="1463"/>
      <c r="V395" s="1463"/>
      <c r="W395" s="1463"/>
      <c r="X395" s="1463"/>
      <c r="Y395" s="1463"/>
    </row>
    <row r="396" spans="1:25">
      <c r="A396" s="2263"/>
      <c r="B396" s="2263"/>
      <c r="C396" s="2263"/>
      <c r="D396" s="2263"/>
      <c r="E396" s="1462"/>
      <c r="R396" s="1463"/>
      <c r="S396" s="1463"/>
      <c r="T396" s="1463"/>
      <c r="U396" s="1463"/>
      <c r="V396" s="1463"/>
      <c r="W396" s="1463"/>
      <c r="X396" s="1463"/>
      <c r="Y396" s="1463"/>
    </row>
    <row r="397" spans="1:25">
      <c r="A397" s="2263"/>
      <c r="B397" s="2263"/>
      <c r="C397" s="2263"/>
      <c r="D397" s="2263"/>
      <c r="E397" s="1462"/>
      <c r="R397" s="1463"/>
      <c r="S397" s="1463"/>
      <c r="T397" s="1463"/>
      <c r="U397" s="1463"/>
      <c r="V397" s="1463"/>
      <c r="W397" s="1463"/>
      <c r="X397" s="1463"/>
      <c r="Y397" s="1463"/>
    </row>
    <row r="398" spans="1:25">
      <c r="A398" s="2263"/>
      <c r="B398" s="2263"/>
      <c r="C398" s="2263"/>
      <c r="D398" s="2263"/>
      <c r="E398" s="1462"/>
      <c r="R398" s="1463"/>
      <c r="S398" s="1463"/>
      <c r="T398" s="1463"/>
      <c r="U398" s="1463"/>
      <c r="V398" s="1463"/>
      <c r="W398" s="1463"/>
      <c r="X398" s="1463"/>
      <c r="Y398" s="1463"/>
    </row>
    <row r="399" spans="1:25">
      <c r="A399" s="2263"/>
      <c r="B399" s="2263"/>
      <c r="C399" s="2263"/>
      <c r="D399" s="2263"/>
      <c r="E399" s="1462"/>
      <c r="R399" s="1463"/>
      <c r="S399" s="1463"/>
      <c r="T399" s="1463"/>
      <c r="U399" s="1463"/>
      <c r="V399" s="1463"/>
      <c r="W399" s="1463"/>
      <c r="X399" s="1463"/>
      <c r="Y399" s="1463"/>
    </row>
    <row r="400" spans="1:25">
      <c r="A400" s="2263"/>
      <c r="B400" s="2263"/>
      <c r="C400" s="2263"/>
      <c r="D400" s="2263"/>
      <c r="E400" s="1462"/>
      <c r="R400" s="1463"/>
      <c r="S400" s="1463"/>
      <c r="T400" s="1463"/>
      <c r="U400" s="1463"/>
      <c r="V400" s="1463"/>
      <c r="W400" s="1463"/>
      <c r="X400" s="1463"/>
      <c r="Y400" s="1463"/>
    </row>
    <row r="401" spans="1:25">
      <c r="A401" s="2263"/>
      <c r="B401" s="2263"/>
      <c r="C401" s="2263"/>
      <c r="D401" s="2263"/>
      <c r="E401" s="1462"/>
      <c r="R401" s="1463"/>
      <c r="S401" s="1463"/>
      <c r="T401" s="1463"/>
      <c r="U401" s="1463"/>
      <c r="V401" s="1463"/>
      <c r="W401" s="1463"/>
      <c r="X401" s="1463"/>
      <c r="Y401" s="1463"/>
    </row>
    <row r="402" spans="1:25">
      <c r="A402" s="2263"/>
      <c r="B402" s="2263"/>
      <c r="C402" s="2263"/>
      <c r="D402" s="2263"/>
      <c r="E402" s="1462"/>
      <c r="R402" s="1463"/>
      <c r="S402" s="1463"/>
      <c r="T402" s="1463"/>
      <c r="U402" s="1463"/>
      <c r="V402" s="1463"/>
      <c r="W402" s="1463"/>
      <c r="X402" s="1463"/>
      <c r="Y402" s="1463"/>
    </row>
    <row r="403" spans="1:25">
      <c r="A403" s="2263"/>
      <c r="B403" s="2263"/>
      <c r="C403" s="2263"/>
      <c r="D403" s="2263"/>
      <c r="E403" s="1462"/>
      <c r="R403" s="1463"/>
      <c r="S403" s="1463"/>
      <c r="T403" s="1463"/>
      <c r="U403" s="1463"/>
      <c r="V403" s="1463"/>
      <c r="W403" s="1463"/>
      <c r="X403" s="1463"/>
      <c r="Y403" s="1463"/>
    </row>
    <row r="404" spans="1:25">
      <c r="A404" s="2263"/>
      <c r="B404" s="2263"/>
      <c r="C404" s="2263"/>
      <c r="D404" s="2263"/>
      <c r="E404" s="1462"/>
      <c r="R404" s="1463"/>
      <c r="S404" s="1463"/>
      <c r="T404" s="1463"/>
      <c r="U404" s="1463"/>
      <c r="V404" s="1463"/>
      <c r="W404" s="1463"/>
      <c r="X404" s="1463"/>
      <c r="Y404" s="1463"/>
    </row>
    <row r="405" spans="1:25">
      <c r="A405" s="2263"/>
      <c r="B405" s="2263"/>
      <c r="C405" s="2263"/>
      <c r="D405" s="2263"/>
      <c r="E405" s="1462"/>
      <c r="R405" s="1463"/>
      <c r="S405" s="1463"/>
      <c r="T405" s="1463"/>
      <c r="U405" s="1463"/>
      <c r="V405" s="1463"/>
      <c r="W405" s="1463"/>
      <c r="X405" s="1463"/>
      <c r="Y405" s="1463"/>
    </row>
    <row r="406" spans="1:25">
      <c r="A406" s="2263"/>
      <c r="B406" s="2263"/>
      <c r="C406" s="2263"/>
      <c r="D406" s="2263"/>
      <c r="E406" s="1462"/>
      <c r="R406" s="1463"/>
      <c r="S406" s="1463"/>
      <c r="T406" s="1463"/>
      <c r="U406" s="1463"/>
      <c r="V406" s="1463"/>
      <c r="W406" s="1463"/>
      <c r="X406" s="1463"/>
      <c r="Y406" s="1463"/>
    </row>
    <row r="407" spans="1:25">
      <c r="A407" s="2263"/>
      <c r="B407" s="2263"/>
      <c r="C407" s="2263"/>
      <c r="D407" s="2263"/>
      <c r="E407" s="1462"/>
      <c r="R407" s="1463"/>
      <c r="S407" s="1463"/>
      <c r="T407" s="1463"/>
      <c r="U407" s="1463"/>
      <c r="V407" s="1463"/>
      <c r="W407" s="1463"/>
      <c r="X407" s="1463"/>
      <c r="Y407" s="1463"/>
    </row>
    <row r="408" spans="1:25">
      <c r="A408" s="2263"/>
      <c r="B408" s="2263"/>
      <c r="C408" s="2263"/>
      <c r="D408" s="2263"/>
      <c r="E408" s="1462"/>
      <c r="R408" s="1463"/>
      <c r="S408" s="1463"/>
      <c r="T408" s="1463"/>
      <c r="U408" s="1463"/>
      <c r="V408" s="1463"/>
      <c r="W408" s="1463"/>
      <c r="X408" s="1463"/>
      <c r="Y408" s="1463"/>
    </row>
    <row r="409" spans="1:25">
      <c r="A409" s="2263"/>
      <c r="B409" s="2263"/>
      <c r="C409" s="2263"/>
      <c r="D409" s="2263"/>
      <c r="E409" s="1462"/>
      <c r="R409" s="1463"/>
      <c r="S409" s="1463"/>
      <c r="T409" s="1463"/>
      <c r="U409" s="1463"/>
      <c r="V409" s="1463"/>
      <c r="W409" s="1463"/>
      <c r="X409" s="1463"/>
      <c r="Y409" s="1463"/>
    </row>
    <row r="410" spans="1:25">
      <c r="A410" s="2263"/>
      <c r="B410" s="2263"/>
      <c r="C410" s="2263"/>
      <c r="D410" s="2263"/>
      <c r="E410" s="1462"/>
      <c r="R410" s="1463"/>
      <c r="S410" s="1463"/>
      <c r="T410" s="1463"/>
      <c r="U410" s="1463"/>
      <c r="V410" s="1463"/>
      <c r="W410" s="1463"/>
      <c r="X410" s="1463"/>
      <c r="Y410" s="1463"/>
    </row>
    <row r="411" spans="1:25">
      <c r="A411" s="2263"/>
      <c r="B411" s="2263"/>
      <c r="C411" s="2263"/>
      <c r="D411" s="2263"/>
      <c r="E411" s="1462"/>
      <c r="R411" s="1463"/>
      <c r="S411" s="1463"/>
      <c r="T411" s="1463"/>
      <c r="U411" s="1463"/>
      <c r="V411" s="1463"/>
      <c r="W411" s="1463"/>
      <c r="X411" s="1463"/>
      <c r="Y411" s="1463"/>
    </row>
    <row r="412" spans="1:25">
      <c r="A412" s="2263"/>
      <c r="B412" s="2263"/>
      <c r="C412" s="2263"/>
      <c r="D412" s="2263"/>
      <c r="E412" s="1462"/>
      <c r="R412" s="1463"/>
      <c r="S412" s="1463"/>
      <c r="T412" s="1463"/>
      <c r="U412" s="1463"/>
      <c r="V412" s="1463"/>
      <c r="W412" s="1463"/>
      <c r="X412" s="1463"/>
      <c r="Y412" s="1463"/>
    </row>
    <row r="413" spans="1:25">
      <c r="A413" s="2263"/>
      <c r="B413" s="2263"/>
      <c r="C413" s="2263"/>
      <c r="D413" s="2263"/>
      <c r="E413" s="1462"/>
      <c r="R413" s="1463"/>
      <c r="S413" s="1463"/>
      <c r="T413" s="1463"/>
      <c r="U413" s="1463"/>
      <c r="V413" s="1463"/>
      <c r="W413" s="1463"/>
      <c r="X413" s="1463"/>
      <c r="Y413" s="1463"/>
    </row>
    <row r="414" spans="1:25">
      <c r="A414" s="2263"/>
      <c r="B414" s="2263"/>
      <c r="C414" s="2263"/>
      <c r="D414" s="2263"/>
      <c r="E414" s="1462"/>
      <c r="R414" s="1463"/>
      <c r="S414" s="1463"/>
      <c r="T414" s="1463"/>
      <c r="U414" s="1463"/>
      <c r="V414" s="1463"/>
      <c r="W414" s="1463"/>
      <c r="X414" s="1463"/>
      <c r="Y414" s="1463"/>
    </row>
    <row r="415" spans="1:25">
      <c r="A415" s="2263"/>
      <c r="B415" s="2263"/>
      <c r="C415" s="2263"/>
      <c r="D415" s="2263"/>
      <c r="E415" s="1462"/>
      <c r="R415" s="1463"/>
      <c r="S415" s="1463"/>
      <c r="T415" s="1463"/>
      <c r="U415" s="1463"/>
      <c r="V415" s="1463"/>
      <c r="W415" s="1463"/>
      <c r="X415" s="1463"/>
      <c r="Y415" s="1463"/>
    </row>
    <row r="416" spans="1:25">
      <c r="A416" s="2263"/>
      <c r="B416" s="2263"/>
      <c r="C416" s="2263"/>
      <c r="D416" s="2263"/>
      <c r="E416" s="1462"/>
      <c r="R416" s="1463"/>
      <c r="S416" s="1463"/>
      <c r="T416" s="1463"/>
      <c r="U416" s="1463"/>
      <c r="V416" s="1463"/>
      <c r="W416" s="1463"/>
      <c r="X416" s="1463"/>
      <c r="Y416" s="1463"/>
    </row>
    <row r="417" spans="1:25">
      <c r="A417" s="2263"/>
      <c r="B417" s="2263"/>
      <c r="C417" s="2263"/>
      <c r="D417" s="2263"/>
      <c r="E417" s="1462"/>
      <c r="R417" s="1463"/>
      <c r="S417" s="1463"/>
      <c r="T417" s="1463"/>
      <c r="U417" s="1463"/>
      <c r="V417" s="1463"/>
      <c r="W417" s="1463"/>
      <c r="X417" s="1463"/>
      <c r="Y417" s="1463"/>
    </row>
    <row r="418" spans="1:25">
      <c r="A418" s="2263"/>
      <c r="B418" s="2263"/>
      <c r="C418" s="2263"/>
      <c r="D418" s="2263"/>
      <c r="E418" s="1462"/>
      <c r="R418" s="1463"/>
      <c r="S418" s="1463"/>
      <c r="T418" s="1463"/>
      <c r="U418" s="1463"/>
      <c r="V418" s="1463"/>
      <c r="W418" s="1463"/>
      <c r="X418" s="1463"/>
      <c r="Y418" s="1463"/>
    </row>
    <row r="419" spans="1:25">
      <c r="A419" s="2263"/>
      <c r="B419" s="2263"/>
      <c r="C419" s="2263"/>
      <c r="D419" s="2263"/>
      <c r="E419" s="1462"/>
      <c r="R419" s="1463"/>
      <c r="S419" s="1463"/>
      <c r="T419" s="1463"/>
      <c r="U419" s="1463"/>
      <c r="V419" s="1463"/>
      <c r="W419" s="1463"/>
      <c r="X419" s="1463"/>
      <c r="Y419" s="1463"/>
    </row>
    <row r="420" spans="1:25">
      <c r="A420" s="2263"/>
      <c r="B420" s="2263"/>
      <c r="C420" s="2263"/>
      <c r="D420" s="2263"/>
      <c r="E420" s="1462"/>
      <c r="R420" s="1463"/>
      <c r="S420" s="1463"/>
      <c r="T420" s="1463"/>
      <c r="U420" s="1463"/>
      <c r="V420" s="1463"/>
      <c r="W420" s="1463"/>
      <c r="X420" s="1463"/>
      <c r="Y420" s="1463"/>
    </row>
    <row r="421" spans="1:25">
      <c r="A421" s="2263"/>
      <c r="B421" s="2263"/>
      <c r="C421" s="2263"/>
      <c r="D421" s="2263"/>
      <c r="E421" s="1462"/>
      <c r="R421" s="1463"/>
      <c r="S421" s="1463"/>
      <c r="T421" s="1463"/>
      <c r="U421" s="1463"/>
      <c r="V421" s="1463"/>
      <c r="W421" s="1463"/>
      <c r="X421" s="1463"/>
      <c r="Y421" s="1463"/>
    </row>
    <row r="422" spans="1:25">
      <c r="A422" s="2263"/>
      <c r="B422" s="2263"/>
      <c r="C422" s="2263"/>
      <c r="D422" s="2263"/>
      <c r="E422" s="1462"/>
      <c r="R422" s="1463"/>
      <c r="S422" s="1463"/>
      <c r="T422" s="1463"/>
      <c r="U422" s="1463"/>
      <c r="V422" s="1463"/>
      <c r="W422" s="1463"/>
      <c r="X422" s="1463"/>
      <c r="Y422" s="1463"/>
    </row>
    <row r="423" spans="1:25">
      <c r="A423" s="2263"/>
      <c r="B423" s="2263"/>
      <c r="C423" s="2263"/>
      <c r="D423" s="2263"/>
      <c r="E423" s="1462"/>
      <c r="R423" s="1463"/>
      <c r="S423" s="1463"/>
      <c r="T423" s="1463"/>
      <c r="U423" s="1463"/>
      <c r="V423" s="1463"/>
      <c r="W423" s="1463"/>
      <c r="X423" s="1463"/>
      <c r="Y423" s="1463"/>
    </row>
    <row r="424" spans="1:25">
      <c r="A424" s="2263"/>
      <c r="B424" s="2263"/>
      <c r="C424" s="2263"/>
      <c r="D424" s="2263"/>
      <c r="E424" s="1462"/>
      <c r="R424" s="1463"/>
      <c r="S424" s="1463"/>
      <c r="T424" s="1463"/>
      <c r="U424" s="1463"/>
      <c r="V424" s="1463"/>
      <c r="W424" s="1463"/>
      <c r="X424" s="1463"/>
      <c r="Y424" s="1463"/>
    </row>
    <row r="425" spans="1:25">
      <c r="A425" s="2263"/>
      <c r="B425" s="2263"/>
      <c r="C425" s="2263"/>
      <c r="D425" s="2263"/>
      <c r="E425" s="1462"/>
      <c r="R425" s="1463"/>
      <c r="S425" s="1463"/>
      <c r="T425" s="1463"/>
      <c r="U425" s="1463"/>
      <c r="V425" s="1463"/>
      <c r="W425" s="1463"/>
      <c r="X425" s="1463"/>
      <c r="Y425" s="1463"/>
    </row>
    <row r="426" spans="1:25">
      <c r="A426" s="2263"/>
      <c r="B426" s="2263"/>
      <c r="C426" s="2263"/>
      <c r="D426" s="2263"/>
      <c r="E426" s="1462"/>
      <c r="R426" s="1463"/>
      <c r="S426" s="1463"/>
      <c r="T426" s="1463"/>
      <c r="U426" s="1463"/>
      <c r="V426" s="1463"/>
      <c r="W426" s="1463"/>
      <c r="X426" s="1463"/>
      <c r="Y426" s="1463"/>
    </row>
    <row r="427" spans="1:25">
      <c r="A427" s="2263"/>
      <c r="B427" s="2263"/>
      <c r="C427" s="2263"/>
      <c r="D427" s="2263"/>
      <c r="E427" s="1462"/>
      <c r="R427" s="1463"/>
      <c r="S427" s="1463"/>
      <c r="T427" s="1463"/>
      <c r="U427" s="1463"/>
      <c r="V427" s="1463"/>
      <c r="W427" s="1463"/>
      <c r="X427" s="1463"/>
      <c r="Y427" s="1463"/>
    </row>
    <row r="428" spans="1:25">
      <c r="A428" s="2263"/>
      <c r="B428" s="2263"/>
      <c r="C428" s="2263"/>
      <c r="D428" s="2263"/>
      <c r="E428" s="1462"/>
      <c r="R428" s="1463"/>
      <c r="S428" s="1463"/>
      <c r="T428" s="1463"/>
      <c r="U428" s="1463"/>
      <c r="V428" s="1463"/>
      <c r="W428" s="1463"/>
      <c r="X428" s="1463"/>
      <c r="Y428" s="1463"/>
    </row>
    <row r="429" spans="1:25">
      <c r="A429" s="2263"/>
      <c r="B429" s="2263"/>
      <c r="C429" s="2263"/>
      <c r="D429" s="2263"/>
      <c r="E429" s="1462"/>
      <c r="R429" s="1463"/>
      <c r="S429" s="1463"/>
      <c r="T429" s="1463"/>
      <c r="U429" s="1463"/>
      <c r="V429" s="1463"/>
      <c r="W429" s="1463"/>
      <c r="X429" s="1463"/>
      <c r="Y429" s="1463"/>
    </row>
    <row r="430" spans="1:25">
      <c r="A430" s="2263"/>
      <c r="B430" s="2263"/>
      <c r="C430" s="2263"/>
      <c r="D430" s="2263"/>
      <c r="E430" s="1462"/>
      <c r="R430" s="1463"/>
      <c r="S430" s="1463"/>
      <c r="T430" s="1463"/>
      <c r="U430" s="1463"/>
      <c r="V430" s="1463"/>
      <c r="W430" s="1463"/>
      <c r="X430" s="1463"/>
      <c r="Y430" s="1463"/>
    </row>
    <row r="431" spans="1:25">
      <c r="A431" s="2263"/>
      <c r="B431" s="2263"/>
      <c r="C431" s="2263"/>
      <c r="D431" s="2263"/>
      <c r="E431" s="1462"/>
      <c r="R431" s="1463"/>
      <c r="S431" s="1463"/>
      <c r="T431" s="1463"/>
      <c r="U431" s="1463"/>
      <c r="V431" s="1463"/>
      <c r="W431" s="1463"/>
      <c r="X431" s="1463"/>
      <c r="Y431" s="1463"/>
    </row>
    <row r="432" spans="1:25">
      <c r="A432" s="2263"/>
      <c r="B432" s="2263"/>
      <c r="C432" s="2263"/>
      <c r="D432" s="2263"/>
      <c r="E432" s="1462"/>
      <c r="R432" s="1463"/>
      <c r="S432" s="1463"/>
      <c r="T432" s="1463"/>
      <c r="U432" s="1463"/>
      <c r="V432" s="1463"/>
      <c r="W432" s="1463"/>
      <c r="X432" s="1463"/>
      <c r="Y432" s="1463"/>
    </row>
    <row r="433" spans="1:25">
      <c r="A433" s="2263"/>
      <c r="B433" s="2263"/>
      <c r="C433" s="2263"/>
      <c r="D433" s="2263"/>
      <c r="E433" s="1462"/>
      <c r="R433" s="1463"/>
      <c r="S433" s="1463"/>
      <c r="T433" s="1463"/>
      <c r="U433" s="1463"/>
      <c r="V433" s="1463"/>
      <c r="W433" s="1463"/>
      <c r="X433" s="1463"/>
      <c r="Y433" s="1463"/>
    </row>
    <row r="434" spans="1:25">
      <c r="A434" s="2263"/>
      <c r="B434" s="2263"/>
      <c r="C434" s="2263"/>
      <c r="D434" s="2263"/>
      <c r="E434" s="1462"/>
      <c r="R434" s="1463"/>
      <c r="S434" s="1463"/>
      <c r="T434" s="1463"/>
      <c r="U434" s="1463"/>
      <c r="V434" s="1463"/>
      <c r="W434" s="1463"/>
      <c r="X434" s="1463"/>
      <c r="Y434" s="1463"/>
    </row>
    <row r="435" spans="1:25">
      <c r="A435" s="2263"/>
      <c r="B435" s="2263"/>
      <c r="C435" s="2263"/>
      <c r="D435" s="2263"/>
      <c r="E435" s="1462"/>
      <c r="R435" s="1463"/>
      <c r="S435" s="1463"/>
      <c r="T435" s="1463"/>
      <c r="U435" s="1463"/>
      <c r="V435" s="1463"/>
      <c r="W435" s="1463"/>
      <c r="X435" s="1463"/>
      <c r="Y435" s="1463"/>
    </row>
    <row r="436" spans="1:25">
      <c r="A436" s="2263"/>
      <c r="B436" s="2263"/>
      <c r="C436" s="2263"/>
      <c r="D436" s="2263"/>
      <c r="E436" s="1462"/>
      <c r="R436" s="1463"/>
      <c r="S436" s="1463"/>
      <c r="T436" s="1463"/>
      <c r="U436" s="1463"/>
      <c r="V436" s="1463"/>
      <c r="W436" s="1463"/>
      <c r="X436" s="1463"/>
      <c r="Y436" s="1463"/>
    </row>
    <row r="437" spans="1:25">
      <c r="A437" s="2263"/>
      <c r="B437" s="2263"/>
      <c r="C437" s="2263"/>
      <c r="D437" s="2263"/>
      <c r="E437" s="1462"/>
      <c r="R437" s="1463"/>
      <c r="S437" s="1463"/>
      <c r="T437" s="1463"/>
      <c r="U437" s="1463"/>
      <c r="V437" s="1463"/>
      <c r="W437" s="1463"/>
      <c r="X437" s="1463"/>
      <c r="Y437" s="1463"/>
    </row>
    <row r="438" spans="1:25">
      <c r="A438" s="2263"/>
      <c r="B438" s="2263"/>
      <c r="C438" s="2263"/>
      <c r="D438" s="2263"/>
      <c r="E438" s="1462"/>
      <c r="R438" s="1463"/>
      <c r="S438" s="1463"/>
      <c r="T438" s="1463"/>
      <c r="U438" s="1463"/>
      <c r="V438" s="1463"/>
      <c r="W438" s="1463"/>
      <c r="X438" s="1463"/>
      <c r="Y438" s="1463"/>
    </row>
    <row r="439" spans="1:25">
      <c r="A439" s="2263"/>
      <c r="B439" s="2263"/>
      <c r="C439" s="2263"/>
      <c r="D439" s="2263"/>
      <c r="E439" s="1462"/>
      <c r="R439" s="1463"/>
      <c r="S439" s="1463"/>
      <c r="T439" s="1463"/>
      <c r="U439" s="1463"/>
      <c r="V439" s="1463"/>
      <c r="W439" s="1463"/>
      <c r="X439" s="1463"/>
      <c r="Y439" s="1463"/>
    </row>
    <row r="440" spans="1:25">
      <c r="A440" s="2263"/>
      <c r="B440" s="2263"/>
      <c r="C440" s="2263"/>
      <c r="D440" s="2263"/>
      <c r="E440" s="1462"/>
      <c r="R440" s="1463"/>
      <c r="S440" s="1463"/>
      <c r="T440" s="1463"/>
      <c r="U440" s="1463"/>
      <c r="V440" s="1463"/>
      <c r="W440" s="1463"/>
      <c r="X440" s="1463"/>
      <c r="Y440" s="1463"/>
    </row>
    <row r="441" spans="1:25">
      <c r="A441" s="2263"/>
      <c r="B441" s="2263"/>
      <c r="C441" s="2263"/>
      <c r="D441" s="2263"/>
      <c r="E441" s="1462"/>
      <c r="R441" s="1463"/>
      <c r="S441" s="1463"/>
      <c r="T441" s="1463"/>
      <c r="U441" s="1463"/>
      <c r="V441" s="1463"/>
      <c r="W441" s="1463"/>
      <c r="X441" s="1463"/>
      <c r="Y441" s="1463"/>
    </row>
    <row r="442" spans="1:25">
      <c r="A442" s="2263"/>
      <c r="B442" s="2263"/>
      <c r="C442" s="2263"/>
      <c r="D442" s="2263"/>
      <c r="E442" s="1462"/>
      <c r="R442" s="1463"/>
      <c r="S442" s="1463"/>
      <c r="T442" s="1463"/>
      <c r="U442" s="1463"/>
      <c r="V442" s="1463"/>
      <c r="W442" s="1463"/>
      <c r="X442" s="1463"/>
      <c r="Y442" s="1463"/>
    </row>
    <row r="443" spans="1:25">
      <c r="A443" s="2263"/>
      <c r="B443" s="2263"/>
      <c r="C443" s="2263"/>
      <c r="D443" s="2263"/>
      <c r="E443" s="1462"/>
      <c r="R443" s="1463"/>
      <c r="S443" s="1463"/>
      <c r="T443" s="1463"/>
      <c r="U443" s="1463"/>
      <c r="V443" s="1463"/>
      <c r="W443" s="1463"/>
      <c r="X443" s="1463"/>
      <c r="Y443" s="1463"/>
    </row>
    <row r="444" spans="1:25">
      <c r="A444" s="2263"/>
      <c r="B444" s="2263"/>
      <c r="C444" s="2263"/>
      <c r="D444" s="2263"/>
      <c r="E444" s="1462"/>
      <c r="R444" s="1463"/>
      <c r="S444" s="1463"/>
      <c r="T444" s="1463"/>
      <c r="U444" s="1463"/>
      <c r="V444" s="1463"/>
      <c r="W444" s="1463"/>
      <c r="X444" s="1463"/>
      <c r="Y444" s="1463"/>
    </row>
    <row r="445" spans="1:25">
      <c r="A445" s="2263"/>
      <c r="B445" s="2263"/>
      <c r="C445" s="2263"/>
      <c r="D445" s="2263"/>
      <c r="E445" s="1462"/>
      <c r="R445" s="1463"/>
      <c r="S445" s="1463"/>
      <c r="T445" s="1463"/>
      <c r="U445" s="1463"/>
      <c r="V445" s="1463"/>
      <c r="W445" s="1463"/>
      <c r="X445" s="1463"/>
      <c r="Y445" s="1463"/>
    </row>
    <row r="446" spans="1:25">
      <c r="A446" s="2263"/>
      <c r="B446" s="2263"/>
      <c r="C446" s="2263"/>
      <c r="D446" s="2263"/>
      <c r="E446" s="1462"/>
      <c r="R446" s="1463"/>
      <c r="S446" s="1463"/>
      <c r="T446" s="1463"/>
      <c r="U446" s="1463"/>
      <c r="V446" s="1463"/>
      <c r="W446" s="1463"/>
      <c r="X446" s="1463"/>
      <c r="Y446" s="1463"/>
    </row>
    <row r="447" spans="1:25">
      <c r="A447" s="2263"/>
      <c r="B447" s="2263"/>
      <c r="C447" s="2263"/>
      <c r="D447" s="2263"/>
      <c r="E447" s="1462"/>
      <c r="R447" s="1463"/>
      <c r="S447" s="1463"/>
      <c r="T447" s="1463"/>
      <c r="U447" s="1463"/>
      <c r="V447" s="1463"/>
      <c r="W447" s="1463"/>
      <c r="X447" s="1463"/>
      <c r="Y447" s="1463"/>
    </row>
    <row r="448" spans="1:25">
      <c r="A448" s="2263"/>
      <c r="B448" s="2263"/>
      <c r="C448" s="2263"/>
      <c r="D448" s="2263"/>
      <c r="E448" s="1462"/>
      <c r="R448" s="1463"/>
      <c r="S448" s="1463"/>
      <c r="T448" s="1463"/>
      <c r="U448" s="1463"/>
      <c r="V448" s="1463"/>
      <c r="W448" s="1463"/>
      <c r="X448" s="1463"/>
      <c r="Y448" s="1463"/>
    </row>
    <row r="449" spans="1:25">
      <c r="A449" s="2263"/>
      <c r="B449" s="2263"/>
      <c r="C449" s="2263"/>
      <c r="D449" s="2263"/>
      <c r="E449" s="1462"/>
      <c r="R449" s="1463"/>
      <c r="S449" s="1463"/>
      <c r="T449" s="1463"/>
      <c r="U449" s="1463"/>
      <c r="V449" s="1463"/>
      <c r="W449" s="1463"/>
      <c r="X449" s="1463"/>
      <c r="Y449" s="1463"/>
    </row>
    <row r="450" spans="1:25">
      <c r="A450" s="2263"/>
      <c r="B450" s="2263"/>
      <c r="C450" s="2263"/>
      <c r="D450" s="2263"/>
      <c r="E450" s="1462"/>
      <c r="R450" s="1463"/>
      <c r="S450" s="1463"/>
      <c r="T450" s="1463"/>
      <c r="U450" s="1463"/>
      <c r="V450" s="1463"/>
      <c r="W450" s="1463"/>
      <c r="X450" s="1463"/>
      <c r="Y450" s="1463"/>
    </row>
    <row r="451" spans="1:25">
      <c r="A451" s="2263"/>
      <c r="B451" s="2263"/>
      <c r="C451" s="2263"/>
      <c r="D451" s="2263"/>
      <c r="E451" s="1462"/>
      <c r="R451" s="1463"/>
      <c r="S451" s="1463"/>
      <c r="T451" s="1463"/>
      <c r="U451" s="1463"/>
      <c r="V451" s="1463"/>
      <c r="W451" s="1463"/>
      <c r="X451" s="1463"/>
      <c r="Y451" s="1463"/>
    </row>
    <row r="452" spans="1:25">
      <c r="A452" s="2263"/>
      <c r="B452" s="2263"/>
      <c r="C452" s="2263"/>
      <c r="D452" s="2263"/>
      <c r="E452" s="1462"/>
      <c r="R452" s="1463"/>
      <c r="S452" s="1463"/>
      <c r="T452" s="1463"/>
      <c r="U452" s="1463"/>
      <c r="V452" s="1463"/>
      <c r="W452" s="1463"/>
      <c r="X452" s="1463"/>
      <c r="Y452" s="1463"/>
    </row>
    <row r="453" spans="1:25">
      <c r="A453" s="2263"/>
      <c r="B453" s="2263"/>
      <c r="C453" s="2263"/>
      <c r="D453" s="2263"/>
      <c r="E453" s="1462"/>
      <c r="R453" s="1463"/>
      <c r="S453" s="1463"/>
      <c r="T453" s="1463"/>
      <c r="U453" s="1463"/>
      <c r="V453" s="1463"/>
      <c r="W453" s="1463"/>
      <c r="X453" s="1463"/>
      <c r="Y453" s="1463"/>
    </row>
    <row r="454" spans="1:25">
      <c r="A454" s="2263"/>
      <c r="B454" s="2263"/>
      <c r="C454" s="2263"/>
      <c r="D454" s="2263"/>
      <c r="E454" s="1462"/>
      <c r="R454" s="1463"/>
      <c r="S454" s="1463"/>
      <c r="T454" s="1463"/>
      <c r="U454" s="1463"/>
      <c r="V454" s="1463"/>
      <c r="W454" s="1463"/>
      <c r="X454" s="1463"/>
      <c r="Y454" s="1463"/>
    </row>
    <row r="455" spans="1:25">
      <c r="A455" s="2263"/>
      <c r="B455" s="2263"/>
      <c r="C455" s="2263"/>
      <c r="D455" s="2263"/>
      <c r="E455" s="1462"/>
      <c r="R455" s="1463"/>
      <c r="S455" s="1463"/>
      <c r="T455" s="1463"/>
      <c r="U455" s="1463"/>
      <c r="V455" s="1463"/>
      <c r="W455" s="1463"/>
      <c r="X455" s="1463"/>
      <c r="Y455" s="1463"/>
    </row>
    <row r="456" spans="1:25">
      <c r="A456" s="2263"/>
      <c r="B456" s="2263"/>
      <c r="C456" s="2263"/>
      <c r="D456" s="2263"/>
      <c r="E456" s="1462"/>
      <c r="R456" s="1463"/>
      <c r="S456" s="1463"/>
      <c r="T456" s="1463"/>
      <c r="U456" s="1463"/>
      <c r="V456" s="1463"/>
      <c r="W456" s="1463"/>
      <c r="X456" s="1463"/>
      <c r="Y456" s="1463"/>
    </row>
    <row r="457" spans="1:25">
      <c r="A457" s="2263"/>
      <c r="B457" s="2263"/>
      <c r="C457" s="2263"/>
      <c r="D457" s="2263"/>
      <c r="E457" s="1462"/>
      <c r="R457" s="1463"/>
      <c r="S457" s="1463"/>
      <c r="T457" s="1463"/>
      <c r="U457" s="1463"/>
      <c r="V457" s="1463"/>
      <c r="W457" s="1463"/>
      <c r="X457" s="1463"/>
      <c r="Y457" s="1463"/>
    </row>
    <row r="458" spans="1:25">
      <c r="A458" s="2263"/>
      <c r="B458" s="2263"/>
      <c r="C458" s="2263"/>
      <c r="D458" s="2263"/>
      <c r="E458" s="1462"/>
      <c r="R458" s="1463"/>
      <c r="S458" s="1463"/>
      <c r="T458" s="1463"/>
      <c r="U458" s="1463"/>
      <c r="V458" s="1463"/>
      <c r="W458" s="1463"/>
      <c r="X458" s="1463"/>
      <c r="Y458" s="1463"/>
    </row>
    <row r="459" spans="1:25">
      <c r="A459" s="2263"/>
      <c r="B459" s="2263"/>
      <c r="C459" s="2263"/>
      <c r="D459" s="2263"/>
      <c r="E459" s="1462"/>
      <c r="R459" s="1463"/>
      <c r="S459" s="1463"/>
      <c r="T459" s="1463"/>
      <c r="U459" s="1463"/>
      <c r="V459" s="1463"/>
      <c r="W459" s="1463"/>
      <c r="X459" s="1463"/>
      <c r="Y459" s="1463"/>
    </row>
    <row r="460" spans="1:25">
      <c r="A460" s="2263"/>
      <c r="B460" s="2263"/>
      <c r="C460" s="2263"/>
      <c r="D460" s="2263"/>
      <c r="E460" s="1462"/>
      <c r="R460" s="1463"/>
      <c r="S460" s="1463"/>
      <c r="T460" s="1463"/>
      <c r="U460" s="1463"/>
      <c r="V460" s="1463"/>
      <c r="W460" s="1463"/>
      <c r="X460" s="1463"/>
      <c r="Y460" s="1463"/>
    </row>
    <row r="461" spans="1:25">
      <c r="A461" s="2263"/>
      <c r="B461" s="2263"/>
      <c r="C461" s="2263"/>
      <c r="D461" s="2263"/>
      <c r="E461" s="1462"/>
      <c r="R461" s="1463"/>
      <c r="S461" s="1463"/>
      <c r="T461" s="1463"/>
      <c r="U461" s="1463"/>
      <c r="V461" s="1463"/>
      <c r="W461" s="1463"/>
      <c r="X461" s="1463"/>
      <c r="Y461" s="1463"/>
    </row>
    <row r="462" spans="1:25">
      <c r="A462" s="2263"/>
      <c r="B462" s="2263"/>
      <c r="C462" s="2263"/>
      <c r="D462" s="2263"/>
      <c r="E462" s="1462"/>
      <c r="R462" s="1463"/>
      <c r="S462" s="1463"/>
      <c r="T462" s="1463"/>
      <c r="U462" s="1463"/>
      <c r="V462" s="1463"/>
      <c r="W462" s="1463"/>
      <c r="X462" s="1463"/>
      <c r="Y462" s="1463"/>
    </row>
    <row r="463" spans="1:25">
      <c r="A463" s="2263"/>
      <c r="B463" s="2263"/>
      <c r="C463" s="2263"/>
      <c r="D463" s="2263"/>
      <c r="E463" s="1462"/>
      <c r="R463" s="1463"/>
      <c r="S463" s="1463"/>
      <c r="T463" s="1463"/>
      <c r="U463" s="1463"/>
      <c r="V463" s="1463"/>
      <c r="W463" s="1463"/>
      <c r="X463" s="1463"/>
      <c r="Y463" s="1463"/>
    </row>
    <row r="464" spans="1:25">
      <c r="A464" s="2263"/>
      <c r="B464" s="2263"/>
      <c r="C464" s="2263"/>
      <c r="D464" s="2263"/>
      <c r="E464" s="1462"/>
      <c r="R464" s="1463"/>
      <c r="S464" s="1463"/>
      <c r="T464" s="1463"/>
      <c r="U464" s="1463"/>
      <c r="V464" s="1463"/>
      <c r="W464" s="1463"/>
      <c r="X464" s="1463"/>
      <c r="Y464" s="1463"/>
    </row>
    <row r="465" spans="1:25">
      <c r="A465" s="2263"/>
      <c r="B465" s="2263"/>
      <c r="C465" s="2263"/>
      <c r="D465" s="2263"/>
      <c r="E465" s="1462"/>
      <c r="R465" s="1463"/>
      <c r="S465" s="1463"/>
      <c r="T465" s="1463"/>
      <c r="U465" s="1463"/>
      <c r="V465" s="1463"/>
      <c r="W465" s="1463"/>
      <c r="X465" s="1463"/>
      <c r="Y465" s="1463"/>
    </row>
    <row r="466" spans="1:25">
      <c r="A466" s="2263"/>
      <c r="B466" s="2263"/>
      <c r="C466" s="2263"/>
      <c r="D466" s="2263"/>
      <c r="E466" s="1462"/>
      <c r="R466" s="1463"/>
      <c r="S466" s="1463"/>
      <c r="T466" s="1463"/>
      <c r="U466" s="1463"/>
      <c r="V466" s="1463"/>
      <c r="W466" s="1463"/>
      <c r="X466" s="1463"/>
      <c r="Y466" s="1463"/>
    </row>
    <row r="467" spans="1:25">
      <c r="A467" s="2263"/>
      <c r="B467" s="2263"/>
      <c r="C467" s="2263"/>
      <c r="D467" s="2263"/>
      <c r="E467" s="1462"/>
      <c r="R467" s="1463"/>
      <c r="S467" s="1463"/>
      <c r="T467" s="1463"/>
      <c r="U467" s="1463"/>
      <c r="V467" s="1463"/>
      <c r="W467" s="1463"/>
      <c r="X467" s="1463"/>
      <c r="Y467" s="1463"/>
    </row>
    <row r="468" spans="1:25">
      <c r="A468" s="2263"/>
      <c r="B468" s="2263"/>
      <c r="C468" s="2263"/>
      <c r="D468" s="2263"/>
      <c r="E468" s="1462"/>
      <c r="R468" s="1463"/>
      <c r="S468" s="1463"/>
      <c r="T468" s="1463"/>
      <c r="U468" s="1463"/>
      <c r="V468" s="1463"/>
      <c r="W468" s="1463"/>
      <c r="X468" s="1463"/>
      <c r="Y468" s="1463"/>
    </row>
    <row r="469" spans="1:25">
      <c r="A469" s="2263"/>
      <c r="B469" s="2263"/>
      <c r="C469" s="2263"/>
      <c r="D469" s="2263"/>
      <c r="E469" s="1462"/>
      <c r="R469" s="1463"/>
      <c r="S469" s="1463"/>
      <c r="T469" s="1463"/>
      <c r="U469" s="1463"/>
      <c r="V469" s="1463"/>
      <c r="W469" s="1463"/>
      <c r="X469" s="1463"/>
      <c r="Y469" s="1463"/>
    </row>
    <row r="470" spans="1:25">
      <c r="A470" s="2263"/>
      <c r="B470" s="2263"/>
      <c r="C470" s="2263"/>
      <c r="D470" s="2263"/>
      <c r="E470" s="1462"/>
      <c r="R470" s="1463"/>
      <c r="S470" s="1463"/>
      <c r="T470" s="1463"/>
      <c r="U470" s="1463"/>
      <c r="V470" s="1463"/>
      <c r="W470" s="1463"/>
      <c r="X470" s="1463"/>
      <c r="Y470" s="1463"/>
    </row>
    <row r="471" spans="1:25">
      <c r="A471" s="2263"/>
      <c r="B471" s="2263"/>
      <c r="C471" s="2263"/>
      <c r="D471" s="2263"/>
      <c r="E471" s="1462"/>
      <c r="R471" s="1463"/>
      <c r="S471" s="1463"/>
      <c r="T471" s="1463"/>
      <c r="U471" s="1463"/>
      <c r="V471" s="1463"/>
      <c r="W471" s="1463"/>
      <c r="X471" s="1463"/>
      <c r="Y471" s="1463"/>
    </row>
    <row r="472" spans="1:25">
      <c r="A472" s="2263"/>
      <c r="B472" s="2263"/>
      <c r="C472" s="2263"/>
      <c r="D472" s="2263"/>
      <c r="E472" s="1462"/>
      <c r="R472" s="1463"/>
      <c r="S472" s="1463"/>
      <c r="T472" s="1463"/>
      <c r="U472" s="1463"/>
      <c r="V472" s="1463"/>
      <c r="W472" s="1463"/>
      <c r="X472" s="1463"/>
      <c r="Y472" s="1463"/>
    </row>
    <row r="473" spans="1:25">
      <c r="A473" s="2263"/>
      <c r="B473" s="2263"/>
      <c r="C473" s="2263"/>
      <c r="D473" s="2263"/>
      <c r="E473" s="1462"/>
      <c r="R473" s="1463"/>
      <c r="S473" s="1463"/>
      <c r="T473" s="1463"/>
      <c r="U473" s="1463"/>
      <c r="V473" s="1463"/>
      <c r="W473" s="1463"/>
      <c r="X473" s="1463"/>
      <c r="Y473" s="1463"/>
    </row>
    <row r="474" spans="1:25">
      <c r="A474" s="2263"/>
      <c r="B474" s="2263"/>
      <c r="C474" s="2263"/>
      <c r="D474" s="2263"/>
      <c r="E474" s="1462"/>
      <c r="R474" s="1463"/>
      <c r="S474" s="1463"/>
      <c r="T474" s="1463"/>
      <c r="U474" s="1463"/>
      <c r="V474" s="1463"/>
      <c r="W474" s="1463"/>
      <c r="X474" s="1463"/>
      <c r="Y474" s="1463"/>
    </row>
    <row r="475" spans="1:25">
      <c r="A475" s="2263"/>
      <c r="B475" s="2263"/>
      <c r="C475" s="2263"/>
      <c r="D475" s="2263"/>
      <c r="E475" s="1462"/>
      <c r="R475" s="1463"/>
      <c r="S475" s="1463"/>
      <c r="T475" s="1463"/>
      <c r="U475" s="1463"/>
      <c r="V475" s="1463"/>
      <c r="W475" s="1463"/>
      <c r="X475" s="1463"/>
      <c r="Y475" s="1463"/>
    </row>
    <row r="476" spans="1:25">
      <c r="A476" s="2263"/>
      <c r="B476" s="2263"/>
      <c r="C476" s="2263"/>
      <c r="D476" s="2263"/>
      <c r="E476" s="1462"/>
      <c r="R476" s="1463"/>
      <c r="S476" s="1463"/>
      <c r="T476" s="1463"/>
      <c r="U476" s="1463"/>
      <c r="V476" s="1463"/>
      <c r="W476" s="1463"/>
      <c r="X476" s="1463"/>
      <c r="Y476" s="1463"/>
    </row>
    <row r="477" spans="1:25">
      <c r="A477" s="2263"/>
      <c r="B477" s="2263"/>
      <c r="C477" s="2263"/>
      <c r="D477" s="2263"/>
      <c r="E477" s="1462"/>
      <c r="R477" s="1463"/>
      <c r="S477" s="1463"/>
      <c r="T477" s="1463"/>
      <c r="U477" s="1463"/>
      <c r="V477" s="1463"/>
      <c r="W477" s="1463"/>
      <c r="X477" s="1463"/>
      <c r="Y477" s="1463"/>
    </row>
    <row r="478" spans="1:25">
      <c r="A478" s="2263"/>
      <c r="B478" s="2263"/>
      <c r="C478" s="2263"/>
      <c r="D478" s="2263"/>
      <c r="E478" s="1462"/>
      <c r="R478" s="1463"/>
      <c r="S478" s="1463"/>
      <c r="T478" s="1463"/>
      <c r="U478" s="1463"/>
      <c r="V478" s="1463"/>
      <c r="W478" s="1463"/>
      <c r="X478" s="1463"/>
      <c r="Y478" s="1463"/>
    </row>
    <row r="479" spans="1:25">
      <c r="A479" s="2263"/>
      <c r="B479" s="2263"/>
      <c r="C479" s="2263"/>
      <c r="D479" s="2263"/>
      <c r="E479" s="1462"/>
      <c r="R479" s="1463"/>
      <c r="S479" s="1463"/>
      <c r="T479" s="1463"/>
      <c r="U479" s="1463"/>
      <c r="V479" s="1463"/>
      <c r="W479" s="1463"/>
      <c r="X479" s="1463"/>
      <c r="Y479" s="1463"/>
    </row>
    <row r="480" spans="1:25">
      <c r="A480" s="2263"/>
      <c r="B480" s="2263"/>
      <c r="C480" s="2263"/>
      <c r="D480" s="2263"/>
      <c r="E480" s="1462"/>
      <c r="R480" s="1463"/>
      <c r="S480" s="1463"/>
      <c r="T480" s="1463"/>
      <c r="U480" s="1463"/>
      <c r="V480" s="1463"/>
      <c r="W480" s="1463"/>
      <c r="X480" s="1463"/>
      <c r="Y480" s="1463"/>
    </row>
    <row r="481" spans="1:25">
      <c r="A481" s="2263"/>
      <c r="B481" s="2263"/>
      <c r="C481" s="2263"/>
      <c r="D481" s="2263"/>
      <c r="E481" s="1462"/>
      <c r="R481" s="1463"/>
      <c r="S481" s="1463"/>
      <c r="T481" s="1463"/>
      <c r="U481" s="1463"/>
      <c r="V481" s="1463"/>
      <c r="W481" s="1463"/>
      <c r="X481" s="1463"/>
      <c r="Y481" s="1463"/>
    </row>
    <row r="482" spans="1:25">
      <c r="A482" s="2263"/>
      <c r="B482" s="2263"/>
      <c r="C482" s="2263"/>
      <c r="D482" s="2263"/>
      <c r="E482" s="1462"/>
      <c r="R482" s="1463"/>
      <c r="S482" s="1463"/>
      <c r="T482" s="1463"/>
      <c r="U482" s="1463"/>
      <c r="V482" s="1463"/>
      <c r="W482" s="1463"/>
      <c r="X482" s="1463"/>
      <c r="Y482" s="1463"/>
    </row>
    <row r="483" spans="1:25">
      <c r="A483" s="2263"/>
      <c r="B483" s="2263"/>
      <c r="C483" s="2263"/>
      <c r="D483" s="2263"/>
      <c r="E483" s="1462"/>
      <c r="R483" s="1463"/>
      <c r="S483" s="1463"/>
      <c r="T483" s="1463"/>
      <c r="U483" s="1463"/>
      <c r="V483" s="1463"/>
      <c r="W483" s="1463"/>
      <c r="X483" s="1463"/>
      <c r="Y483" s="1463"/>
    </row>
    <row r="484" spans="1:25">
      <c r="A484" s="2263"/>
      <c r="B484" s="2263"/>
      <c r="C484" s="2263"/>
      <c r="D484" s="2263"/>
      <c r="E484" s="1462"/>
      <c r="R484" s="1463"/>
      <c r="S484" s="1463"/>
      <c r="T484" s="1463"/>
      <c r="U484" s="1463"/>
      <c r="V484" s="1463"/>
      <c r="W484" s="1463"/>
      <c r="X484" s="1463"/>
      <c r="Y484" s="1463"/>
    </row>
    <row r="485" spans="1:25">
      <c r="A485" s="2263"/>
      <c r="B485" s="2263"/>
      <c r="C485" s="2263"/>
      <c r="D485" s="2263"/>
      <c r="E485" s="1462"/>
      <c r="R485" s="1463"/>
      <c r="S485" s="1463"/>
      <c r="T485" s="1463"/>
      <c r="U485" s="1463"/>
      <c r="V485" s="1463"/>
      <c r="W485" s="1463"/>
      <c r="X485" s="1463"/>
      <c r="Y485" s="1463"/>
    </row>
    <row r="486" spans="1:25">
      <c r="A486" s="2263"/>
      <c r="B486" s="2263"/>
      <c r="C486" s="2263"/>
      <c r="D486" s="2263"/>
      <c r="E486" s="1462"/>
      <c r="R486" s="1463"/>
      <c r="S486" s="1463"/>
      <c r="T486" s="1463"/>
      <c r="U486" s="1463"/>
      <c r="V486" s="1463"/>
      <c r="W486" s="1463"/>
      <c r="X486" s="1463"/>
      <c r="Y486" s="1463"/>
    </row>
    <row r="487" spans="1:25">
      <c r="A487" s="2263"/>
      <c r="B487" s="2263"/>
      <c r="C487" s="2263"/>
      <c r="D487" s="2263"/>
      <c r="E487" s="1462"/>
      <c r="R487" s="1463"/>
      <c r="S487" s="1463"/>
      <c r="T487" s="1463"/>
      <c r="U487" s="1463"/>
      <c r="V487" s="1463"/>
      <c r="W487" s="1463"/>
      <c r="X487" s="1463"/>
      <c r="Y487" s="1463"/>
    </row>
    <row r="488" spans="1:25">
      <c r="A488" s="2263"/>
      <c r="B488" s="2263"/>
      <c r="C488" s="2263"/>
      <c r="D488" s="2263"/>
      <c r="E488" s="1462"/>
      <c r="R488" s="1463"/>
      <c r="S488" s="1463"/>
      <c r="T488" s="1463"/>
      <c r="U488" s="1463"/>
      <c r="V488" s="1463"/>
      <c r="W488" s="1463"/>
      <c r="X488" s="1463"/>
      <c r="Y488" s="1463"/>
    </row>
    <row r="489" spans="1:25">
      <c r="A489" s="2263"/>
      <c r="B489" s="2263"/>
      <c r="C489" s="2263"/>
      <c r="D489" s="2263"/>
      <c r="E489" s="1462"/>
      <c r="R489" s="1463"/>
      <c r="S489" s="1463"/>
      <c r="T489" s="1463"/>
      <c r="U489" s="1463"/>
      <c r="V489" s="1463"/>
      <c r="W489" s="1463"/>
      <c r="X489" s="1463"/>
      <c r="Y489" s="1463"/>
    </row>
    <row r="490" spans="1:25">
      <c r="A490" s="2263"/>
      <c r="B490" s="2263"/>
      <c r="C490" s="2263"/>
      <c r="D490" s="2263"/>
      <c r="E490" s="1462"/>
      <c r="R490" s="1463"/>
      <c r="S490" s="1463"/>
      <c r="T490" s="1463"/>
      <c r="U490" s="1463"/>
      <c r="V490" s="1463"/>
      <c r="W490" s="1463"/>
      <c r="X490" s="1463"/>
      <c r="Y490" s="1463"/>
    </row>
    <row r="491" spans="1:25">
      <c r="A491" s="2263"/>
      <c r="B491" s="2263"/>
      <c r="C491" s="2263"/>
      <c r="D491" s="2263"/>
      <c r="E491" s="1462"/>
      <c r="R491" s="1463"/>
      <c r="S491" s="1463"/>
      <c r="T491" s="1463"/>
      <c r="U491" s="1463"/>
      <c r="V491" s="1463"/>
      <c r="W491" s="1463"/>
      <c r="X491" s="1463"/>
      <c r="Y491" s="1463"/>
    </row>
    <row r="492" spans="1:25">
      <c r="A492" s="2263"/>
      <c r="B492" s="2263"/>
      <c r="C492" s="2263"/>
      <c r="D492" s="2263"/>
      <c r="E492" s="1462"/>
      <c r="R492" s="1463"/>
      <c r="S492" s="1463"/>
      <c r="T492" s="1463"/>
      <c r="U492" s="1463"/>
      <c r="V492" s="1463"/>
      <c r="W492" s="1463"/>
      <c r="X492" s="1463"/>
      <c r="Y492" s="1463"/>
    </row>
    <row r="493" spans="1:25">
      <c r="A493" s="2263"/>
      <c r="B493" s="2263"/>
      <c r="C493" s="2263"/>
      <c r="D493" s="2263"/>
      <c r="E493" s="1462"/>
      <c r="R493" s="1463"/>
      <c r="S493" s="1463"/>
      <c r="T493" s="1463"/>
      <c r="U493" s="1463"/>
      <c r="V493" s="1463"/>
      <c r="W493" s="1463"/>
      <c r="X493" s="1463"/>
      <c r="Y493" s="1463"/>
    </row>
    <row r="494" spans="1:25">
      <c r="A494" s="2263"/>
      <c r="B494" s="2263"/>
      <c r="C494" s="2263"/>
      <c r="D494" s="2263"/>
      <c r="E494" s="1462"/>
      <c r="R494" s="1463"/>
      <c r="S494" s="1463"/>
      <c r="T494" s="1463"/>
      <c r="U494" s="1463"/>
      <c r="V494" s="1463"/>
      <c r="W494" s="1463"/>
      <c r="X494" s="1463"/>
      <c r="Y494" s="1463"/>
    </row>
    <row r="495" spans="1:25">
      <c r="A495" s="2263"/>
      <c r="B495" s="2263"/>
      <c r="C495" s="2263"/>
      <c r="D495" s="2263"/>
      <c r="E495" s="1462"/>
      <c r="R495" s="1463"/>
      <c r="S495" s="1463"/>
      <c r="T495" s="1463"/>
      <c r="U495" s="1463"/>
      <c r="V495" s="1463"/>
      <c r="W495" s="1463"/>
      <c r="X495" s="1463"/>
      <c r="Y495" s="1463"/>
    </row>
    <row r="496" spans="1:25">
      <c r="A496" s="2263"/>
      <c r="B496" s="2263"/>
      <c r="C496" s="2263"/>
      <c r="D496" s="2263"/>
      <c r="E496" s="1462"/>
      <c r="R496" s="1463"/>
      <c r="S496" s="1463"/>
      <c r="T496" s="1463"/>
      <c r="U496" s="1463"/>
      <c r="V496" s="1463"/>
      <c r="W496" s="1463"/>
      <c r="X496" s="1463"/>
      <c r="Y496" s="1463"/>
    </row>
    <row r="497" spans="1:25">
      <c r="A497" s="2263"/>
      <c r="B497" s="2263"/>
      <c r="C497" s="2263"/>
      <c r="D497" s="2263"/>
      <c r="E497" s="1462"/>
      <c r="R497" s="1463"/>
      <c r="S497" s="1463"/>
      <c r="T497" s="1463"/>
      <c r="U497" s="1463"/>
      <c r="V497" s="1463"/>
      <c r="W497" s="1463"/>
      <c r="X497" s="1463"/>
      <c r="Y497" s="1463"/>
    </row>
    <row r="498" spans="1:25">
      <c r="A498" s="2263"/>
      <c r="B498" s="2263"/>
      <c r="C498" s="2263"/>
      <c r="D498" s="2263"/>
      <c r="E498" s="1462"/>
      <c r="R498" s="1463"/>
      <c r="S498" s="1463"/>
      <c r="T498" s="1463"/>
      <c r="U498" s="1463"/>
      <c r="V498" s="1463"/>
      <c r="W498" s="1463"/>
      <c r="X498" s="1463"/>
      <c r="Y498" s="1463"/>
    </row>
    <row r="499" spans="1:25">
      <c r="A499" s="2263"/>
      <c r="B499" s="2263"/>
      <c r="C499" s="2263"/>
      <c r="D499" s="2263"/>
      <c r="E499" s="1462"/>
      <c r="R499" s="1463"/>
      <c r="S499" s="1463"/>
      <c r="T499" s="1463"/>
      <c r="U499" s="1463"/>
      <c r="V499" s="1463"/>
      <c r="W499" s="1463"/>
      <c r="X499" s="1463"/>
      <c r="Y499" s="1463"/>
    </row>
    <row r="500" spans="1:25">
      <c r="A500" s="2263"/>
      <c r="B500" s="2263"/>
      <c r="C500" s="2263"/>
      <c r="D500" s="2263"/>
      <c r="E500" s="1462"/>
      <c r="R500" s="1463"/>
      <c r="S500" s="1463"/>
      <c r="T500" s="1463"/>
      <c r="U500" s="1463"/>
      <c r="V500" s="1463"/>
      <c r="W500" s="1463"/>
      <c r="X500" s="1463"/>
      <c r="Y500" s="1463"/>
    </row>
    <row r="501" spans="1:25">
      <c r="A501" s="2263"/>
      <c r="B501" s="2263"/>
      <c r="C501" s="2263"/>
      <c r="D501" s="2263"/>
      <c r="E501" s="1462"/>
      <c r="R501" s="1463"/>
      <c r="S501" s="1463"/>
      <c r="T501" s="1463"/>
      <c r="U501" s="1463"/>
      <c r="V501" s="1463"/>
      <c r="W501" s="1463"/>
      <c r="X501" s="1463"/>
      <c r="Y501" s="1463"/>
    </row>
    <row r="502" spans="1:25">
      <c r="A502" s="2263"/>
      <c r="B502" s="2263"/>
      <c r="C502" s="2263"/>
      <c r="D502" s="2263"/>
      <c r="E502" s="1462"/>
      <c r="R502" s="1463"/>
      <c r="S502" s="1463"/>
      <c r="T502" s="1463"/>
      <c r="U502" s="1463"/>
      <c r="V502" s="1463"/>
      <c r="W502" s="1463"/>
      <c r="X502" s="1463"/>
      <c r="Y502" s="1463"/>
    </row>
    <row r="503" spans="1:25">
      <c r="A503" s="2263"/>
      <c r="B503" s="2263"/>
      <c r="C503" s="2263"/>
      <c r="D503" s="2263"/>
      <c r="E503" s="1462"/>
      <c r="R503" s="1463"/>
      <c r="S503" s="1463"/>
      <c r="T503" s="1463"/>
      <c r="U503" s="1463"/>
      <c r="V503" s="1463"/>
      <c r="W503" s="1463"/>
      <c r="X503" s="1463"/>
      <c r="Y503" s="1463"/>
    </row>
    <row r="504" spans="1:25">
      <c r="A504" s="2263"/>
      <c r="B504" s="2263"/>
      <c r="C504" s="2263"/>
      <c r="D504" s="2263"/>
      <c r="E504" s="1462"/>
      <c r="R504" s="1463"/>
      <c r="S504" s="1463"/>
      <c r="T504" s="1463"/>
      <c r="U504" s="1463"/>
      <c r="V504" s="1463"/>
      <c r="W504" s="1463"/>
      <c r="X504" s="1463"/>
      <c r="Y504" s="1463"/>
    </row>
    <row r="505" spans="1:25">
      <c r="A505" s="2263"/>
      <c r="B505" s="2263"/>
      <c r="C505" s="2263"/>
      <c r="D505" s="2263"/>
      <c r="E505" s="1462"/>
      <c r="R505" s="1463"/>
      <c r="S505" s="1463"/>
      <c r="T505" s="1463"/>
      <c r="U505" s="1463"/>
      <c r="V505" s="1463"/>
      <c r="W505" s="1463"/>
      <c r="X505" s="1463"/>
      <c r="Y505" s="1463"/>
    </row>
    <row r="506" spans="1:25">
      <c r="A506" s="2263"/>
      <c r="B506" s="2263"/>
      <c r="C506" s="2263"/>
      <c r="D506" s="2263"/>
      <c r="E506" s="1462"/>
      <c r="R506" s="1463"/>
      <c r="S506" s="1463"/>
      <c r="T506" s="1463"/>
      <c r="U506" s="1463"/>
      <c r="V506" s="1463"/>
      <c r="W506" s="1463"/>
      <c r="X506" s="1463"/>
      <c r="Y506" s="1463"/>
    </row>
    <row r="507" spans="1:25">
      <c r="A507" s="2263"/>
      <c r="B507" s="2263"/>
      <c r="C507" s="2263"/>
      <c r="D507" s="2263"/>
      <c r="E507" s="1462"/>
      <c r="R507" s="1463"/>
      <c r="S507" s="1463"/>
      <c r="T507" s="1463"/>
      <c r="U507" s="1463"/>
      <c r="V507" s="1463"/>
      <c r="W507" s="1463"/>
      <c r="X507" s="1463"/>
      <c r="Y507" s="1463"/>
    </row>
    <row r="508" spans="1:25">
      <c r="A508" s="2263"/>
      <c r="B508" s="2263"/>
      <c r="C508" s="2263"/>
      <c r="D508" s="2263"/>
      <c r="E508" s="1462"/>
      <c r="R508" s="1463"/>
      <c r="S508" s="1463"/>
      <c r="T508" s="1463"/>
      <c r="U508" s="1463"/>
      <c r="V508" s="1463"/>
      <c r="W508" s="1463"/>
      <c r="X508" s="1463"/>
      <c r="Y508" s="1463"/>
    </row>
    <row r="509" spans="1:25">
      <c r="A509" s="2263"/>
      <c r="B509" s="2263"/>
      <c r="C509" s="2263"/>
      <c r="D509" s="2263"/>
      <c r="E509" s="1462"/>
      <c r="R509" s="1463"/>
      <c r="S509" s="1463"/>
      <c r="T509" s="1463"/>
      <c r="U509" s="1463"/>
      <c r="V509" s="1463"/>
      <c r="W509" s="1463"/>
      <c r="X509" s="1463"/>
      <c r="Y509" s="1463"/>
    </row>
    <row r="510" spans="1:25">
      <c r="A510" s="2263"/>
      <c r="B510" s="2263"/>
      <c r="C510" s="2263"/>
      <c r="D510" s="2263"/>
      <c r="E510" s="1462"/>
      <c r="R510" s="1463"/>
      <c r="S510" s="1463"/>
      <c r="T510" s="1463"/>
      <c r="U510" s="1463"/>
      <c r="V510" s="1463"/>
      <c r="W510" s="1463"/>
      <c r="X510" s="1463"/>
      <c r="Y510" s="1463"/>
    </row>
    <row r="511" spans="1:25">
      <c r="A511" s="2263"/>
      <c r="B511" s="2263"/>
      <c r="C511" s="2263"/>
      <c r="D511" s="2263"/>
      <c r="E511" s="1462"/>
      <c r="R511" s="1463"/>
      <c r="S511" s="1463"/>
      <c r="T511" s="1463"/>
      <c r="U511" s="1463"/>
      <c r="V511" s="1463"/>
      <c r="W511" s="1463"/>
      <c r="X511" s="1463"/>
      <c r="Y511" s="1463"/>
    </row>
    <row r="512" spans="1:25">
      <c r="A512" s="2263"/>
      <c r="B512" s="2263"/>
      <c r="C512" s="2263"/>
      <c r="D512" s="2263"/>
      <c r="E512" s="1462"/>
      <c r="R512" s="1463"/>
      <c r="S512" s="1463"/>
      <c r="T512" s="1463"/>
      <c r="U512" s="1463"/>
      <c r="V512" s="1463"/>
      <c r="W512" s="1463"/>
      <c r="X512" s="1463"/>
      <c r="Y512" s="1463"/>
    </row>
    <row r="513" spans="1:25">
      <c r="A513" s="2263"/>
      <c r="B513" s="2263"/>
      <c r="C513" s="2263"/>
      <c r="D513" s="2263"/>
      <c r="E513" s="1462"/>
      <c r="R513" s="1463"/>
      <c r="S513" s="1463"/>
      <c r="T513" s="1463"/>
      <c r="U513" s="1463"/>
      <c r="V513" s="1463"/>
      <c r="W513" s="1463"/>
      <c r="X513" s="1463"/>
      <c r="Y513" s="1463"/>
    </row>
    <row r="514" spans="1:25">
      <c r="A514" s="2263"/>
      <c r="B514" s="2263"/>
      <c r="C514" s="2263"/>
      <c r="D514" s="2263"/>
      <c r="E514" s="1462"/>
      <c r="R514" s="1463"/>
      <c r="S514" s="1463"/>
      <c r="T514" s="1463"/>
      <c r="U514" s="1463"/>
      <c r="V514" s="1463"/>
      <c r="W514" s="1463"/>
      <c r="X514" s="1463"/>
      <c r="Y514" s="1463"/>
    </row>
    <row r="515" spans="1:25">
      <c r="A515" s="2263"/>
      <c r="B515" s="2263"/>
      <c r="C515" s="2263"/>
      <c r="D515" s="2263"/>
      <c r="E515" s="1462"/>
      <c r="R515" s="1463"/>
      <c r="S515" s="1463"/>
      <c r="T515" s="1463"/>
      <c r="U515" s="1463"/>
      <c r="V515" s="1463"/>
      <c r="W515" s="1463"/>
      <c r="X515" s="1463"/>
      <c r="Y515" s="1463"/>
    </row>
    <row r="516" spans="1:25">
      <c r="A516" s="2263"/>
      <c r="B516" s="2263"/>
      <c r="C516" s="2263"/>
      <c r="D516" s="2263"/>
      <c r="E516" s="1462"/>
      <c r="R516" s="1463"/>
      <c r="S516" s="1463"/>
      <c r="T516" s="1463"/>
      <c r="U516" s="1463"/>
      <c r="V516" s="1463"/>
      <c r="W516" s="1463"/>
      <c r="X516" s="1463"/>
      <c r="Y516" s="1463"/>
    </row>
    <row r="517" spans="1:25">
      <c r="A517" s="2263"/>
      <c r="B517" s="2263"/>
      <c r="C517" s="2263"/>
      <c r="D517" s="2263"/>
      <c r="E517" s="1462"/>
      <c r="R517" s="1463"/>
      <c r="S517" s="1463"/>
      <c r="T517" s="1463"/>
      <c r="U517" s="1463"/>
      <c r="V517" s="1463"/>
      <c r="W517" s="1463"/>
      <c r="X517" s="1463"/>
      <c r="Y517" s="1463"/>
    </row>
    <row r="518" spans="1:25">
      <c r="A518" s="2263"/>
      <c r="B518" s="2263"/>
      <c r="C518" s="2263"/>
      <c r="D518" s="2263"/>
      <c r="E518" s="1462"/>
      <c r="R518" s="1463"/>
      <c r="S518" s="1463"/>
      <c r="T518" s="1463"/>
      <c r="U518" s="1463"/>
      <c r="V518" s="1463"/>
      <c r="W518" s="1463"/>
      <c r="X518" s="1463"/>
      <c r="Y518" s="1463"/>
    </row>
    <row r="519" spans="1:25">
      <c r="A519" s="2263"/>
      <c r="B519" s="2263"/>
      <c r="C519" s="2263"/>
      <c r="D519" s="2263"/>
      <c r="E519" s="1462"/>
      <c r="R519" s="1463"/>
      <c r="S519" s="1463"/>
      <c r="T519" s="1463"/>
      <c r="U519" s="1463"/>
      <c r="V519" s="1463"/>
      <c r="W519" s="1463"/>
      <c r="X519" s="1463"/>
      <c r="Y519" s="1463"/>
    </row>
    <row r="520" spans="1:25">
      <c r="A520" s="2263"/>
      <c r="B520" s="2263"/>
      <c r="C520" s="2263"/>
      <c r="D520" s="2263"/>
      <c r="E520" s="1462"/>
      <c r="R520" s="1463"/>
      <c r="S520" s="1463"/>
      <c r="T520" s="1463"/>
      <c r="U520" s="1463"/>
      <c r="V520" s="1463"/>
      <c r="W520" s="1463"/>
      <c r="X520" s="1463"/>
      <c r="Y520" s="1463"/>
    </row>
    <row r="521" spans="1:25">
      <c r="A521" s="2263"/>
      <c r="B521" s="2263"/>
      <c r="C521" s="2263"/>
      <c r="D521" s="2263"/>
      <c r="E521" s="1462"/>
      <c r="R521" s="1463"/>
      <c r="S521" s="1463"/>
      <c r="T521" s="1463"/>
      <c r="U521" s="1463"/>
      <c r="V521" s="1463"/>
      <c r="W521" s="1463"/>
      <c r="X521" s="1463"/>
      <c r="Y521" s="1463"/>
    </row>
    <row r="522" spans="1:25">
      <c r="A522" s="2263"/>
      <c r="B522" s="2263"/>
      <c r="C522" s="2263"/>
      <c r="D522" s="2263"/>
      <c r="E522" s="1462"/>
      <c r="R522" s="1463"/>
      <c r="S522" s="1463"/>
      <c r="T522" s="1463"/>
      <c r="U522" s="1463"/>
      <c r="V522" s="1463"/>
      <c r="W522" s="1463"/>
      <c r="X522" s="1463"/>
      <c r="Y522" s="1463"/>
    </row>
    <row r="523" spans="1:25">
      <c r="A523" s="2263"/>
      <c r="B523" s="2263"/>
      <c r="C523" s="2263"/>
      <c r="D523" s="2263"/>
      <c r="E523" s="1462"/>
      <c r="R523" s="1463"/>
      <c r="S523" s="1463"/>
      <c r="T523" s="1463"/>
      <c r="U523" s="1463"/>
      <c r="V523" s="1463"/>
      <c r="W523" s="1463"/>
      <c r="X523" s="1463"/>
      <c r="Y523" s="1463"/>
    </row>
    <row r="524" spans="1:25">
      <c r="A524" s="2263"/>
      <c r="B524" s="2263"/>
      <c r="C524" s="2263"/>
      <c r="D524" s="2263"/>
      <c r="E524" s="1462"/>
      <c r="R524" s="1463"/>
      <c r="S524" s="1463"/>
      <c r="T524" s="1463"/>
      <c r="U524" s="1463"/>
      <c r="V524" s="1463"/>
      <c r="W524" s="1463"/>
      <c r="X524" s="1463"/>
      <c r="Y524" s="1463"/>
    </row>
    <row r="525" spans="1:25">
      <c r="A525" s="2263"/>
      <c r="B525" s="2263"/>
      <c r="C525" s="2263"/>
      <c r="D525" s="2263"/>
      <c r="E525" s="1462"/>
      <c r="R525" s="1463"/>
      <c r="S525" s="1463"/>
      <c r="T525" s="1463"/>
      <c r="U525" s="1463"/>
      <c r="V525" s="1463"/>
      <c r="W525" s="1463"/>
      <c r="X525" s="1463"/>
      <c r="Y525" s="1463"/>
    </row>
    <row r="526" spans="1:25">
      <c r="A526" s="2263"/>
      <c r="B526" s="2263"/>
      <c r="C526" s="2263"/>
      <c r="D526" s="2263"/>
      <c r="E526" s="1462"/>
      <c r="R526" s="1463"/>
      <c r="S526" s="1463"/>
      <c r="T526" s="1463"/>
      <c r="U526" s="1463"/>
      <c r="V526" s="1463"/>
      <c r="W526" s="1463"/>
      <c r="X526" s="1463"/>
      <c r="Y526" s="1463"/>
    </row>
    <row r="527" spans="1:25">
      <c r="A527" s="2263"/>
      <c r="B527" s="2263"/>
      <c r="C527" s="2263"/>
      <c r="D527" s="2263"/>
      <c r="E527" s="1462"/>
      <c r="R527" s="1463"/>
      <c r="S527" s="1463"/>
      <c r="T527" s="1463"/>
      <c r="U527" s="1463"/>
      <c r="V527" s="1463"/>
      <c r="W527" s="1463"/>
      <c r="X527" s="1463"/>
      <c r="Y527" s="1463"/>
    </row>
    <row r="528" spans="1:25">
      <c r="A528" s="2263"/>
      <c r="B528" s="2263"/>
      <c r="C528" s="2263"/>
      <c r="D528" s="2263"/>
      <c r="E528" s="1462"/>
      <c r="R528" s="1463"/>
      <c r="S528" s="1463"/>
      <c r="T528" s="1463"/>
      <c r="U528" s="1463"/>
      <c r="V528" s="1463"/>
      <c r="W528" s="1463"/>
      <c r="X528" s="1463"/>
      <c r="Y528" s="1463"/>
    </row>
    <row r="529" spans="1:25">
      <c r="A529" s="2263"/>
      <c r="B529" s="2263"/>
      <c r="C529" s="2263"/>
      <c r="D529" s="2263"/>
      <c r="E529" s="1462"/>
      <c r="R529" s="1463"/>
      <c r="S529" s="1463"/>
      <c r="T529" s="1463"/>
      <c r="U529" s="1463"/>
      <c r="V529" s="1463"/>
      <c r="W529" s="1463"/>
      <c r="X529" s="1463"/>
      <c r="Y529" s="1463"/>
    </row>
    <row r="530" spans="1:25">
      <c r="A530" s="2263"/>
      <c r="B530" s="2263"/>
      <c r="C530" s="2263"/>
      <c r="D530" s="2263"/>
      <c r="E530" s="1462"/>
      <c r="R530" s="1463"/>
      <c r="S530" s="1463"/>
      <c r="T530" s="1463"/>
      <c r="U530" s="1463"/>
      <c r="V530" s="1463"/>
      <c r="W530" s="1463"/>
      <c r="X530" s="1463"/>
      <c r="Y530" s="1463"/>
    </row>
    <row r="531" spans="1:25">
      <c r="A531" s="2263"/>
      <c r="B531" s="2263"/>
      <c r="C531" s="2263"/>
      <c r="D531" s="2263"/>
      <c r="E531" s="1462"/>
      <c r="R531" s="1463"/>
      <c r="S531" s="1463"/>
      <c r="T531" s="1463"/>
      <c r="U531" s="1463"/>
      <c r="V531" s="1463"/>
      <c r="W531" s="1463"/>
      <c r="X531" s="1463"/>
      <c r="Y531" s="1463"/>
    </row>
    <row r="532" spans="1:25">
      <c r="A532" s="2263"/>
      <c r="B532" s="2263"/>
      <c r="C532" s="2263"/>
      <c r="D532" s="2263"/>
      <c r="E532" s="1462"/>
      <c r="R532" s="1463"/>
      <c r="S532" s="1463"/>
      <c r="T532" s="1463"/>
      <c r="U532" s="1463"/>
      <c r="V532" s="1463"/>
      <c r="W532" s="1463"/>
      <c r="X532" s="1463"/>
      <c r="Y532" s="1463"/>
    </row>
    <row r="533" spans="1:25">
      <c r="A533" s="2263"/>
      <c r="B533" s="2263"/>
      <c r="C533" s="2263"/>
      <c r="D533" s="2263"/>
      <c r="E533" s="1462"/>
      <c r="R533" s="1463"/>
      <c r="S533" s="1463"/>
      <c r="T533" s="1463"/>
      <c r="U533" s="1463"/>
      <c r="V533" s="1463"/>
      <c r="W533" s="1463"/>
      <c r="X533" s="1463"/>
      <c r="Y533" s="1463"/>
    </row>
    <row r="534" spans="1:25">
      <c r="A534" s="2263"/>
      <c r="B534" s="2263"/>
      <c r="C534" s="2263"/>
      <c r="D534" s="2263"/>
      <c r="E534" s="1462"/>
      <c r="R534" s="1463"/>
      <c r="S534" s="1463"/>
      <c r="T534" s="1463"/>
      <c r="U534" s="1463"/>
      <c r="V534" s="1463"/>
      <c r="W534" s="1463"/>
      <c r="X534" s="1463"/>
      <c r="Y534" s="1463"/>
    </row>
    <row r="535" spans="1:25">
      <c r="A535" s="2263"/>
      <c r="B535" s="2263"/>
      <c r="C535" s="2263"/>
      <c r="D535" s="2263"/>
      <c r="E535" s="1462"/>
      <c r="R535" s="1463"/>
      <c r="S535" s="1463"/>
      <c r="T535" s="1463"/>
      <c r="U535" s="1463"/>
      <c r="V535" s="1463"/>
      <c r="W535" s="1463"/>
      <c r="X535" s="1463"/>
      <c r="Y535" s="1463"/>
    </row>
    <row r="536" spans="1:25">
      <c r="A536" s="2263"/>
      <c r="B536" s="2263"/>
      <c r="C536" s="2263"/>
      <c r="D536" s="2263"/>
      <c r="E536" s="1462"/>
      <c r="R536" s="1463"/>
      <c r="S536" s="1463"/>
      <c r="T536" s="1463"/>
      <c r="U536" s="1463"/>
      <c r="V536" s="1463"/>
      <c r="W536" s="1463"/>
      <c r="X536" s="1463"/>
      <c r="Y536" s="1463"/>
    </row>
    <row r="537" spans="1:25">
      <c r="A537" s="2263"/>
      <c r="B537" s="2263"/>
      <c r="C537" s="2263"/>
      <c r="D537" s="2263"/>
      <c r="E537" s="1462"/>
      <c r="R537" s="1463"/>
      <c r="S537" s="1463"/>
      <c r="T537" s="1463"/>
      <c r="U537" s="1463"/>
      <c r="V537" s="1463"/>
      <c r="W537" s="1463"/>
      <c r="X537" s="1463"/>
      <c r="Y537" s="1463"/>
    </row>
    <row r="538" spans="1:25">
      <c r="A538" s="2263"/>
      <c r="B538" s="2263"/>
      <c r="C538" s="2263"/>
      <c r="D538" s="2263"/>
      <c r="E538" s="1462"/>
      <c r="R538" s="1463"/>
      <c r="S538" s="1463"/>
      <c r="T538" s="1463"/>
      <c r="U538" s="1463"/>
      <c r="V538" s="1463"/>
      <c r="W538" s="1463"/>
      <c r="X538" s="1463"/>
      <c r="Y538" s="1463"/>
    </row>
    <row r="539" spans="1:25">
      <c r="A539" s="2263"/>
      <c r="B539" s="2263"/>
      <c r="C539" s="2263"/>
      <c r="D539" s="2263"/>
      <c r="E539" s="1462"/>
      <c r="R539" s="1463"/>
      <c r="S539" s="1463"/>
      <c r="T539" s="1463"/>
      <c r="U539" s="1463"/>
      <c r="V539" s="1463"/>
      <c r="W539" s="1463"/>
      <c r="X539" s="1463"/>
      <c r="Y539" s="1463"/>
    </row>
    <row r="540" spans="1:25">
      <c r="A540" s="2263"/>
      <c r="B540" s="2263"/>
      <c r="C540" s="2263"/>
      <c r="D540" s="2263"/>
      <c r="E540" s="1462"/>
      <c r="R540" s="1463"/>
      <c r="S540" s="1463"/>
      <c r="T540" s="1463"/>
      <c r="U540" s="1463"/>
      <c r="V540" s="1463"/>
      <c r="W540" s="1463"/>
      <c r="X540" s="1463"/>
      <c r="Y540" s="1463"/>
    </row>
    <row r="541" spans="1:25">
      <c r="A541" s="2263"/>
      <c r="B541" s="2263"/>
      <c r="C541" s="2263"/>
      <c r="D541" s="2263"/>
      <c r="E541" s="1462"/>
      <c r="R541" s="1463"/>
      <c r="S541" s="1463"/>
      <c r="T541" s="1463"/>
      <c r="U541" s="1463"/>
      <c r="V541" s="1463"/>
      <c r="W541" s="1463"/>
      <c r="X541" s="1463"/>
      <c r="Y541" s="1463"/>
    </row>
    <row r="542" spans="1:25">
      <c r="A542" s="2263"/>
      <c r="B542" s="2263"/>
      <c r="C542" s="2263"/>
      <c r="D542" s="2263"/>
      <c r="E542" s="1462"/>
      <c r="R542" s="1463"/>
      <c r="S542" s="1463"/>
      <c r="T542" s="1463"/>
      <c r="U542" s="1463"/>
      <c r="V542" s="1463"/>
      <c r="W542" s="1463"/>
      <c r="X542" s="1463"/>
      <c r="Y542" s="1463"/>
    </row>
    <row r="543" spans="1:25">
      <c r="A543" s="2263"/>
      <c r="B543" s="2263"/>
      <c r="C543" s="2263"/>
      <c r="D543" s="2263"/>
      <c r="E543" s="1462"/>
      <c r="R543" s="1463"/>
      <c r="S543" s="1463"/>
      <c r="T543" s="1463"/>
      <c r="U543" s="1463"/>
      <c r="V543" s="1463"/>
      <c r="W543" s="1463"/>
      <c r="X543" s="1463"/>
      <c r="Y543" s="1463"/>
    </row>
    <row r="544" spans="1:25">
      <c r="A544" s="2263"/>
      <c r="B544" s="2263"/>
      <c r="C544" s="2263"/>
      <c r="D544" s="2263"/>
      <c r="E544" s="1462"/>
      <c r="R544" s="1463"/>
      <c r="S544" s="1463"/>
      <c r="T544" s="1463"/>
      <c r="U544" s="1463"/>
      <c r="V544" s="1463"/>
      <c r="W544" s="1463"/>
      <c r="X544" s="1463"/>
      <c r="Y544" s="1463"/>
    </row>
    <row r="545" spans="1:25">
      <c r="A545" s="2263"/>
      <c r="B545" s="2263"/>
      <c r="C545" s="2263"/>
      <c r="D545" s="2263"/>
      <c r="E545" s="1462"/>
      <c r="R545" s="1463"/>
      <c r="S545" s="1463"/>
      <c r="T545" s="1463"/>
      <c r="U545" s="1463"/>
      <c r="V545" s="1463"/>
      <c r="W545" s="1463"/>
      <c r="X545" s="1463"/>
      <c r="Y545" s="1463"/>
    </row>
    <row r="546" spans="1:25">
      <c r="A546" s="2263"/>
      <c r="B546" s="2263"/>
      <c r="C546" s="2263"/>
      <c r="D546" s="2263"/>
      <c r="E546" s="1462"/>
      <c r="R546" s="1463"/>
      <c r="S546" s="1463"/>
      <c r="T546" s="1463"/>
      <c r="U546" s="1463"/>
      <c r="V546" s="1463"/>
      <c r="W546" s="1463"/>
      <c r="X546" s="1463"/>
      <c r="Y546" s="1463"/>
    </row>
    <row r="547" spans="1:25">
      <c r="A547" s="2263"/>
      <c r="B547" s="2263"/>
      <c r="C547" s="2263"/>
      <c r="D547" s="2263"/>
      <c r="E547" s="1462"/>
      <c r="R547" s="1463"/>
      <c r="S547" s="1463"/>
      <c r="T547" s="1463"/>
      <c r="U547" s="1463"/>
      <c r="V547" s="1463"/>
      <c r="W547" s="1463"/>
      <c r="X547" s="1463"/>
      <c r="Y547" s="1463"/>
    </row>
    <row r="548" spans="1:25">
      <c r="A548" s="2263"/>
      <c r="B548" s="2263"/>
      <c r="C548" s="2263"/>
      <c r="D548" s="2263"/>
      <c r="E548" s="1462"/>
      <c r="R548" s="1463"/>
      <c r="S548" s="1463"/>
      <c r="T548" s="1463"/>
      <c r="U548" s="1463"/>
      <c r="V548" s="1463"/>
      <c r="W548" s="1463"/>
      <c r="X548" s="1463"/>
      <c r="Y548" s="1463"/>
    </row>
    <row r="549" spans="1:25">
      <c r="A549" s="2263"/>
      <c r="B549" s="2263"/>
      <c r="C549" s="2263"/>
      <c r="D549" s="2263"/>
      <c r="E549" s="1462"/>
      <c r="R549" s="1463"/>
      <c r="S549" s="1463"/>
      <c r="T549" s="1463"/>
      <c r="U549" s="1463"/>
      <c r="V549" s="1463"/>
      <c r="W549" s="1463"/>
      <c r="X549" s="1463"/>
      <c r="Y549" s="1463"/>
    </row>
    <row r="550" spans="1:25">
      <c r="A550" s="2263"/>
      <c r="B550" s="2263"/>
      <c r="C550" s="2263"/>
      <c r="D550" s="2263"/>
      <c r="E550" s="1462"/>
      <c r="R550" s="1463"/>
      <c r="S550" s="1463"/>
      <c r="T550" s="1463"/>
      <c r="U550" s="1463"/>
      <c r="V550" s="1463"/>
      <c r="W550" s="1463"/>
      <c r="X550" s="1463"/>
      <c r="Y550" s="1463"/>
    </row>
    <row r="551" spans="1:25">
      <c r="A551" s="2263"/>
      <c r="B551" s="2263"/>
      <c r="C551" s="2263"/>
      <c r="D551" s="2263"/>
      <c r="E551" s="1462"/>
      <c r="R551" s="1463"/>
      <c r="S551" s="1463"/>
      <c r="T551" s="1463"/>
      <c r="U551" s="1463"/>
      <c r="V551" s="1463"/>
      <c r="W551" s="1463"/>
      <c r="X551" s="1463"/>
      <c r="Y551" s="1463"/>
    </row>
    <row r="552" spans="1:25">
      <c r="A552" s="2263"/>
      <c r="B552" s="2263"/>
      <c r="C552" s="2263"/>
      <c r="D552" s="2263"/>
      <c r="E552" s="1462"/>
      <c r="R552" s="1463"/>
      <c r="S552" s="1463"/>
      <c r="T552" s="1463"/>
      <c r="U552" s="1463"/>
      <c r="V552" s="1463"/>
      <c r="W552" s="1463"/>
      <c r="X552" s="1463"/>
      <c r="Y552" s="1463"/>
    </row>
    <row r="553" spans="1:25">
      <c r="A553" s="2263"/>
      <c r="B553" s="2263"/>
      <c r="C553" s="2263"/>
      <c r="D553" s="2263"/>
      <c r="E553" s="1462"/>
      <c r="R553" s="1463"/>
      <c r="S553" s="1463"/>
      <c r="T553" s="1463"/>
      <c r="U553" s="1463"/>
      <c r="V553" s="1463"/>
      <c r="W553" s="1463"/>
      <c r="X553" s="1463"/>
      <c r="Y553" s="1463"/>
    </row>
    <row r="554" spans="1:25">
      <c r="A554" s="2263"/>
      <c r="B554" s="2263"/>
      <c r="C554" s="2263"/>
      <c r="D554" s="2263"/>
      <c r="E554" s="1462"/>
      <c r="R554" s="1463"/>
      <c r="S554" s="1463"/>
      <c r="T554" s="1463"/>
      <c r="U554" s="1463"/>
      <c r="V554" s="1463"/>
      <c r="W554" s="1463"/>
      <c r="X554" s="1463"/>
      <c r="Y554" s="1463"/>
    </row>
    <row r="555" spans="1:25">
      <c r="A555" s="2263"/>
      <c r="B555" s="2263"/>
      <c r="C555" s="2263"/>
      <c r="D555" s="2263"/>
      <c r="E555" s="1462"/>
      <c r="R555" s="1463"/>
      <c r="S555" s="1463"/>
      <c r="T555" s="1463"/>
      <c r="U555" s="1463"/>
      <c r="V555" s="1463"/>
      <c r="W555" s="1463"/>
      <c r="X555" s="1463"/>
      <c r="Y555" s="1463"/>
    </row>
    <row r="556" spans="1:25">
      <c r="A556" s="2263"/>
      <c r="B556" s="2263"/>
      <c r="C556" s="2263"/>
      <c r="D556" s="2263"/>
      <c r="E556" s="1462"/>
      <c r="R556" s="1463"/>
      <c r="S556" s="1463"/>
      <c r="T556" s="1463"/>
      <c r="U556" s="1463"/>
      <c r="V556" s="1463"/>
      <c r="W556" s="1463"/>
      <c r="X556" s="1463"/>
      <c r="Y556" s="1463"/>
    </row>
    <row r="557" spans="1:25">
      <c r="A557" s="2263"/>
      <c r="B557" s="2263"/>
      <c r="C557" s="2263"/>
      <c r="D557" s="2263"/>
      <c r="E557" s="1462"/>
      <c r="R557" s="1463"/>
      <c r="S557" s="1463"/>
      <c r="T557" s="1463"/>
      <c r="U557" s="1463"/>
      <c r="V557" s="1463"/>
      <c r="W557" s="1463"/>
      <c r="X557" s="1463"/>
      <c r="Y557" s="1463"/>
    </row>
    <row r="558" spans="1:25">
      <c r="A558" s="2263"/>
      <c r="B558" s="2263"/>
      <c r="C558" s="2263"/>
      <c r="D558" s="2263"/>
      <c r="E558" s="1462"/>
      <c r="R558" s="1463"/>
      <c r="S558" s="1463"/>
      <c r="T558" s="1463"/>
      <c r="U558" s="1463"/>
      <c r="V558" s="1463"/>
      <c r="W558" s="1463"/>
      <c r="X558" s="1463"/>
      <c r="Y558" s="1463"/>
    </row>
    <row r="559" spans="1:25">
      <c r="A559" s="2263"/>
      <c r="B559" s="2263"/>
      <c r="C559" s="2263"/>
      <c r="D559" s="2263"/>
      <c r="E559" s="1462"/>
      <c r="R559" s="1463"/>
      <c r="S559" s="1463"/>
      <c r="T559" s="1463"/>
      <c r="U559" s="1463"/>
      <c r="V559" s="1463"/>
      <c r="W559" s="1463"/>
      <c r="X559" s="1463"/>
      <c r="Y559" s="1463"/>
    </row>
    <row r="560" spans="1:25">
      <c r="A560" s="2263"/>
      <c r="B560" s="2263"/>
      <c r="C560" s="2263"/>
      <c r="D560" s="2263"/>
      <c r="E560" s="1462"/>
      <c r="R560" s="1463"/>
      <c r="S560" s="1463"/>
      <c r="T560" s="1463"/>
      <c r="U560" s="1463"/>
      <c r="V560" s="1463"/>
      <c r="W560" s="1463"/>
      <c r="X560" s="1463"/>
      <c r="Y560" s="1463"/>
    </row>
    <row r="561" spans="1:25">
      <c r="A561" s="2263"/>
      <c r="B561" s="2263"/>
      <c r="C561" s="2263"/>
      <c r="D561" s="2263"/>
      <c r="E561" s="1462"/>
      <c r="R561" s="1463"/>
      <c r="S561" s="1463"/>
      <c r="T561" s="1463"/>
      <c r="U561" s="1463"/>
      <c r="V561" s="1463"/>
      <c r="W561" s="1463"/>
      <c r="X561" s="1463"/>
      <c r="Y561" s="1463"/>
    </row>
    <row r="562" spans="1:25">
      <c r="A562" s="2263"/>
      <c r="B562" s="2263"/>
      <c r="C562" s="2263"/>
      <c r="D562" s="2263"/>
      <c r="E562" s="1462"/>
      <c r="R562" s="1463"/>
      <c r="S562" s="1463"/>
      <c r="T562" s="1463"/>
      <c r="U562" s="1463"/>
      <c r="V562" s="1463"/>
      <c r="W562" s="1463"/>
      <c r="X562" s="1463"/>
      <c r="Y562" s="1463"/>
    </row>
    <row r="563" spans="1:25">
      <c r="A563" s="2263"/>
      <c r="B563" s="2263"/>
      <c r="C563" s="2263"/>
      <c r="D563" s="2263"/>
      <c r="E563" s="1462"/>
      <c r="R563" s="1463"/>
      <c r="S563" s="1463"/>
      <c r="T563" s="1463"/>
      <c r="U563" s="1463"/>
      <c r="V563" s="1463"/>
      <c r="W563" s="1463"/>
      <c r="X563" s="1463"/>
      <c r="Y563" s="1463"/>
    </row>
    <row r="564" spans="1:25">
      <c r="A564" s="2263"/>
      <c r="B564" s="2263"/>
      <c r="C564" s="2263"/>
      <c r="D564" s="2263"/>
      <c r="E564" s="1462"/>
      <c r="R564" s="1463"/>
      <c r="S564" s="1463"/>
      <c r="T564" s="1463"/>
      <c r="U564" s="1463"/>
      <c r="V564" s="1463"/>
      <c r="W564" s="1463"/>
      <c r="X564" s="1463"/>
      <c r="Y564" s="1463"/>
    </row>
    <row r="565" spans="1:25">
      <c r="A565" s="2263"/>
      <c r="B565" s="2263"/>
      <c r="C565" s="2263"/>
      <c r="D565" s="2263"/>
      <c r="E565" s="1462"/>
      <c r="R565" s="1463"/>
      <c r="S565" s="1463"/>
      <c r="T565" s="1463"/>
      <c r="U565" s="1463"/>
      <c r="V565" s="1463"/>
      <c r="W565" s="1463"/>
      <c r="X565" s="1463"/>
      <c r="Y565" s="1463"/>
    </row>
    <row r="566" spans="1:25">
      <c r="A566" s="2263"/>
      <c r="B566" s="2263"/>
      <c r="C566" s="2263"/>
      <c r="D566" s="2263"/>
      <c r="E566" s="1462"/>
      <c r="R566" s="1463"/>
      <c r="S566" s="1463"/>
      <c r="T566" s="1463"/>
      <c r="U566" s="1463"/>
      <c r="V566" s="1463"/>
      <c r="W566" s="1463"/>
      <c r="X566" s="1463"/>
      <c r="Y566" s="1463"/>
    </row>
    <row r="567" spans="1:25">
      <c r="A567" s="2263"/>
      <c r="B567" s="2263"/>
      <c r="C567" s="2263"/>
      <c r="D567" s="2263"/>
      <c r="E567" s="1462"/>
      <c r="R567" s="1463"/>
      <c r="S567" s="1463"/>
      <c r="T567" s="1463"/>
      <c r="U567" s="1463"/>
      <c r="V567" s="1463"/>
      <c r="W567" s="1463"/>
      <c r="X567" s="1463"/>
      <c r="Y567" s="1463"/>
    </row>
    <row r="568" spans="1:25">
      <c r="A568" s="2263"/>
      <c r="B568" s="2263"/>
      <c r="C568" s="2263"/>
      <c r="D568" s="2263"/>
      <c r="E568" s="1462"/>
      <c r="R568" s="1463"/>
      <c r="S568" s="1463"/>
      <c r="T568" s="1463"/>
      <c r="U568" s="1463"/>
      <c r="V568" s="1463"/>
      <c r="W568" s="1463"/>
      <c r="X568" s="1463"/>
      <c r="Y568" s="1463"/>
    </row>
    <row r="569" spans="1:25">
      <c r="A569" s="2263"/>
      <c r="B569" s="2263"/>
      <c r="C569" s="2263"/>
      <c r="D569" s="2263"/>
      <c r="E569" s="1462"/>
      <c r="R569" s="1463"/>
      <c r="S569" s="1463"/>
      <c r="T569" s="1463"/>
      <c r="U569" s="1463"/>
      <c r="V569" s="1463"/>
      <c r="W569" s="1463"/>
      <c r="X569" s="1463"/>
      <c r="Y569" s="1463"/>
    </row>
    <row r="570" spans="1:25">
      <c r="A570" s="2263"/>
      <c r="B570" s="2263"/>
      <c r="C570" s="2263"/>
      <c r="D570" s="2263"/>
      <c r="E570" s="1462"/>
      <c r="R570" s="1463"/>
      <c r="S570" s="1463"/>
      <c r="T570" s="1463"/>
      <c r="U570" s="1463"/>
      <c r="V570" s="1463"/>
      <c r="W570" s="1463"/>
      <c r="X570" s="1463"/>
      <c r="Y570" s="1463"/>
    </row>
    <row r="571" spans="1:25">
      <c r="A571" s="2263"/>
      <c r="B571" s="2263"/>
      <c r="C571" s="2263"/>
      <c r="D571" s="2263"/>
      <c r="E571" s="1462"/>
      <c r="R571" s="1463"/>
      <c r="S571" s="1463"/>
      <c r="T571" s="1463"/>
      <c r="U571" s="1463"/>
      <c r="V571" s="1463"/>
      <c r="W571" s="1463"/>
      <c r="X571" s="1463"/>
      <c r="Y571" s="1463"/>
    </row>
    <row r="572" spans="1:25">
      <c r="A572" s="2263"/>
      <c r="B572" s="2263"/>
      <c r="C572" s="2263"/>
      <c r="D572" s="2263"/>
      <c r="E572" s="1462"/>
      <c r="R572" s="1463"/>
      <c r="S572" s="1463"/>
      <c r="T572" s="1463"/>
      <c r="U572" s="1463"/>
      <c r="V572" s="1463"/>
      <c r="W572" s="1463"/>
      <c r="X572" s="1463"/>
      <c r="Y572" s="1463"/>
    </row>
    <row r="573" spans="1:25">
      <c r="A573" s="2263"/>
      <c r="B573" s="2263"/>
      <c r="C573" s="2263"/>
      <c r="D573" s="2263"/>
      <c r="E573" s="1462"/>
      <c r="R573" s="1463"/>
      <c r="S573" s="1463"/>
      <c r="T573" s="1463"/>
      <c r="U573" s="1463"/>
      <c r="V573" s="1463"/>
      <c r="W573" s="1463"/>
      <c r="X573" s="1463"/>
      <c r="Y573" s="1463"/>
    </row>
    <row r="574" spans="1:25">
      <c r="A574" s="2263"/>
      <c r="B574" s="2263"/>
      <c r="C574" s="2263"/>
      <c r="D574" s="2263"/>
      <c r="E574" s="1462"/>
      <c r="R574" s="1463"/>
      <c r="S574" s="1463"/>
      <c r="T574" s="1463"/>
      <c r="U574" s="1463"/>
      <c r="V574" s="1463"/>
      <c r="W574" s="1463"/>
      <c r="X574" s="1463"/>
      <c r="Y574" s="1463"/>
    </row>
    <row r="575" spans="1:25">
      <c r="A575" s="2263"/>
      <c r="B575" s="2263"/>
      <c r="C575" s="2263"/>
      <c r="D575" s="2263"/>
      <c r="E575" s="1462"/>
      <c r="R575" s="1463"/>
      <c r="S575" s="1463"/>
      <c r="T575" s="1463"/>
      <c r="U575" s="1463"/>
      <c r="V575" s="1463"/>
      <c r="W575" s="1463"/>
      <c r="X575" s="1463"/>
      <c r="Y575" s="1463"/>
    </row>
    <row r="576" spans="1:25">
      <c r="A576" s="2263"/>
      <c r="B576" s="2263"/>
      <c r="C576" s="2263"/>
      <c r="D576" s="2263"/>
      <c r="E576" s="1462"/>
      <c r="R576" s="1463"/>
      <c r="S576" s="1463"/>
      <c r="T576" s="1463"/>
      <c r="U576" s="1463"/>
      <c r="V576" s="1463"/>
      <c r="W576" s="1463"/>
      <c r="X576" s="1463"/>
      <c r="Y576" s="1463"/>
    </row>
    <row r="577" spans="1:25">
      <c r="A577" s="2263"/>
      <c r="B577" s="2263"/>
      <c r="C577" s="2263"/>
      <c r="D577" s="2263"/>
      <c r="E577" s="1462"/>
      <c r="R577" s="1463"/>
      <c r="S577" s="1463"/>
      <c r="T577" s="1463"/>
      <c r="U577" s="1463"/>
      <c r="V577" s="1463"/>
      <c r="W577" s="1463"/>
      <c r="X577" s="1463"/>
      <c r="Y577" s="1463"/>
    </row>
    <row r="578" spans="1:25">
      <c r="A578" s="2263"/>
      <c r="B578" s="2263"/>
      <c r="C578" s="2263"/>
      <c r="D578" s="2263"/>
      <c r="E578" s="1462"/>
      <c r="R578" s="1463"/>
      <c r="S578" s="1463"/>
      <c r="T578" s="1463"/>
      <c r="U578" s="1463"/>
      <c r="V578" s="1463"/>
      <c r="W578" s="1463"/>
      <c r="X578" s="1463"/>
      <c r="Y578" s="1463"/>
    </row>
    <row r="579" spans="1:25">
      <c r="A579" s="2263"/>
      <c r="B579" s="2263"/>
      <c r="C579" s="2263"/>
      <c r="D579" s="2263"/>
      <c r="E579" s="1462"/>
      <c r="R579" s="1463"/>
      <c r="S579" s="1463"/>
      <c r="T579" s="1463"/>
      <c r="U579" s="1463"/>
      <c r="V579" s="1463"/>
      <c r="W579" s="1463"/>
      <c r="X579" s="1463"/>
      <c r="Y579" s="1463"/>
    </row>
    <row r="580" spans="1:25">
      <c r="A580" s="2263"/>
      <c r="B580" s="2263"/>
      <c r="C580" s="2263"/>
      <c r="D580" s="2263"/>
      <c r="E580" s="1462"/>
      <c r="R580" s="1463"/>
      <c r="S580" s="1463"/>
      <c r="T580" s="1463"/>
      <c r="U580" s="1463"/>
      <c r="V580" s="1463"/>
      <c r="W580" s="1463"/>
      <c r="X580" s="1463"/>
      <c r="Y580" s="1463"/>
    </row>
    <row r="581" spans="1:25">
      <c r="A581" s="2263"/>
      <c r="B581" s="2263"/>
      <c r="C581" s="2263"/>
      <c r="D581" s="2263"/>
      <c r="E581" s="1462"/>
      <c r="R581" s="1463"/>
      <c r="S581" s="1463"/>
      <c r="T581" s="1463"/>
      <c r="U581" s="1463"/>
      <c r="V581" s="1463"/>
      <c r="W581" s="1463"/>
      <c r="X581" s="1463"/>
      <c r="Y581" s="1463"/>
    </row>
    <row r="582" spans="1:25">
      <c r="A582" s="2263"/>
      <c r="B582" s="2263"/>
      <c r="C582" s="2263"/>
      <c r="D582" s="2263"/>
      <c r="E582" s="1462"/>
      <c r="R582" s="1463"/>
      <c r="S582" s="1463"/>
      <c r="T582" s="1463"/>
      <c r="U582" s="1463"/>
      <c r="V582" s="1463"/>
      <c r="W582" s="1463"/>
      <c r="X582" s="1463"/>
      <c r="Y582" s="1463"/>
    </row>
    <row r="583" spans="1:25">
      <c r="A583" s="2263"/>
      <c r="B583" s="2263"/>
      <c r="C583" s="2263"/>
      <c r="D583" s="2263"/>
      <c r="E583" s="1462"/>
      <c r="R583" s="1463"/>
      <c r="S583" s="1463"/>
      <c r="T583" s="1463"/>
      <c r="U583" s="1463"/>
      <c r="V583" s="1463"/>
      <c r="W583" s="1463"/>
      <c r="X583" s="1463"/>
      <c r="Y583" s="1463"/>
    </row>
    <row r="584" spans="1:25">
      <c r="A584" s="2263"/>
      <c r="B584" s="2263"/>
      <c r="C584" s="2263"/>
      <c r="D584" s="2263"/>
      <c r="E584" s="1462"/>
      <c r="R584" s="1463"/>
      <c r="S584" s="1463"/>
      <c r="T584" s="1463"/>
      <c r="U584" s="1463"/>
      <c r="V584" s="1463"/>
      <c r="W584" s="1463"/>
      <c r="X584" s="1463"/>
      <c r="Y584" s="1463"/>
    </row>
    <row r="585" spans="1:25">
      <c r="A585" s="2263"/>
      <c r="B585" s="2263"/>
      <c r="C585" s="2263"/>
      <c r="D585" s="2263"/>
      <c r="E585" s="1462"/>
      <c r="R585" s="1463"/>
      <c r="S585" s="1463"/>
      <c r="T585" s="1463"/>
      <c r="U585" s="1463"/>
      <c r="V585" s="1463"/>
      <c r="W585" s="1463"/>
      <c r="X585" s="1463"/>
      <c r="Y585" s="1463"/>
    </row>
    <row r="586" spans="1:25">
      <c r="A586" s="2263"/>
      <c r="B586" s="2263"/>
      <c r="C586" s="2263"/>
      <c r="D586" s="2263"/>
      <c r="E586" s="1462"/>
      <c r="R586" s="1463"/>
      <c r="S586" s="1463"/>
      <c r="T586" s="1463"/>
      <c r="U586" s="1463"/>
      <c r="V586" s="1463"/>
      <c r="W586" s="1463"/>
      <c r="X586" s="1463"/>
      <c r="Y586" s="1463"/>
    </row>
    <row r="587" spans="1:25">
      <c r="A587" s="2263"/>
      <c r="B587" s="2263"/>
      <c r="C587" s="2263"/>
      <c r="D587" s="2263"/>
      <c r="E587" s="1462"/>
      <c r="R587" s="1463"/>
      <c r="S587" s="1463"/>
      <c r="T587" s="1463"/>
      <c r="U587" s="1463"/>
      <c r="V587" s="1463"/>
      <c r="W587" s="1463"/>
      <c r="X587" s="1463"/>
      <c r="Y587" s="1463"/>
    </row>
    <row r="588" spans="1:25">
      <c r="A588" s="2263"/>
      <c r="B588" s="2263"/>
      <c r="C588" s="2263"/>
      <c r="D588" s="2263"/>
      <c r="E588" s="1462"/>
      <c r="R588" s="1463"/>
      <c r="S588" s="1463"/>
      <c r="T588" s="1463"/>
      <c r="U588" s="1463"/>
      <c r="V588" s="1463"/>
      <c r="W588" s="1463"/>
      <c r="X588" s="1463"/>
      <c r="Y588" s="1463"/>
    </row>
    <row r="589" spans="1:25">
      <c r="A589" s="2263"/>
      <c r="B589" s="2263"/>
      <c r="C589" s="2263"/>
      <c r="D589" s="2263"/>
      <c r="E589" s="1462"/>
      <c r="R589" s="1463"/>
      <c r="S589" s="1463"/>
      <c r="T589" s="1463"/>
      <c r="U589" s="1463"/>
      <c r="V589" s="1463"/>
      <c r="W589" s="1463"/>
      <c r="X589" s="1463"/>
      <c r="Y589" s="1463"/>
    </row>
    <row r="590" spans="1:25">
      <c r="A590" s="2263"/>
      <c r="B590" s="2263"/>
      <c r="C590" s="2263"/>
      <c r="D590" s="2263"/>
      <c r="E590" s="1462"/>
      <c r="R590" s="1463"/>
      <c r="S590" s="1463"/>
      <c r="T590" s="1463"/>
      <c r="U590" s="1463"/>
      <c r="V590" s="1463"/>
      <c r="W590" s="1463"/>
      <c r="X590" s="1463"/>
      <c r="Y590" s="1463"/>
    </row>
    <row r="591" spans="1:25">
      <c r="A591" s="2263"/>
      <c r="B591" s="2263"/>
      <c r="C591" s="2263"/>
      <c r="D591" s="2263"/>
      <c r="E591" s="1462"/>
      <c r="R591" s="1463"/>
      <c r="S591" s="1463"/>
      <c r="T591" s="1463"/>
      <c r="U591" s="1463"/>
      <c r="V591" s="1463"/>
      <c r="W591" s="1463"/>
      <c r="X591" s="1463"/>
      <c r="Y591" s="1463"/>
    </row>
    <row r="592" spans="1:25">
      <c r="A592" s="2263"/>
      <c r="B592" s="2263"/>
      <c r="C592" s="2263"/>
      <c r="D592" s="2263"/>
      <c r="E592" s="1462"/>
      <c r="R592" s="1463"/>
      <c r="S592" s="1463"/>
      <c r="T592" s="1463"/>
      <c r="U592" s="1463"/>
      <c r="V592" s="1463"/>
      <c r="W592" s="1463"/>
      <c r="X592" s="1463"/>
      <c r="Y592" s="1463"/>
    </row>
    <row r="593" spans="1:25">
      <c r="A593" s="2263"/>
      <c r="B593" s="2263"/>
      <c r="C593" s="2263"/>
      <c r="D593" s="2263"/>
      <c r="E593" s="1462"/>
      <c r="R593" s="1463"/>
      <c r="S593" s="1463"/>
      <c r="T593" s="1463"/>
      <c r="U593" s="1463"/>
      <c r="V593" s="1463"/>
      <c r="W593" s="1463"/>
      <c r="X593" s="1463"/>
      <c r="Y593" s="1463"/>
    </row>
    <row r="594" spans="1:25">
      <c r="A594" s="2263"/>
      <c r="B594" s="2263"/>
      <c r="C594" s="2263"/>
      <c r="D594" s="2263"/>
      <c r="E594" s="1462"/>
      <c r="R594" s="1463"/>
      <c r="S594" s="1463"/>
      <c r="T594" s="1463"/>
      <c r="U594" s="1463"/>
      <c r="V594" s="1463"/>
      <c r="W594" s="1463"/>
      <c r="X594" s="1463"/>
      <c r="Y594" s="1463"/>
    </row>
    <row r="595" spans="1:25">
      <c r="A595" s="2263"/>
      <c r="B595" s="2263"/>
      <c r="C595" s="2263"/>
      <c r="D595" s="2263"/>
      <c r="E595" s="1462"/>
      <c r="R595" s="1463"/>
      <c r="S595" s="1463"/>
      <c r="T595" s="1463"/>
      <c r="U595" s="1463"/>
      <c r="V595" s="1463"/>
      <c r="W595" s="1463"/>
      <c r="X595" s="1463"/>
      <c r="Y595" s="1463"/>
    </row>
    <row r="596" spans="1:25">
      <c r="A596" s="2263"/>
      <c r="B596" s="2263"/>
      <c r="C596" s="2263"/>
      <c r="D596" s="2263"/>
      <c r="E596" s="1462"/>
      <c r="R596" s="1463"/>
      <c r="S596" s="1463"/>
      <c r="T596" s="1463"/>
      <c r="U596" s="1463"/>
      <c r="V596" s="1463"/>
      <c r="W596" s="1463"/>
      <c r="X596" s="1463"/>
      <c r="Y596" s="1463"/>
    </row>
    <row r="597" spans="1:25">
      <c r="A597" s="2263"/>
      <c r="B597" s="2263"/>
      <c r="C597" s="2263"/>
      <c r="D597" s="2263"/>
      <c r="E597" s="1462"/>
      <c r="R597" s="1463"/>
      <c r="S597" s="1463"/>
      <c r="T597" s="1463"/>
      <c r="U597" s="1463"/>
      <c r="V597" s="1463"/>
      <c r="W597" s="1463"/>
      <c r="X597" s="1463"/>
      <c r="Y597" s="1463"/>
    </row>
    <row r="598" spans="1:25">
      <c r="A598" s="2263"/>
      <c r="B598" s="2263"/>
      <c r="C598" s="2263"/>
      <c r="D598" s="2263"/>
      <c r="E598" s="1462"/>
      <c r="R598" s="1463"/>
      <c r="S598" s="1463"/>
      <c r="T598" s="1463"/>
      <c r="U598" s="1463"/>
      <c r="V598" s="1463"/>
      <c r="W598" s="1463"/>
      <c r="X598" s="1463"/>
      <c r="Y598" s="1463"/>
    </row>
    <row r="599" spans="1:25">
      <c r="A599" s="2263"/>
      <c r="B599" s="2263"/>
      <c r="C599" s="2263"/>
      <c r="D599" s="2263"/>
      <c r="E599" s="1462"/>
      <c r="R599" s="1463"/>
      <c r="S599" s="1463"/>
      <c r="T599" s="1463"/>
      <c r="U599" s="1463"/>
      <c r="V599" s="1463"/>
      <c r="W599" s="1463"/>
      <c r="X599" s="1463"/>
      <c r="Y599" s="1463"/>
    </row>
    <row r="600" spans="1:25">
      <c r="A600" s="2263"/>
      <c r="B600" s="2263"/>
      <c r="C600" s="2263"/>
      <c r="D600" s="2263"/>
      <c r="E600" s="1462"/>
      <c r="R600" s="1463"/>
      <c r="S600" s="1463"/>
      <c r="T600" s="1463"/>
      <c r="U600" s="1463"/>
      <c r="V600" s="1463"/>
      <c r="W600" s="1463"/>
      <c r="X600" s="1463"/>
      <c r="Y600" s="1463"/>
    </row>
    <row r="601" spans="1:25">
      <c r="A601" s="2263"/>
      <c r="B601" s="2263"/>
      <c r="C601" s="2263"/>
      <c r="D601" s="2263"/>
      <c r="E601" s="1462"/>
      <c r="R601" s="1463"/>
      <c r="S601" s="1463"/>
      <c r="T601" s="1463"/>
      <c r="U601" s="1463"/>
      <c r="V601" s="1463"/>
      <c r="W601" s="1463"/>
      <c r="X601" s="1463"/>
      <c r="Y601" s="1463"/>
    </row>
    <row r="602" spans="1:25">
      <c r="A602" s="2263"/>
      <c r="B602" s="2263"/>
      <c r="C602" s="2263"/>
      <c r="D602" s="2263"/>
      <c r="E602" s="1462"/>
      <c r="R602" s="1463"/>
      <c r="S602" s="1463"/>
      <c r="T602" s="1463"/>
      <c r="U602" s="1463"/>
      <c r="V602" s="1463"/>
      <c r="W602" s="1463"/>
      <c r="X602" s="1463"/>
      <c r="Y602" s="1463"/>
    </row>
    <row r="603" spans="1:25">
      <c r="A603" s="2263"/>
      <c r="B603" s="2263"/>
      <c r="C603" s="2263"/>
      <c r="D603" s="2263"/>
      <c r="E603" s="1462"/>
      <c r="R603" s="1463"/>
      <c r="S603" s="1463"/>
      <c r="T603" s="1463"/>
      <c r="U603" s="1463"/>
      <c r="V603" s="1463"/>
      <c r="W603" s="1463"/>
      <c r="X603" s="1463"/>
      <c r="Y603" s="1463"/>
    </row>
    <row r="604" spans="1:25">
      <c r="A604" s="2263"/>
      <c r="B604" s="2263"/>
      <c r="C604" s="2263"/>
      <c r="D604" s="2263"/>
      <c r="E604" s="1462"/>
      <c r="R604" s="1463"/>
      <c r="S604" s="1463"/>
      <c r="T604" s="1463"/>
      <c r="U604" s="1463"/>
      <c r="V604" s="1463"/>
      <c r="W604" s="1463"/>
      <c r="X604" s="1463"/>
      <c r="Y604" s="1463"/>
    </row>
    <row r="605" spans="1:25">
      <c r="A605" s="2263"/>
      <c r="B605" s="2263"/>
      <c r="C605" s="2263"/>
      <c r="D605" s="2263"/>
      <c r="E605" s="1462"/>
      <c r="R605" s="1463"/>
      <c r="S605" s="1463"/>
      <c r="T605" s="1463"/>
      <c r="U605" s="1463"/>
      <c r="V605" s="1463"/>
      <c r="W605" s="1463"/>
      <c r="X605" s="1463"/>
      <c r="Y605" s="1463"/>
    </row>
    <row r="606" spans="1:25">
      <c r="A606" s="2263"/>
      <c r="B606" s="2263"/>
      <c r="C606" s="2263"/>
      <c r="D606" s="2263"/>
      <c r="E606" s="1462"/>
      <c r="R606" s="1463"/>
      <c r="S606" s="1463"/>
      <c r="T606" s="1463"/>
      <c r="U606" s="1463"/>
      <c r="V606" s="1463"/>
      <c r="W606" s="1463"/>
      <c r="X606" s="1463"/>
      <c r="Y606" s="1463"/>
    </row>
    <row r="607" spans="1:25">
      <c r="A607" s="2263"/>
      <c r="B607" s="2263"/>
      <c r="C607" s="2263"/>
      <c r="D607" s="2263"/>
      <c r="E607" s="1462"/>
      <c r="R607" s="1463"/>
      <c r="S607" s="1463"/>
      <c r="T607" s="1463"/>
      <c r="U607" s="1463"/>
      <c r="V607" s="1463"/>
      <c r="W607" s="1463"/>
      <c r="X607" s="1463"/>
      <c r="Y607" s="1463"/>
    </row>
    <row r="608" spans="1:25">
      <c r="A608" s="2263"/>
      <c r="B608" s="2263"/>
      <c r="C608" s="2263"/>
      <c r="D608" s="2263"/>
      <c r="E608" s="1462"/>
      <c r="R608" s="1463"/>
      <c r="S608" s="1463"/>
      <c r="T608" s="1463"/>
      <c r="U608" s="1463"/>
      <c r="V608" s="1463"/>
      <c r="W608" s="1463"/>
      <c r="X608" s="1463"/>
      <c r="Y608" s="1463"/>
    </row>
    <row r="609" spans="1:25">
      <c r="A609" s="2263"/>
      <c r="B609" s="2263"/>
      <c r="C609" s="2263"/>
      <c r="D609" s="2263"/>
      <c r="E609" s="1462"/>
      <c r="R609" s="1463"/>
      <c r="S609" s="1463"/>
      <c r="T609" s="1463"/>
      <c r="U609" s="1463"/>
      <c r="V609" s="1463"/>
      <c r="W609" s="1463"/>
      <c r="X609" s="1463"/>
      <c r="Y609" s="1463"/>
    </row>
    <row r="610" spans="1:25">
      <c r="A610" s="2263"/>
      <c r="B610" s="2263"/>
      <c r="C610" s="2263"/>
      <c r="D610" s="2263"/>
      <c r="E610" s="1462"/>
      <c r="R610" s="1463"/>
      <c r="S610" s="1463"/>
      <c r="T610" s="1463"/>
      <c r="U610" s="1463"/>
      <c r="V610" s="1463"/>
      <c r="W610" s="1463"/>
      <c r="X610" s="1463"/>
      <c r="Y610" s="1463"/>
    </row>
    <row r="611" spans="1:25">
      <c r="A611" s="2263"/>
      <c r="B611" s="2263"/>
      <c r="C611" s="2263"/>
      <c r="D611" s="2263"/>
      <c r="E611" s="1462"/>
      <c r="R611" s="1463"/>
      <c r="S611" s="1463"/>
      <c r="T611" s="1463"/>
      <c r="U611" s="1463"/>
      <c r="V611" s="1463"/>
      <c r="W611" s="1463"/>
      <c r="X611" s="1463"/>
      <c r="Y611" s="1463"/>
    </row>
    <row r="612" spans="1:25">
      <c r="A612" s="2263"/>
      <c r="B612" s="2263"/>
      <c r="C612" s="2263"/>
      <c r="D612" s="2263"/>
      <c r="E612" s="1462"/>
      <c r="R612" s="1463"/>
      <c r="S612" s="1463"/>
      <c r="T612" s="1463"/>
      <c r="U612" s="1463"/>
      <c r="V612" s="1463"/>
      <c r="W612" s="1463"/>
      <c r="X612" s="1463"/>
      <c r="Y612" s="1463"/>
    </row>
    <row r="613" spans="1:25">
      <c r="A613" s="2263"/>
      <c r="B613" s="2263"/>
      <c r="C613" s="2263"/>
      <c r="D613" s="2263"/>
      <c r="E613" s="1462"/>
      <c r="R613" s="1463"/>
      <c r="S613" s="1463"/>
      <c r="T613" s="1463"/>
      <c r="U613" s="1463"/>
      <c r="V613" s="1463"/>
      <c r="W613" s="1463"/>
      <c r="X613" s="1463"/>
      <c r="Y613" s="1463"/>
    </row>
    <row r="614" spans="1:25">
      <c r="A614" s="2263"/>
      <c r="B614" s="2263"/>
      <c r="C614" s="2263"/>
      <c r="D614" s="2263"/>
      <c r="E614" s="1462"/>
      <c r="R614" s="1463"/>
      <c r="S614" s="1463"/>
      <c r="T614" s="1463"/>
      <c r="U614" s="1463"/>
      <c r="V614" s="1463"/>
      <c r="W614" s="1463"/>
      <c r="X614" s="1463"/>
      <c r="Y614" s="1463"/>
    </row>
    <row r="615" spans="1:25">
      <c r="A615" s="2263"/>
      <c r="B615" s="2263"/>
      <c r="C615" s="2263"/>
      <c r="D615" s="2263"/>
      <c r="E615" s="1462"/>
      <c r="R615" s="1463"/>
      <c r="S615" s="1463"/>
      <c r="T615" s="1463"/>
      <c r="U615" s="1463"/>
      <c r="V615" s="1463"/>
      <c r="W615" s="1463"/>
      <c r="X615" s="1463"/>
      <c r="Y615" s="1463"/>
    </row>
    <row r="616" spans="1:25">
      <c r="A616" s="2263"/>
      <c r="B616" s="2263"/>
      <c r="C616" s="2263"/>
      <c r="D616" s="2263"/>
      <c r="E616" s="1462"/>
      <c r="R616" s="1463"/>
      <c r="S616" s="1463"/>
      <c r="T616" s="1463"/>
      <c r="U616" s="1463"/>
      <c r="V616" s="1463"/>
      <c r="W616" s="1463"/>
      <c r="X616" s="1463"/>
      <c r="Y616" s="1463"/>
    </row>
    <row r="617" spans="1:25">
      <c r="A617" s="2263"/>
      <c r="B617" s="2263"/>
      <c r="C617" s="2263"/>
      <c r="D617" s="2263"/>
      <c r="E617" s="1462"/>
      <c r="R617" s="1463"/>
      <c r="S617" s="1463"/>
      <c r="T617" s="1463"/>
      <c r="U617" s="1463"/>
      <c r="V617" s="1463"/>
      <c r="W617" s="1463"/>
      <c r="X617" s="1463"/>
      <c r="Y617" s="1463"/>
    </row>
    <row r="618" spans="1:25">
      <c r="A618" s="2263"/>
      <c r="B618" s="2263"/>
      <c r="C618" s="2263"/>
      <c r="D618" s="2263"/>
      <c r="E618" s="1462"/>
      <c r="R618" s="1463"/>
      <c r="S618" s="1463"/>
      <c r="T618" s="1463"/>
      <c r="U618" s="1463"/>
      <c r="V618" s="1463"/>
      <c r="W618" s="1463"/>
      <c r="X618" s="1463"/>
      <c r="Y618" s="1463"/>
    </row>
    <row r="619" spans="1:25">
      <c r="A619" s="2263"/>
      <c r="B619" s="2263"/>
      <c r="C619" s="2263"/>
      <c r="D619" s="2263"/>
      <c r="E619" s="1462"/>
      <c r="R619" s="1463"/>
      <c r="S619" s="1463"/>
      <c r="T619" s="1463"/>
      <c r="U619" s="1463"/>
      <c r="V619" s="1463"/>
      <c r="W619" s="1463"/>
      <c r="X619" s="1463"/>
      <c r="Y619" s="1463"/>
    </row>
    <row r="620" spans="1:25">
      <c r="A620" s="2263"/>
      <c r="B620" s="2263"/>
      <c r="C620" s="2263"/>
      <c r="D620" s="2263"/>
      <c r="E620" s="1462"/>
      <c r="R620" s="1463"/>
      <c r="S620" s="1463"/>
      <c r="T620" s="1463"/>
      <c r="U620" s="1463"/>
      <c r="V620" s="1463"/>
      <c r="W620" s="1463"/>
      <c r="X620" s="1463"/>
      <c r="Y620" s="1463"/>
    </row>
    <row r="621" spans="1:25">
      <c r="A621" s="2263"/>
      <c r="B621" s="2263"/>
      <c r="C621" s="2263"/>
      <c r="D621" s="2263"/>
      <c r="E621" s="1462"/>
      <c r="R621" s="1463"/>
      <c r="S621" s="1463"/>
      <c r="T621" s="1463"/>
      <c r="U621" s="1463"/>
      <c r="V621" s="1463"/>
      <c r="W621" s="1463"/>
      <c r="X621" s="1463"/>
      <c r="Y621" s="1463"/>
    </row>
    <row r="622" spans="1:25">
      <c r="A622" s="2263"/>
      <c r="B622" s="2263"/>
      <c r="C622" s="2263"/>
      <c r="D622" s="2263"/>
      <c r="E622" s="1462"/>
      <c r="R622" s="1463"/>
      <c r="S622" s="1463"/>
      <c r="T622" s="1463"/>
      <c r="U622" s="1463"/>
      <c r="V622" s="1463"/>
      <c r="W622" s="1463"/>
      <c r="X622" s="1463"/>
      <c r="Y622" s="1463"/>
    </row>
    <row r="623" spans="1:25">
      <c r="A623" s="2263"/>
      <c r="B623" s="2263"/>
      <c r="C623" s="2263"/>
      <c r="D623" s="2263"/>
      <c r="E623" s="1462"/>
      <c r="R623" s="1463"/>
      <c r="S623" s="1463"/>
      <c r="T623" s="1463"/>
      <c r="U623" s="1463"/>
      <c r="V623" s="1463"/>
      <c r="W623" s="1463"/>
      <c r="X623" s="1463"/>
      <c r="Y623" s="1463"/>
    </row>
    <row r="624" spans="1:25">
      <c r="A624" s="2263"/>
      <c r="B624" s="2263"/>
      <c r="C624" s="2263"/>
      <c r="D624" s="2263"/>
      <c r="E624" s="1462"/>
      <c r="R624" s="1463"/>
      <c r="S624" s="1463"/>
      <c r="T624" s="1463"/>
      <c r="U624" s="1463"/>
      <c r="V624" s="1463"/>
      <c r="W624" s="1463"/>
      <c r="X624" s="1463"/>
      <c r="Y624" s="1463"/>
    </row>
    <row r="625" spans="1:25">
      <c r="A625" s="2263"/>
      <c r="B625" s="2263"/>
      <c r="C625" s="2263"/>
      <c r="D625" s="2263"/>
      <c r="E625" s="1462"/>
      <c r="R625" s="1463"/>
      <c r="S625" s="1463"/>
      <c r="T625" s="1463"/>
      <c r="U625" s="1463"/>
      <c r="V625" s="1463"/>
      <c r="W625" s="1463"/>
      <c r="X625" s="1463"/>
      <c r="Y625" s="1463"/>
    </row>
    <row r="626" spans="1:25">
      <c r="A626" s="2263"/>
      <c r="B626" s="2263"/>
      <c r="C626" s="2263"/>
      <c r="D626" s="2263"/>
      <c r="E626" s="1462"/>
      <c r="R626" s="1463"/>
      <c r="S626" s="1463"/>
      <c r="T626" s="1463"/>
      <c r="U626" s="1463"/>
      <c r="V626" s="1463"/>
      <c r="W626" s="1463"/>
      <c r="X626" s="1463"/>
      <c r="Y626" s="1463"/>
    </row>
    <row r="627" spans="1:25">
      <c r="A627" s="2263"/>
      <c r="B627" s="2263"/>
      <c r="C627" s="2263"/>
      <c r="D627" s="2263"/>
      <c r="E627" s="1462"/>
      <c r="R627" s="1463"/>
      <c r="S627" s="1463"/>
      <c r="T627" s="1463"/>
      <c r="U627" s="1463"/>
      <c r="V627" s="1463"/>
      <c r="W627" s="1463"/>
      <c r="X627" s="1463"/>
      <c r="Y627" s="1463"/>
    </row>
    <row r="628" spans="1:25">
      <c r="A628" s="2263"/>
      <c r="B628" s="2263"/>
      <c r="C628" s="2263"/>
      <c r="D628" s="2263"/>
      <c r="E628" s="1462"/>
      <c r="R628" s="1463"/>
      <c r="S628" s="1463"/>
      <c r="T628" s="1463"/>
      <c r="U628" s="1463"/>
      <c r="V628" s="1463"/>
      <c r="W628" s="1463"/>
      <c r="X628" s="1463"/>
      <c r="Y628" s="1463"/>
    </row>
    <row r="629" spans="1:25">
      <c r="A629" s="2263"/>
      <c r="B629" s="2263"/>
      <c r="C629" s="2263"/>
      <c r="D629" s="2263"/>
      <c r="E629" s="1462"/>
      <c r="R629" s="1463"/>
      <c r="S629" s="1463"/>
      <c r="T629" s="1463"/>
      <c r="U629" s="1463"/>
      <c r="V629" s="1463"/>
      <c r="W629" s="1463"/>
      <c r="X629" s="1463"/>
      <c r="Y629" s="1463"/>
    </row>
    <row r="630" spans="1:25">
      <c r="A630" s="2263"/>
      <c r="B630" s="2263"/>
      <c r="C630" s="2263"/>
      <c r="D630" s="2263"/>
      <c r="E630" s="1462"/>
      <c r="R630" s="1463"/>
      <c r="S630" s="1463"/>
      <c r="T630" s="1463"/>
      <c r="U630" s="1463"/>
      <c r="V630" s="1463"/>
      <c r="W630" s="1463"/>
      <c r="X630" s="1463"/>
      <c r="Y630" s="1463"/>
    </row>
    <row r="631" spans="1:25">
      <c r="A631" s="2263"/>
      <c r="B631" s="2263"/>
      <c r="C631" s="2263"/>
      <c r="D631" s="2263"/>
      <c r="E631" s="1462"/>
      <c r="R631" s="1463"/>
      <c r="S631" s="1463"/>
      <c r="T631" s="1463"/>
      <c r="U631" s="1463"/>
      <c r="V631" s="1463"/>
      <c r="W631" s="1463"/>
      <c r="X631" s="1463"/>
      <c r="Y631" s="1463"/>
    </row>
    <row r="632" spans="1:25">
      <c r="A632" s="2263"/>
      <c r="B632" s="2263"/>
      <c r="C632" s="2263"/>
      <c r="D632" s="2263"/>
      <c r="E632" s="1462"/>
      <c r="R632" s="1463"/>
      <c r="S632" s="1463"/>
      <c r="T632" s="1463"/>
      <c r="U632" s="1463"/>
      <c r="V632" s="1463"/>
      <c r="W632" s="1463"/>
      <c r="X632" s="1463"/>
      <c r="Y632" s="1463"/>
    </row>
    <row r="633" spans="1:25">
      <c r="A633" s="2263"/>
      <c r="B633" s="2263"/>
      <c r="C633" s="2263"/>
      <c r="D633" s="2263"/>
      <c r="E633" s="1462"/>
      <c r="R633" s="1463"/>
      <c r="S633" s="1463"/>
      <c r="T633" s="1463"/>
      <c r="U633" s="1463"/>
      <c r="V633" s="1463"/>
      <c r="W633" s="1463"/>
      <c r="X633" s="1463"/>
      <c r="Y633" s="1463"/>
    </row>
    <row r="634" spans="1:25">
      <c r="A634" s="2263"/>
      <c r="B634" s="2263"/>
      <c r="C634" s="2263"/>
      <c r="D634" s="2263"/>
      <c r="E634" s="1462"/>
      <c r="R634" s="1463"/>
      <c r="S634" s="1463"/>
      <c r="T634" s="1463"/>
      <c r="U634" s="1463"/>
      <c r="V634" s="1463"/>
      <c r="W634" s="1463"/>
      <c r="X634" s="1463"/>
      <c r="Y634" s="1463"/>
    </row>
    <row r="635" spans="1:25">
      <c r="A635" s="2263"/>
      <c r="B635" s="2263"/>
      <c r="C635" s="2263"/>
      <c r="D635" s="2263"/>
      <c r="E635" s="1462"/>
      <c r="R635" s="1463"/>
      <c r="S635" s="1463"/>
      <c r="T635" s="1463"/>
      <c r="U635" s="1463"/>
      <c r="V635" s="1463"/>
      <c r="W635" s="1463"/>
      <c r="X635" s="1463"/>
      <c r="Y635" s="1463"/>
    </row>
    <row r="636" spans="1:25">
      <c r="A636" s="2263"/>
      <c r="B636" s="2263"/>
      <c r="C636" s="2263"/>
      <c r="D636" s="2263"/>
      <c r="E636" s="1462"/>
      <c r="R636" s="1463"/>
      <c r="S636" s="1463"/>
      <c r="T636" s="1463"/>
      <c r="U636" s="1463"/>
      <c r="V636" s="1463"/>
      <c r="W636" s="1463"/>
      <c r="X636" s="1463"/>
      <c r="Y636" s="1463"/>
    </row>
    <row r="637" spans="1:25">
      <c r="A637" s="2263"/>
      <c r="B637" s="2263"/>
      <c r="C637" s="2263"/>
      <c r="D637" s="2263"/>
      <c r="E637" s="1462"/>
      <c r="R637" s="1463"/>
      <c r="S637" s="1463"/>
      <c r="T637" s="1463"/>
      <c r="U637" s="1463"/>
      <c r="V637" s="1463"/>
      <c r="W637" s="1463"/>
      <c r="X637" s="1463"/>
      <c r="Y637" s="1463"/>
    </row>
    <row r="638" spans="1:25">
      <c r="A638" s="2263"/>
      <c r="B638" s="2263"/>
      <c r="C638" s="2263"/>
      <c r="D638" s="2263"/>
      <c r="E638" s="1462"/>
      <c r="R638" s="1463"/>
      <c r="S638" s="1463"/>
      <c r="T638" s="1463"/>
      <c r="U638" s="1463"/>
      <c r="V638" s="1463"/>
      <c r="W638" s="1463"/>
      <c r="X638" s="1463"/>
      <c r="Y638" s="1463"/>
    </row>
    <row r="639" spans="1:25">
      <c r="A639" s="2263"/>
      <c r="B639" s="2263"/>
      <c r="C639" s="2263"/>
      <c r="D639" s="2263"/>
      <c r="E639" s="1462"/>
      <c r="R639" s="1463"/>
      <c r="S639" s="1463"/>
      <c r="T639" s="1463"/>
      <c r="U639" s="1463"/>
      <c r="V639" s="1463"/>
      <c r="W639" s="1463"/>
      <c r="X639" s="1463"/>
      <c r="Y639" s="1463"/>
    </row>
    <row r="640" spans="1:25">
      <c r="A640" s="2263"/>
      <c r="B640" s="2263"/>
      <c r="C640" s="2263"/>
      <c r="D640" s="2263"/>
      <c r="E640" s="1462"/>
      <c r="R640" s="1463"/>
      <c r="S640" s="1463"/>
      <c r="T640" s="1463"/>
      <c r="U640" s="1463"/>
      <c r="V640" s="1463"/>
      <c r="W640" s="1463"/>
      <c r="X640" s="1463"/>
      <c r="Y640" s="1463"/>
    </row>
    <row r="641" spans="1:25">
      <c r="A641" s="2263"/>
      <c r="B641" s="2263"/>
      <c r="C641" s="2263"/>
      <c r="D641" s="2263"/>
      <c r="E641" s="1462"/>
      <c r="R641" s="1463"/>
      <c r="S641" s="1463"/>
      <c r="T641" s="1463"/>
      <c r="U641" s="1463"/>
      <c r="V641" s="1463"/>
      <c r="W641" s="1463"/>
      <c r="X641" s="1463"/>
      <c r="Y641" s="1463"/>
    </row>
    <row r="642" spans="1:25">
      <c r="A642" s="2263"/>
      <c r="B642" s="2263"/>
      <c r="C642" s="2263"/>
      <c r="D642" s="2263"/>
      <c r="E642" s="1462"/>
      <c r="R642" s="1463"/>
      <c r="S642" s="1463"/>
      <c r="T642" s="1463"/>
      <c r="U642" s="1463"/>
      <c r="V642" s="1463"/>
      <c r="W642" s="1463"/>
      <c r="X642" s="1463"/>
      <c r="Y642" s="1463"/>
    </row>
    <row r="643" spans="1:25">
      <c r="A643" s="2263"/>
      <c r="B643" s="2263"/>
      <c r="C643" s="2263"/>
      <c r="D643" s="2263"/>
      <c r="E643" s="1462"/>
      <c r="R643" s="1463"/>
      <c r="S643" s="1463"/>
      <c r="T643" s="1463"/>
      <c r="U643" s="1463"/>
      <c r="V643" s="1463"/>
      <c r="W643" s="1463"/>
      <c r="X643" s="1463"/>
      <c r="Y643" s="1463"/>
    </row>
    <row r="644" spans="1:25">
      <c r="A644" s="2263"/>
      <c r="B644" s="2263"/>
      <c r="C644" s="2263"/>
      <c r="D644" s="2263"/>
      <c r="E644" s="1462"/>
      <c r="R644" s="1463"/>
      <c r="S644" s="1463"/>
      <c r="T644" s="1463"/>
      <c r="U644" s="1463"/>
      <c r="V644" s="1463"/>
      <c r="W644" s="1463"/>
      <c r="X644" s="1463"/>
      <c r="Y644" s="1463"/>
    </row>
    <row r="645" spans="1:25">
      <c r="A645" s="2263"/>
      <c r="B645" s="2263"/>
      <c r="C645" s="2263"/>
      <c r="D645" s="2263"/>
      <c r="E645" s="1462"/>
      <c r="R645" s="1463"/>
      <c r="S645" s="1463"/>
      <c r="T645" s="1463"/>
      <c r="U645" s="1463"/>
      <c r="V645" s="1463"/>
      <c r="W645" s="1463"/>
      <c r="X645" s="1463"/>
      <c r="Y645" s="1463"/>
    </row>
    <row r="646" spans="1:25">
      <c r="A646" s="2263"/>
      <c r="B646" s="2263"/>
      <c r="C646" s="2263"/>
      <c r="D646" s="2263"/>
      <c r="E646" s="1462"/>
      <c r="R646" s="1463"/>
      <c r="S646" s="1463"/>
      <c r="T646" s="1463"/>
      <c r="U646" s="1463"/>
      <c r="V646" s="1463"/>
      <c r="W646" s="1463"/>
      <c r="X646" s="1463"/>
      <c r="Y646" s="1463"/>
    </row>
    <row r="647" spans="1:25">
      <c r="A647" s="2263"/>
      <c r="B647" s="2263"/>
      <c r="C647" s="2263"/>
      <c r="D647" s="2263"/>
      <c r="E647" s="1462"/>
      <c r="R647" s="1463"/>
      <c r="S647" s="1463"/>
      <c r="T647" s="1463"/>
      <c r="U647" s="1463"/>
      <c r="V647" s="1463"/>
      <c r="W647" s="1463"/>
      <c r="X647" s="1463"/>
      <c r="Y647" s="1463"/>
    </row>
    <row r="648" spans="1:25">
      <c r="A648" s="2263"/>
      <c r="B648" s="2263"/>
      <c r="C648" s="2263"/>
      <c r="D648" s="2263"/>
      <c r="E648" s="1462"/>
      <c r="R648" s="1463"/>
      <c r="S648" s="1463"/>
      <c r="T648" s="1463"/>
      <c r="U648" s="1463"/>
      <c r="V648" s="1463"/>
      <c r="W648" s="1463"/>
      <c r="X648" s="1463"/>
      <c r="Y648" s="1463"/>
    </row>
    <row r="649" spans="1:25">
      <c r="A649" s="2263"/>
      <c r="B649" s="2263"/>
      <c r="C649" s="2263"/>
      <c r="D649" s="2263"/>
      <c r="E649" s="1462"/>
      <c r="R649" s="1463"/>
      <c r="S649" s="1463"/>
      <c r="T649" s="1463"/>
      <c r="U649" s="1463"/>
      <c r="V649" s="1463"/>
      <c r="W649" s="1463"/>
      <c r="X649" s="1463"/>
      <c r="Y649" s="1463"/>
    </row>
    <row r="650" spans="1:25">
      <c r="A650" s="2263"/>
      <c r="B650" s="2263"/>
      <c r="C650" s="2263"/>
      <c r="D650" s="2263"/>
      <c r="E650" s="1462"/>
      <c r="R650" s="1463"/>
      <c r="S650" s="1463"/>
      <c r="T650" s="1463"/>
      <c r="U650" s="1463"/>
      <c r="V650" s="1463"/>
      <c r="W650" s="1463"/>
      <c r="X650" s="1463"/>
      <c r="Y650" s="1463"/>
    </row>
    <row r="651" spans="1:25">
      <c r="A651" s="2263"/>
      <c r="B651" s="2263"/>
      <c r="C651" s="2263"/>
      <c r="D651" s="2263"/>
      <c r="E651" s="1462"/>
      <c r="R651" s="1463"/>
      <c r="S651" s="1463"/>
      <c r="T651" s="1463"/>
      <c r="U651" s="1463"/>
      <c r="V651" s="1463"/>
      <c r="W651" s="1463"/>
      <c r="X651" s="1463"/>
      <c r="Y651" s="1463"/>
    </row>
    <row r="652" spans="1:25">
      <c r="A652" s="2263"/>
      <c r="B652" s="2263"/>
      <c r="C652" s="2263"/>
      <c r="D652" s="2263"/>
      <c r="E652" s="1462"/>
      <c r="R652" s="1463"/>
      <c r="S652" s="1463"/>
      <c r="T652" s="1463"/>
      <c r="U652" s="1463"/>
      <c r="V652" s="1463"/>
      <c r="W652" s="1463"/>
      <c r="X652" s="1463"/>
      <c r="Y652" s="1463"/>
    </row>
    <row r="653" spans="1:25">
      <c r="A653" s="2263"/>
      <c r="B653" s="2263"/>
      <c r="C653" s="2263"/>
      <c r="D653" s="2263"/>
      <c r="E653" s="1462"/>
      <c r="R653" s="1463"/>
      <c r="S653" s="1463"/>
      <c r="T653" s="1463"/>
      <c r="U653" s="1463"/>
      <c r="V653" s="1463"/>
      <c r="W653" s="1463"/>
      <c r="X653" s="1463"/>
      <c r="Y653" s="1463"/>
    </row>
    <row r="654" spans="1:25">
      <c r="A654" s="2263"/>
      <c r="B654" s="2263"/>
      <c r="C654" s="2263"/>
      <c r="D654" s="2263"/>
      <c r="E654" s="1462"/>
      <c r="R654" s="1463"/>
      <c r="S654" s="1463"/>
      <c r="T654" s="1463"/>
      <c r="U654" s="1463"/>
      <c r="V654" s="1463"/>
      <c r="W654" s="1463"/>
      <c r="X654" s="1463"/>
      <c r="Y654" s="1463"/>
    </row>
    <row r="655" spans="1:25">
      <c r="A655" s="2263"/>
      <c r="B655" s="2263"/>
      <c r="C655" s="2263"/>
      <c r="D655" s="2263"/>
      <c r="E655" s="1462"/>
      <c r="R655" s="1463"/>
      <c r="S655" s="1463"/>
      <c r="T655" s="1463"/>
      <c r="U655" s="1463"/>
      <c r="V655" s="1463"/>
      <c r="W655" s="1463"/>
      <c r="X655" s="1463"/>
      <c r="Y655" s="1463"/>
    </row>
    <row r="656" spans="1:25">
      <c r="A656" s="2263"/>
      <c r="B656" s="2263"/>
      <c r="C656" s="2263"/>
      <c r="D656" s="2263"/>
      <c r="E656" s="1462"/>
      <c r="R656" s="1463"/>
      <c r="S656" s="1463"/>
      <c r="T656" s="1463"/>
      <c r="U656" s="1463"/>
      <c r="V656" s="1463"/>
      <c r="W656" s="1463"/>
      <c r="X656" s="1463"/>
      <c r="Y656" s="1463"/>
    </row>
    <row r="657" spans="1:25">
      <c r="A657" s="2263"/>
      <c r="B657" s="2263"/>
      <c r="C657" s="2263"/>
      <c r="D657" s="2263"/>
      <c r="E657" s="1462"/>
      <c r="R657" s="1463"/>
      <c r="S657" s="1463"/>
      <c r="T657" s="1463"/>
      <c r="U657" s="1463"/>
      <c r="V657" s="1463"/>
      <c r="W657" s="1463"/>
      <c r="X657" s="1463"/>
      <c r="Y657" s="1463"/>
    </row>
    <row r="658" spans="1:25">
      <c r="A658" s="2263"/>
      <c r="B658" s="2263"/>
      <c r="C658" s="2263"/>
      <c r="D658" s="2263"/>
      <c r="E658" s="1462"/>
      <c r="R658" s="1463"/>
      <c r="S658" s="1463"/>
      <c r="T658" s="1463"/>
      <c r="U658" s="1463"/>
      <c r="V658" s="1463"/>
      <c r="W658" s="1463"/>
      <c r="X658" s="1463"/>
      <c r="Y658" s="1463"/>
    </row>
    <row r="659" spans="1:25">
      <c r="A659" s="2263"/>
      <c r="B659" s="2263"/>
      <c r="C659" s="2263"/>
      <c r="D659" s="2263"/>
      <c r="E659" s="1462"/>
      <c r="R659" s="1463"/>
      <c r="S659" s="1463"/>
      <c r="T659" s="1463"/>
      <c r="U659" s="1463"/>
      <c r="V659" s="1463"/>
      <c r="W659" s="1463"/>
      <c r="X659" s="1463"/>
      <c r="Y659" s="1463"/>
    </row>
    <row r="660" spans="1:25">
      <c r="A660" s="2263"/>
      <c r="B660" s="2263"/>
      <c r="C660" s="2263"/>
      <c r="D660" s="2263"/>
      <c r="E660" s="1462"/>
      <c r="R660" s="1463"/>
      <c r="S660" s="1463"/>
      <c r="T660" s="1463"/>
      <c r="U660" s="1463"/>
      <c r="V660" s="1463"/>
      <c r="W660" s="1463"/>
      <c r="X660" s="1463"/>
      <c r="Y660" s="1463"/>
    </row>
    <row r="661" spans="1:25">
      <c r="A661" s="2263"/>
      <c r="B661" s="2263"/>
      <c r="C661" s="2263"/>
      <c r="D661" s="2263"/>
      <c r="E661" s="1462"/>
      <c r="R661" s="1463"/>
      <c r="S661" s="1463"/>
      <c r="T661" s="1463"/>
      <c r="U661" s="1463"/>
      <c r="V661" s="1463"/>
      <c r="W661" s="1463"/>
      <c r="X661" s="1463"/>
      <c r="Y661" s="1463"/>
    </row>
    <row r="662" spans="1:25">
      <c r="A662" s="2263"/>
      <c r="B662" s="2263"/>
      <c r="C662" s="2263"/>
      <c r="D662" s="2263"/>
      <c r="E662" s="1462"/>
      <c r="R662" s="1463"/>
      <c r="S662" s="1463"/>
      <c r="T662" s="1463"/>
      <c r="U662" s="1463"/>
      <c r="V662" s="1463"/>
      <c r="W662" s="1463"/>
      <c r="X662" s="1463"/>
      <c r="Y662" s="1463"/>
    </row>
    <row r="663" spans="1:25">
      <c r="A663" s="2263"/>
      <c r="B663" s="2263"/>
      <c r="C663" s="2263"/>
      <c r="D663" s="2263"/>
      <c r="E663" s="1462"/>
      <c r="R663" s="1463"/>
      <c r="S663" s="1463"/>
      <c r="T663" s="1463"/>
      <c r="U663" s="1463"/>
      <c r="V663" s="1463"/>
      <c r="W663" s="1463"/>
      <c r="X663" s="1463"/>
      <c r="Y663" s="1463"/>
    </row>
    <row r="664" spans="1:25">
      <c r="A664" s="2263"/>
      <c r="B664" s="2263"/>
      <c r="C664" s="2263"/>
      <c r="D664" s="2263"/>
      <c r="E664" s="1462"/>
      <c r="R664" s="1463"/>
      <c r="S664" s="1463"/>
      <c r="T664" s="1463"/>
      <c r="U664" s="1463"/>
      <c r="V664" s="1463"/>
      <c r="W664" s="1463"/>
      <c r="X664" s="1463"/>
      <c r="Y664" s="1463"/>
    </row>
    <row r="665" spans="1:25">
      <c r="A665" s="2263"/>
      <c r="B665" s="2263"/>
      <c r="C665" s="2263"/>
      <c r="D665" s="2263"/>
      <c r="E665" s="1462"/>
      <c r="R665" s="1463"/>
      <c r="S665" s="1463"/>
      <c r="T665" s="1463"/>
      <c r="U665" s="1463"/>
      <c r="V665" s="1463"/>
      <c r="W665" s="1463"/>
      <c r="X665" s="1463"/>
      <c r="Y665" s="1463"/>
    </row>
    <row r="666" spans="1:25">
      <c r="A666" s="2263"/>
      <c r="B666" s="2263"/>
      <c r="C666" s="2263"/>
      <c r="D666" s="2263"/>
      <c r="E666" s="1462"/>
      <c r="R666" s="1463"/>
      <c r="S666" s="1463"/>
      <c r="T666" s="1463"/>
      <c r="U666" s="1463"/>
      <c r="V666" s="1463"/>
      <c r="W666" s="1463"/>
      <c r="X666" s="1463"/>
      <c r="Y666" s="1463"/>
    </row>
    <row r="667" spans="1:25">
      <c r="A667" s="2263"/>
      <c r="B667" s="2263"/>
      <c r="C667" s="2263"/>
      <c r="D667" s="2263"/>
      <c r="E667" s="1462"/>
      <c r="R667" s="1463"/>
      <c r="S667" s="1463"/>
      <c r="T667" s="1463"/>
      <c r="U667" s="1463"/>
      <c r="V667" s="1463"/>
      <c r="W667" s="1463"/>
      <c r="X667" s="1463"/>
      <c r="Y667" s="1463"/>
    </row>
    <row r="668" spans="1:25">
      <c r="A668" s="2263"/>
      <c r="B668" s="2263"/>
      <c r="C668" s="2263"/>
      <c r="D668" s="2263"/>
      <c r="E668" s="1462"/>
      <c r="R668" s="1463"/>
      <c r="S668" s="1463"/>
      <c r="T668" s="1463"/>
      <c r="U668" s="1463"/>
      <c r="V668" s="1463"/>
      <c r="W668" s="1463"/>
      <c r="X668" s="1463"/>
      <c r="Y668" s="1463"/>
    </row>
    <row r="669" spans="1:25">
      <c r="A669" s="2263"/>
      <c r="B669" s="2263"/>
      <c r="C669" s="2263"/>
      <c r="D669" s="2263"/>
      <c r="E669" s="1462"/>
      <c r="R669" s="1463"/>
      <c r="S669" s="1463"/>
      <c r="T669" s="1463"/>
      <c r="U669" s="1463"/>
      <c r="V669" s="1463"/>
      <c r="W669" s="1463"/>
      <c r="X669" s="1463"/>
      <c r="Y669" s="1463"/>
    </row>
    <row r="670" spans="1:25">
      <c r="A670" s="2263"/>
      <c r="B670" s="2263"/>
      <c r="C670" s="2263"/>
      <c r="D670" s="2263"/>
      <c r="E670" s="1462"/>
      <c r="R670" s="1463"/>
      <c r="S670" s="1463"/>
      <c r="T670" s="1463"/>
      <c r="U670" s="1463"/>
      <c r="V670" s="1463"/>
      <c r="W670" s="1463"/>
      <c r="X670" s="1463"/>
      <c r="Y670" s="1463"/>
    </row>
    <row r="671" spans="1:25">
      <c r="A671" s="2263"/>
      <c r="B671" s="2263"/>
      <c r="C671" s="2263"/>
      <c r="D671" s="2263"/>
      <c r="E671" s="1462"/>
      <c r="R671" s="1463"/>
      <c r="S671" s="1463"/>
      <c r="T671" s="1463"/>
      <c r="U671" s="1463"/>
      <c r="V671" s="1463"/>
      <c r="W671" s="1463"/>
      <c r="X671" s="1463"/>
      <c r="Y671" s="1463"/>
    </row>
    <row r="672" spans="1:25">
      <c r="A672" s="2263"/>
      <c r="B672" s="2263"/>
      <c r="C672" s="2263"/>
      <c r="D672" s="2263"/>
      <c r="E672" s="1462"/>
      <c r="R672" s="1463"/>
      <c r="S672" s="1463"/>
      <c r="T672" s="1463"/>
      <c r="U672" s="1463"/>
      <c r="V672" s="1463"/>
      <c r="W672" s="1463"/>
      <c r="X672" s="1463"/>
      <c r="Y672" s="1463"/>
    </row>
    <row r="673" spans="1:25">
      <c r="A673" s="2263"/>
      <c r="B673" s="2263"/>
      <c r="C673" s="2263"/>
      <c r="D673" s="2263"/>
      <c r="E673" s="1462"/>
      <c r="R673" s="1463"/>
      <c r="S673" s="1463"/>
      <c r="T673" s="1463"/>
      <c r="U673" s="1463"/>
      <c r="V673" s="1463"/>
      <c r="W673" s="1463"/>
      <c r="X673" s="1463"/>
      <c r="Y673" s="1463"/>
    </row>
    <row r="674" spans="1:25">
      <c r="A674" s="2263"/>
      <c r="B674" s="2263"/>
      <c r="C674" s="2263"/>
      <c r="D674" s="2263"/>
      <c r="E674" s="1462"/>
      <c r="R674" s="1463"/>
      <c r="S674" s="1463"/>
      <c r="T674" s="1463"/>
      <c r="U674" s="1463"/>
      <c r="V674" s="1463"/>
      <c r="W674" s="1463"/>
      <c r="X674" s="1463"/>
      <c r="Y674" s="1463"/>
    </row>
    <row r="675" spans="1:25">
      <c r="A675" s="2263"/>
      <c r="B675" s="2263"/>
      <c r="C675" s="2263"/>
      <c r="D675" s="2263"/>
      <c r="E675" s="1462"/>
      <c r="R675" s="1463"/>
      <c r="S675" s="1463"/>
      <c r="T675" s="1463"/>
      <c r="U675" s="1463"/>
      <c r="V675" s="1463"/>
      <c r="W675" s="1463"/>
      <c r="X675" s="1463"/>
      <c r="Y675" s="1463"/>
    </row>
    <row r="676" spans="1:25">
      <c r="A676" s="2263"/>
      <c r="B676" s="2263"/>
      <c r="C676" s="2263"/>
      <c r="D676" s="2263"/>
      <c r="E676" s="1462"/>
      <c r="R676" s="1463"/>
      <c r="S676" s="1463"/>
      <c r="T676" s="1463"/>
      <c r="U676" s="1463"/>
      <c r="V676" s="1463"/>
      <c r="W676" s="1463"/>
      <c r="X676" s="1463"/>
      <c r="Y676" s="1463"/>
    </row>
    <row r="677" spans="1:25">
      <c r="A677" s="2263"/>
      <c r="B677" s="2263"/>
      <c r="C677" s="2263"/>
      <c r="D677" s="2263"/>
      <c r="E677" s="1462"/>
      <c r="R677" s="1463"/>
      <c r="S677" s="1463"/>
      <c r="T677" s="1463"/>
      <c r="U677" s="1463"/>
      <c r="V677" s="1463"/>
      <c r="W677" s="1463"/>
      <c r="X677" s="1463"/>
      <c r="Y677" s="1463"/>
    </row>
    <row r="678" spans="1:25">
      <c r="A678" s="2263"/>
      <c r="B678" s="2263"/>
      <c r="C678" s="2263"/>
      <c r="D678" s="2263"/>
      <c r="E678" s="1462"/>
      <c r="R678" s="1463"/>
      <c r="S678" s="1463"/>
      <c r="T678" s="1463"/>
      <c r="U678" s="1463"/>
      <c r="V678" s="1463"/>
      <c r="W678" s="1463"/>
      <c r="X678" s="1463"/>
      <c r="Y678" s="1463"/>
    </row>
    <row r="679" spans="1:25">
      <c r="A679" s="2263"/>
      <c r="B679" s="2263"/>
      <c r="C679" s="2263"/>
      <c r="D679" s="2263"/>
      <c r="E679" s="1462"/>
      <c r="R679" s="1463"/>
      <c r="S679" s="1463"/>
      <c r="T679" s="1463"/>
      <c r="U679" s="1463"/>
      <c r="V679" s="1463"/>
      <c r="W679" s="1463"/>
      <c r="X679" s="1463"/>
      <c r="Y679" s="1463"/>
    </row>
    <row r="680" spans="1:25">
      <c r="A680" s="2263"/>
      <c r="B680" s="2263"/>
      <c r="C680" s="2263"/>
      <c r="D680" s="2263"/>
      <c r="E680" s="1462"/>
      <c r="R680" s="1463"/>
      <c r="S680" s="1463"/>
      <c r="T680" s="1463"/>
      <c r="U680" s="1463"/>
      <c r="V680" s="1463"/>
      <c r="W680" s="1463"/>
      <c r="X680" s="1463"/>
      <c r="Y680" s="1463"/>
    </row>
    <row r="681" spans="1:25">
      <c r="A681" s="2263"/>
      <c r="B681" s="2263"/>
      <c r="C681" s="2263"/>
      <c r="D681" s="2263"/>
      <c r="E681" s="1462"/>
      <c r="R681" s="1463"/>
      <c r="S681" s="1463"/>
      <c r="T681" s="1463"/>
      <c r="U681" s="1463"/>
      <c r="V681" s="1463"/>
      <c r="W681" s="1463"/>
      <c r="X681" s="1463"/>
      <c r="Y681" s="1463"/>
    </row>
    <row r="682" spans="1:25">
      <c r="A682" s="2263"/>
      <c r="B682" s="2263"/>
      <c r="C682" s="2263"/>
      <c r="D682" s="2263"/>
      <c r="E682" s="1462"/>
      <c r="R682" s="1463"/>
      <c r="S682" s="1463"/>
      <c r="T682" s="1463"/>
      <c r="U682" s="1463"/>
      <c r="V682" s="1463"/>
      <c r="W682" s="1463"/>
      <c r="X682" s="1463"/>
      <c r="Y682" s="1463"/>
    </row>
    <row r="683" spans="1:25">
      <c r="A683" s="2263"/>
      <c r="B683" s="2263"/>
      <c r="C683" s="2263"/>
      <c r="D683" s="2263"/>
      <c r="E683" s="1462"/>
      <c r="R683" s="1463"/>
      <c r="S683" s="1463"/>
      <c r="T683" s="1463"/>
      <c r="U683" s="1463"/>
      <c r="V683" s="1463"/>
      <c r="W683" s="1463"/>
      <c r="X683" s="1463"/>
      <c r="Y683" s="1463"/>
    </row>
    <row r="684" spans="1:25">
      <c r="A684" s="2263"/>
      <c r="B684" s="2263"/>
      <c r="C684" s="2263"/>
      <c r="D684" s="2263"/>
      <c r="E684" s="1462"/>
      <c r="R684" s="1463"/>
      <c r="S684" s="1463"/>
      <c r="T684" s="1463"/>
      <c r="U684" s="1463"/>
      <c r="V684" s="1463"/>
      <c r="W684" s="1463"/>
      <c r="X684" s="1463"/>
      <c r="Y684" s="1463"/>
    </row>
    <row r="685" spans="1:25">
      <c r="A685" s="2263"/>
      <c r="B685" s="2263"/>
      <c r="C685" s="2263"/>
      <c r="D685" s="2263"/>
      <c r="E685" s="1462"/>
      <c r="R685" s="1463"/>
      <c r="S685" s="1463"/>
      <c r="T685" s="1463"/>
      <c r="U685" s="1463"/>
      <c r="V685" s="1463"/>
      <c r="W685" s="1463"/>
      <c r="X685" s="1463"/>
      <c r="Y685" s="1463"/>
    </row>
    <row r="686" spans="1:25">
      <c r="A686" s="2263"/>
      <c r="B686" s="2263"/>
      <c r="C686" s="2263"/>
      <c r="D686" s="2263"/>
      <c r="E686" s="1462"/>
      <c r="R686" s="1463"/>
      <c r="S686" s="1463"/>
      <c r="T686" s="1463"/>
      <c r="U686" s="1463"/>
      <c r="V686" s="1463"/>
      <c r="W686" s="1463"/>
      <c r="X686" s="1463"/>
      <c r="Y686" s="1463"/>
    </row>
    <row r="687" spans="1:25">
      <c r="A687" s="2263"/>
      <c r="B687" s="2263"/>
      <c r="C687" s="2263"/>
      <c r="D687" s="2263"/>
      <c r="E687" s="1462"/>
      <c r="R687" s="1463"/>
      <c r="S687" s="1463"/>
      <c r="T687" s="1463"/>
      <c r="U687" s="1463"/>
      <c r="V687" s="1463"/>
      <c r="W687" s="1463"/>
      <c r="X687" s="1463"/>
      <c r="Y687" s="1463"/>
    </row>
    <row r="688" spans="1:25">
      <c r="A688" s="2263"/>
      <c r="B688" s="2263"/>
      <c r="C688" s="2263"/>
      <c r="D688" s="2263"/>
      <c r="E688" s="1462"/>
      <c r="R688" s="1463"/>
      <c r="S688" s="1463"/>
      <c r="T688" s="1463"/>
      <c r="U688" s="1463"/>
      <c r="V688" s="1463"/>
      <c r="W688" s="1463"/>
      <c r="X688" s="1463"/>
      <c r="Y688" s="1463"/>
    </row>
    <row r="689" spans="1:25">
      <c r="A689" s="2263"/>
      <c r="B689" s="2263"/>
      <c r="C689" s="2263"/>
      <c r="D689" s="2263"/>
      <c r="E689" s="1462"/>
      <c r="R689" s="1463"/>
      <c r="S689" s="1463"/>
      <c r="T689" s="1463"/>
      <c r="U689" s="1463"/>
      <c r="V689" s="1463"/>
      <c r="W689" s="1463"/>
      <c r="X689" s="1463"/>
      <c r="Y689" s="1463"/>
    </row>
    <row r="690" spans="1:25">
      <c r="A690" s="2263"/>
      <c r="B690" s="2263"/>
      <c r="C690" s="2263"/>
      <c r="D690" s="2263"/>
      <c r="E690" s="1462"/>
      <c r="R690" s="1463"/>
      <c r="S690" s="1463"/>
      <c r="T690" s="1463"/>
      <c r="U690" s="1463"/>
      <c r="V690" s="1463"/>
      <c r="W690" s="1463"/>
      <c r="X690" s="1463"/>
      <c r="Y690" s="1463"/>
    </row>
    <row r="691" spans="1:25">
      <c r="A691" s="2263"/>
      <c r="B691" s="2263"/>
      <c r="C691" s="2263"/>
      <c r="D691" s="2263"/>
      <c r="E691" s="1462"/>
      <c r="R691" s="1463"/>
      <c r="S691" s="1463"/>
      <c r="T691" s="1463"/>
      <c r="U691" s="1463"/>
      <c r="V691" s="1463"/>
      <c r="W691" s="1463"/>
      <c r="X691" s="1463"/>
      <c r="Y691" s="1463"/>
    </row>
    <row r="692" spans="1:25">
      <c r="A692" s="2263"/>
      <c r="B692" s="2263"/>
      <c r="C692" s="2263"/>
      <c r="D692" s="2263"/>
      <c r="E692" s="1462"/>
      <c r="R692" s="1463"/>
      <c r="S692" s="1463"/>
      <c r="T692" s="1463"/>
      <c r="U692" s="1463"/>
      <c r="V692" s="1463"/>
      <c r="W692" s="1463"/>
      <c r="X692" s="1463"/>
      <c r="Y692" s="1463"/>
    </row>
    <row r="693" spans="1:25">
      <c r="A693" s="2263"/>
      <c r="B693" s="2263"/>
      <c r="C693" s="2263"/>
      <c r="D693" s="2263"/>
      <c r="E693" s="1462"/>
      <c r="R693" s="1463"/>
      <c r="S693" s="1463"/>
      <c r="T693" s="1463"/>
      <c r="U693" s="1463"/>
      <c r="V693" s="1463"/>
      <c r="W693" s="1463"/>
      <c r="X693" s="1463"/>
      <c r="Y693" s="1463"/>
    </row>
    <row r="694" spans="1:25">
      <c r="A694" s="2263"/>
      <c r="B694" s="2263"/>
      <c r="C694" s="2263"/>
      <c r="D694" s="2263"/>
      <c r="E694" s="1462"/>
      <c r="R694" s="1463"/>
      <c r="S694" s="1463"/>
      <c r="T694" s="1463"/>
      <c r="U694" s="1463"/>
      <c r="V694" s="1463"/>
      <c r="W694" s="1463"/>
      <c r="X694" s="1463"/>
      <c r="Y694" s="1463"/>
    </row>
    <row r="695" spans="1:25">
      <c r="A695" s="2263"/>
      <c r="B695" s="2263"/>
      <c r="C695" s="2263"/>
      <c r="D695" s="2263"/>
      <c r="E695" s="1462"/>
      <c r="R695" s="1463"/>
      <c r="S695" s="1463"/>
      <c r="T695" s="1463"/>
      <c r="U695" s="1463"/>
      <c r="V695" s="1463"/>
      <c r="W695" s="1463"/>
      <c r="X695" s="1463"/>
      <c r="Y695" s="1463"/>
    </row>
    <row r="696" spans="1:25">
      <c r="A696" s="2263"/>
      <c r="B696" s="2263"/>
      <c r="C696" s="2263"/>
      <c r="D696" s="2263"/>
      <c r="E696" s="1462"/>
      <c r="R696" s="1463"/>
      <c r="S696" s="1463"/>
      <c r="T696" s="1463"/>
      <c r="U696" s="1463"/>
      <c r="V696" s="1463"/>
      <c r="W696" s="1463"/>
      <c r="X696" s="1463"/>
      <c r="Y696" s="1463"/>
    </row>
    <row r="697" spans="1:25">
      <c r="A697" s="2263"/>
      <c r="B697" s="2263"/>
      <c r="C697" s="2263"/>
      <c r="D697" s="2263"/>
      <c r="E697" s="1462"/>
      <c r="R697" s="1463"/>
      <c r="S697" s="1463"/>
      <c r="T697" s="1463"/>
      <c r="U697" s="1463"/>
      <c r="V697" s="1463"/>
      <c r="W697" s="1463"/>
      <c r="X697" s="1463"/>
      <c r="Y697" s="1463"/>
    </row>
    <row r="698" spans="1:25">
      <c r="A698" s="2263"/>
      <c r="B698" s="2263"/>
      <c r="C698" s="2263"/>
      <c r="D698" s="2263"/>
      <c r="E698" s="1462"/>
      <c r="R698" s="1463"/>
      <c r="S698" s="1463"/>
      <c r="T698" s="1463"/>
      <c r="U698" s="1463"/>
      <c r="V698" s="1463"/>
      <c r="W698" s="1463"/>
      <c r="X698" s="1463"/>
      <c r="Y698" s="1463"/>
    </row>
    <row r="699" spans="1:25">
      <c r="A699" s="2263"/>
      <c r="B699" s="2263"/>
      <c r="C699" s="2263"/>
      <c r="D699" s="2263"/>
      <c r="E699" s="1462"/>
      <c r="R699" s="1463"/>
      <c r="S699" s="1463"/>
      <c r="T699" s="1463"/>
      <c r="U699" s="1463"/>
      <c r="V699" s="1463"/>
      <c r="W699" s="1463"/>
      <c r="X699" s="1463"/>
      <c r="Y699" s="1463"/>
    </row>
    <row r="700" spans="1:25">
      <c r="A700" s="2263"/>
      <c r="B700" s="2263"/>
      <c r="C700" s="2263"/>
      <c r="D700" s="2263"/>
      <c r="E700" s="1462"/>
      <c r="R700" s="1463"/>
      <c r="S700" s="1463"/>
      <c r="T700" s="1463"/>
      <c r="U700" s="1463"/>
      <c r="V700" s="1463"/>
      <c r="W700" s="1463"/>
      <c r="X700" s="1463"/>
      <c r="Y700" s="1463"/>
    </row>
    <row r="701" spans="1:25">
      <c r="A701" s="2263"/>
      <c r="B701" s="2263"/>
      <c r="C701" s="2263"/>
      <c r="D701" s="2263"/>
      <c r="E701" s="1462"/>
      <c r="R701" s="1463"/>
      <c r="S701" s="1463"/>
      <c r="T701" s="1463"/>
      <c r="U701" s="1463"/>
      <c r="V701" s="1463"/>
      <c r="W701" s="1463"/>
      <c r="X701" s="1463"/>
      <c r="Y701" s="1463"/>
    </row>
    <row r="702" spans="1:25">
      <c r="A702" s="2263"/>
      <c r="B702" s="2263"/>
      <c r="C702" s="2263"/>
      <c r="D702" s="2263"/>
      <c r="E702" s="1462"/>
      <c r="R702" s="1463"/>
      <c r="S702" s="1463"/>
      <c r="T702" s="1463"/>
      <c r="U702" s="1463"/>
      <c r="V702" s="1463"/>
      <c r="W702" s="1463"/>
      <c r="X702" s="1463"/>
      <c r="Y702" s="1463"/>
    </row>
    <row r="703" spans="1:25">
      <c r="A703" s="2263"/>
      <c r="B703" s="2263"/>
      <c r="C703" s="2263"/>
      <c r="D703" s="2263"/>
      <c r="E703" s="1462"/>
      <c r="R703" s="1463"/>
      <c r="S703" s="1463"/>
      <c r="T703" s="1463"/>
      <c r="U703" s="1463"/>
      <c r="V703" s="1463"/>
      <c r="W703" s="1463"/>
      <c r="X703" s="1463"/>
      <c r="Y703" s="1463"/>
    </row>
    <row r="704" spans="1:25">
      <c r="A704" s="2263"/>
      <c r="B704" s="2263"/>
      <c r="C704" s="2263"/>
      <c r="D704" s="2263"/>
      <c r="E704" s="1462"/>
      <c r="R704" s="1463"/>
      <c r="S704" s="1463"/>
      <c r="T704" s="1463"/>
      <c r="U704" s="1463"/>
      <c r="V704" s="1463"/>
      <c r="W704" s="1463"/>
      <c r="X704" s="1463"/>
      <c r="Y704" s="1463"/>
    </row>
    <row r="705" spans="1:25">
      <c r="A705" s="2263"/>
      <c r="B705" s="2263"/>
      <c r="C705" s="2263"/>
      <c r="D705" s="2263"/>
      <c r="E705" s="1462"/>
      <c r="R705" s="1463"/>
      <c r="S705" s="1463"/>
      <c r="T705" s="1463"/>
      <c r="U705" s="1463"/>
      <c r="V705" s="1463"/>
      <c r="W705" s="1463"/>
      <c r="X705" s="1463"/>
      <c r="Y705" s="1463"/>
    </row>
    <row r="706" spans="1:25">
      <c r="A706" s="2263"/>
      <c r="B706" s="2263"/>
      <c r="C706" s="2263"/>
      <c r="D706" s="2263"/>
      <c r="E706" s="1462"/>
      <c r="R706" s="1463"/>
      <c r="S706" s="1463"/>
      <c r="T706" s="1463"/>
      <c r="U706" s="1463"/>
      <c r="V706" s="1463"/>
      <c r="W706" s="1463"/>
      <c r="X706" s="1463"/>
      <c r="Y706" s="1463"/>
    </row>
    <row r="707" spans="1:25">
      <c r="A707" s="2263"/>
      <c r="B707" s="2263"/>
      <c r="C707" s="2263"/>
      <c r="D707" s="2263"/>
      <c r="E707" s="1462"/>
      <c r="R707" s="1463"/>
      <c r="S707" s="1463"/>
      <c r="T707" s="1463"/>
      <c r="U707" s="1463"/>
      <c r="V707" s="1463"/>
      <c r="W707" s="1463"/>
      <c r="X707" s="1463"/>
      <c r="Y707" s="1463"/>
    </row>
    <row r="708" spans="1:25">
      <c r="A708" s="2263"/>
      <c r="B708" s="2263"/>
      <c r="C708" s="2263"/>
      <c r="D708" s="2263"/>
      <c r="E708" s="1462"/>
      <c r="R708" s="1463"/>
      <c r="S708" s="1463"/>
      <c r="T708" s="1463"/>
      <c r="U708" s="1463"/>
      <c r="V708" s="1463"/>
      <c r="W708" s="1463"/>
      <c r="X708" s="1463"/>
      <c r="Y708" s="1463"/>
    </row>
    <row r="709" spans="1:25">
      <c r="A709" s="2263"/>
      <c r="B709" s="2263"/>
      <c r="C709" s="2263"/>
      <c r="D709" s="2263"/>
      <c r="E709" s="1462"/>
      <c r="R709" s="1463"/>
      <c r="S709" s="1463"/>
      <c r="T709" s="1463"/>
      <c r="U709" s="1463"/>
      <c r="V709" s="1463"/>
      <c r="W709" s="1463"/>
      <c r="X709" s="1463"/>
      <c r="Y709" s="1463"/>
    </row>
    <row r="710" spans="1:25">
      <c r="A710" s="2263"/>
      <c r="B710" s="2263"/>
      <c r="C710" s="2263"/>
      <c r="D710" s="2263"/>
      <c r="E710" s="1462"/>
      <c r="R710" s="1463"/>
      <c r="S710" s="1463"/>
      <c r="T710" s="1463"/>
      <c r="U710" s="1463"/>
      <c r="V710" s="1463"/>
      <c r="W710" s="1463"/>
      <c r="X710" s="1463"/>
      <c r="Y710" s="1463"/>
    </row>
    <row r="711" spans="1:25">
      <c r="A711" s="2263"/>
      <c r="B711" s="2263"/>
      <c r="C711" s="2263"/>
      <c r="D711" s="2263"/>
      <c r="E711" s="1462"/>
      <c r="R711" s="1463"/>
      <c r="S711" s="1463"/>
      <c r="T711" s="1463"/>
      <c r="U711" s="1463"/>
      <c r="V711" s="1463"/>
      <c r="W711" s="1463"/>
      <c r="X711" s="1463"/>
      <c r="Y711" s="1463"/>
    </row>
    <row r="712" spans="1:25">
      <c r="A712" s="2263"/>
      <c r="B712" s="2263"/>
      <c r="C712" s="2263"/>
      <c r="D712" s="2263"/>
      <c r="E712" s="1462"/>
      <c r="R712" s="1463"/>
      <c r="S712" s="1463"/>
      <c r="T712" s="1463"/>
      <c r="U712" s="1463"/>
      <c r="V712" s="1463"/>
      <c r="W712" s="1463"/>
      <c r="X712" s="1463"/>
      <c r="Y712" s="1463"/>
    </row>
    <row r="713" spans="1:25">
      <c r="A713" s="2263"/>
      <c r="B713" s="2263"/>
      <c r="C713" s="2263"/>
      <c r="D713" s="2263"/>
      <c r="E713" s="1462"/>
      <c r="R713" s="1463"/>
      <c r="S713" s="1463"/>
      <c r="T713" s="1463"/>
      <c r="U713" s="1463"/>
      <c r="V713" s="1463"/>
      <c r="W713" s="1463"/>
      <c r="X713" s="1463"/>
      <c r="Y713" s="1463"/>
    </row>
    <row r="714" spans="1:25">
      <c r="A714" s="2263"/>
      <c r="B714" s="2263"/>
      <c r="C714" s="2263"/>
      <c r="D714" s="2263"/>
      <c r="E714" s="1462"/>
      <c r="R714" s="1463"/>
      <c r="S714" s="1463"/>
      <c r="T714" s="1463"/>
      <c r="U714" s="1463"/>
      <c r="V714" s="1463"/>
      <c r="W714" s="1463"/>
      <c r="X714" s="1463"/>
      <c r="Y714" s="1463"/>
    </row>
    <row r="715" spans="1:25">
      <c r="A715" s="2263"/>
      <c r="B715" s="2263"/>
      <c r="C715" s="2263"/>
      <c r="D715" s="2263"/>
      <c r="E715" s="1462"/>
      <c r="R715" s="1463"/>
      <c r="S715" s="1463"/>
      <c r="T715" s="1463"/>
      <c r="U715" s="1463"/>
      <c r="V715" s="1463"/>
      <c r="W715" s="1463"/>
      <c r="X715" s="1463"/>
      <c r="Y715" s="1463"/>
    </row>
    <row r="716" spans="1:25">
      <c r="A716" s="2263"/>
      <c r="B716" s="2263"/>
      <c r="C716" s="2263"/>
      <c r="D716" s="2263"/>
      <c r="E716" s="1462"/>
      <c r="R716" s="1463"/>
      <c r="S716" s="1463"/>
      <c r="T716" s="1463"/>
      <c r="U716" s="1463"/>
      <c r="V716" s="1463"/>
      <c r="W716" s="1463"/>
      <c r="X716" s="1463"/>
      <c r="Y716" s="1463"/>
    </row>
    <row r="717" spans="1:25">
      <c r="A717" s="2263"/>
      <c r="B717" s="2263"/>
      <c r="C717" s="2263"/>
      <c r="D717" s="2263"/>
      <c r="E717" s="1462"/>
      <c r="R717" s="1463"/>
      <c r="S717" s="1463"/>
      <c r="T717" s="1463"/>
      <c r="U717" s="1463"/>
      <c r="V717" s="1463"/>
      <c r="W717" s="1463"/>
      <c r="X717" s="1463"/>
      <c r="Y717" s="1463"/>
    </row>
    <row r="718" spans="1:25">
      <c r="A718" s="2263"/>
      <c r="B718" s="2263"/>
      <c r="C718" s="2263"/>
      <c r="D718" s="2263"/>
      <c r="E718" s="1462"/>
      <c r="R718" s="1463"/>
      <c r="S718" s="1463"/>
      <c r="T718" s="1463"/>
      <c r="U718" s="1463"/>
      <c r="V718" s="1463"/>
      <c r="W718" s="1463"/>
      <c r="X718" s="1463"/>
      <c r="Y718" s="1463"/>
    </row>
    <row r="719" spans="1:25">
      <c r="A719" s="2263"/>
      <c r="B719" s="2263"/>
      <c r="C719" s="2263"/>
      <c r="D719" s="2263"/>
      <c r="E719" s="1462"/>
      <c r="R719" s="1463"/>
      <c r="S719" s="1463"/>
      <c r="T719" s="1463"/>
      <c r="U719" s="1463"/>
      <c r="V719" s="1463"/>
      <c r="W719" s="1463"/>
      <c r="X719" s="1463"/>
      <c r="Y719" s="1463"/>
    </row>
    <row r="720" spans="1:25">
      <c r="A720" s="2263"/>
      <c r="B720" s="2263"/>
      <c r="C720" s="2263"/>
      <c r="D720" s="2263"/>
      <c r="E720" s="1462"/>
      <c r="R720" s="1463"/>
      <c r="S720" s="1463"/>
      <c r="T720" s="1463"/>
      <c r="U720" s="1463"/>
      <c r="V720" s="1463"/>
      <c r="W720" s="1463"/>
      <c r="X720" s="1463"/>
      <c r="Y720" s="1463"/>
    </row>
    <row r="721" spans="1:25">
      <c r="A721" s="2263"/>
      <c r="B721" s="2263"/>
      <c r="C721" s="2263"/>
      <c r="D721" s="2263"/>
      <c r="E721" s="1462"/>
      <c r="R721" s="1463"/>
      <c r="S721" s="1463"/>
      <c r="T721" s="1463"/>
      <c r="U721" s="1463"/>
      <c r="V721" s="1463"/>
      <c r="W721" s="1463"/>
      <c r="X721" s="1463"/>
      <c r="Y721" s="1463"/>
    </row>
    <row r="722" spans="1:25">
      <c r="A722" s="2263"/>
      <c r="B722" s="2263"/>
      <c r="C722" s="2263"/>
      <c r="D722" s="2263"/>
      <c r="E722" s="1462"/>
      <c r="R722" s="1463"/>
      <c r="S722" s="1463"/>
      <c r="T722" s="1463"/>
      <c r="U722" s="1463"/>
      <c r="V722" s="1463"/>
      <c r="W722" s="1463"/>
      <c r="X722" s="1463"/>
      <c r="Y722" s="1463"/>
    </row>
    <row r="723" spans="1:25">
      <c r="A723" s="2263"/>
      <c r="B723" s="2263"/>
      <c r="C723" s="2263"/>
      <c r="D723" s="2263"/>
      <c r="E723" s="1462"/>
      <c r="R723" s="1463"/>
      <c r="S723" s="1463"/>
      <c r="T723" s="1463"/>
      <c r="U723" s="1463"/>
      <c r="V723" s="1463"/>
      <c r="W723" s="1463"/>
      <c r="X723" s="1463"/>
      <c r="Y723" s="1463"/>
    </row>
    <row r="724" spans="1:25">
      <c r="A724" s="2263"/>
      <c r="B724" s="2263"/>
      <c r="C724" s="2263"/>
      <c r="D724" s="2263"/>
      <c r="E724" s="1462"/>
      <c r="R724" s="1463"/>
      <c r="S724" s="1463"/>
      <c r="T724" s="1463"/>
      <c r="U724" s="1463"/>
      <c r="V724" s="1463"/>
      <c r="W724" s="1463"/>
      <c r="X724" s="1463"/>
      <c r="Y724" s="1463"/>
    </row>
    <row r="725" spans="1:25">
      <c r="A725" s="2263"/>
      <c r="B725" s="2263"/>
      <c r="C725" s="2263"/>
      <c r="D725" s="2263"/>
      <c r="E725" s="1462"/>
      <c r="R725" s="1463"/>
      <c r="S725" s="1463"/>
      <c r="T725" s="1463"/>
      <c r="U725" s="1463"/>
      <c r="V725" s="1463"/>
      <c r="W725" s="1463"/>
      <c r="X725" s="1463"/>
      <c r="Y725" s="1463"/>
    </row>
    <row r="726" spans="1:25">
      <c r="A726" s="2263"/>
      <c r="B726" s="2263"/>
      <c r="C726" s="2263"/>
      <c r="D726" s="2263"/>
      <c r="E726" s="1462"/>
      <c r="R726" s="1463"/>
      <c r="S726" s="1463"/>
      <c r="T726" s="1463"/>
      <c r="U726" s="1463"/>
      <c r="V726" s="1463"/>
      <c r="W726" s="1463"/>
      <c r="X726" s="1463"/>
      <c r="Y726" s="1463"/>
    </row>
    <row r="727" spans="1:25">
      <c r="A727" s="2263"/>
      <c r="B727" s="2263"/>
      <c r="C727" s="2263"/>
      <c r="D727" s="2263"/>
      <c r="E727" s="1462"/>
      <c r="R727" s="1463"/>
      <c r="S727" s="1463"/>
      <c r="T727" s="1463"/>
      <c r="U727" s="1463"/>
      <c r="V727" s="1463"/>
      <c r="W727" s="1463"/>
      <c r="X727" s="1463"/>
      <c r="Y727" s="1463"/>
    </row>
    <row r="728" spans="1:25">
      <c r="A728" s="2263"/>
      <c r="B728" s="2263"/>
      <c r="C728" s="2263"/>
      <c r="D728" s="2263"/>
      <c r="E728" s="1462"/>
      <c r="R728" s="1463"/>
      <c r="S728" s="1463"/>
      <c r="T728" s="1463"/>
      <c r="U728" s="1463"/>
      <c r="V728" s="1463"/>
      <c r="W728" s="1463"/>
      <c r="X728" s="1463"/>
      <c r="Y728" s="1463"/>
    </row>
    <row r="729" spans="1:25">
      <c r="A729" s="2263"/>
      <c r="B729" s="2263"/>
      <c r="C729" s="2263"/>
      <c r="D729" s="2263"/>
      <c r="E729" s="1462"/>
      <c r="R729" s="1463"/>
      <c r="S729" s="1463"/>
      <c r="T729" s="1463"/>
      <c r="U729" s="1463"/>
      <c r="V729" s="1463"/>
      <c r="W729" s="1463"/>
      <c r="X729" s="1463"/>
      <c r="Y729" s="1463"/>
    </row>
    <row r="730" spans="1:25">
      <c r="A730" s="2263"/>
      <c r="B730" s="2263"/>
      <c r="C730" s="2263"/>
      <c r="D730" s="2263"/>
      <c r="E730" s="1462"/>
      <c r="R730" s="1463"/>
      <c r="S730" s="1463"/>
      <c r="T730" s="1463"/>
      <c r="U730" s="1463"/>
      <c r="V730" s="1463"/>
      <c r="W730" s="1463"/>
      <c r="X730" s="1463"/>
      <c r="Y730" s="1463"/>
    </row>
    <row r="731" spans="1:25">
      <c r="A731" s="2263"/>
      <c r="B731" s="2263"/>
      <c r="C731" s="2263"/>
      <c r="D731" s="2263"/>
      <c r="E731" s="1462"/>
      <c r="R731" s="1463"/>
      <c r="S731" s="1463"/>
      <c r="T731" s="1463"/>
      <c r="U731" s="1463"/>
      <c r="V731" s="1463"/>
      <c r="W731" s="1463"/>
      <c r="X731" s="1463"/>
      <c r="Y731" s="1463"/>
    </row>
    <row r="732" spans="1:25">
      <c r="A732" s="2263"/>
      <c r="B732" s="2263"/>
      <c r="C732" s="2263"/>
      <c r="D732" s="2263"/>
      <c r="E732" s="1462"/>
      <c r="R732" s="1463"/>
      <c r="S732" s="1463"/>
      <c r="T732" s="1463"/>
      <c r="U732" s="1463"/>
      <c r="V732" s="1463"/>
      <c r="W732" s="1463"/>
      <c r="X732" s="1463"/>
      <c r="Y732" s="1463"/>
    </row>
    <row r="733" spans="1:25">
      <c r="A733" s="2263"/>
      <c r="B733" s="2263"/>
      <c r="C733" s="2263"/>
      <c r="D733" s="2263"/>
      <c r="E733" s="1462"/>
      <c r="R733" s="1463"/>
      <c r="S733" s="1463"/>
      <c r="T733" s="1463"/>
      <c r="U733" s="1463"/>
      <c r="V733" s="1463"/>
      <c r="W733" s="1463"/>
      <c r="X733" s="1463"/>
      <c r="Y733" s="1463"/>
    </row>
    <row r="734" spans="1:25">
      <c r="A734" s="2263"/>
      <c r="B734" s="2263"/>
      <c r="C734" s="2263"/>
      <c r="D734" s="2263"/>
      <c r="E734" s="1462"/>
      <c r="R734" s="1463"/>
      <c r="S734" s="1463"/>
      <c r="T734" s="1463"/>
      <c r="U734" s="1463"/>
      <c r="V734" s="1463"/>
      <c r="W734" s="1463"/>
      <c r="X734" s="1463"/>
      <c r="Y734" s="1463"/>
    </row>
    <row r="735" spans="1:25">
      <c r="A735" s="2263"/>
      <c r="B735" s="2263"/>
      <c r="C735" s="2263"/>
      <c r="D735" s="2263"/>
      <c r="E735" s="1462"/>
      <c r="R735" s="1463"/>
      <c r="S735" s="1463"/>
      <c r="T735" s="1463"/>
      <c r="U735" s="1463"/>
      <c r="V735" s="1463"/>
      <c r="W735" s="1463"/>
      <c r="X735" s="1463"/>
      <c r="Y735" s="1463"/>
    </row>
    <row r="736" spans="1:25">
      <c r="A736" s="2263"/>
      <c r="B736" s="2263"/>
      <c r="C736" s="2263"/>
      <c r="D736" s="2263"/>
      <c r="E736" s="1462"/>
      <c r="R736" s="1463"/>
      <c r="S736" s="1463"/>
      <c r="T736" s="1463"/>
      <c r="U736" s="1463"/>
      <c r="V736" s="1463"/>
      <c r="W736" s="1463"/>
      <c r="X736" s="1463"/>
      <c r="Y736" s="1463"/>
    </row>
    <row r="737" spans="1:25">
      <c r="A737" s="2263"/>
      <c r="B737" s="2263"/>
      <c r="C737" s="2263"/>
      <c r="D737" s="2263"/>
      <c r="E737" s="1462"/>
      <c r="R737" s="1463"/>
      <c r="S737" s="1463"/>
      <c r="T737" s="1463"/>
      <c r="U737" s="1463"/>
      <c r="V737" s="1463"/>
      <c r="W737" s="1463"/>
      <c r="X737" s="1463"/>
      <c r="Y737" s="1463"/>
    </row>
    <row r="738" spans="1:25">
      <c r="A738" s="2263"/>
      <c r="B738" s="2263"/>
      <c r="C738" s="2263"/>
      <c r="D738" s="2263"/>
      <c r="E738" s="1462"/>
      <c r="R738" s="1463"/>
      <c r="S738" s="1463"/>
      <c r="T738" s="1463"/>
      <c r="U738" s="1463"/>
      <c r="V738" s="1463"/>
      <c r="W738" s="1463"/>
      <c r="X738" s="1463"/>
      <c r="Y738" s="1463"/>
    </row>
    <row r="739" spans="1:25">
      <c r="A739" s="2263"/>
      <c r="B739" s="2263"/>
      <c r="C739" s="2263"/>
      <c r="D739" s="2263"/>
      <c r="E739" s="1462"/>
      <c r="R739" s="1463"/>
      <c r="S739" s="1463"/>
      <c r="T739" s="1463"/>
      <c r="U739" s="1463"/>
      <c r="V739" s="1463"/>
      <c r="W739" s="1463"/>
      <c r="X739" s="1463"/>
      <c r="Y739" s="1463"/>
    </row>
    <row r="740" spans="1:25">
      <c r="A740" s="2263"/>
      <c r="B740" s="2263"/>
      <c r="C740" s="2263"/>
      <c r="D740" s="2263"/>
      <c r="E740" s="1462"/>
      <c r="R740" s="1463"/>
      <c r="S740" s="1463"/>
      <c r="T740" s="1463"/>
      <c r="U740" s="1463"/>
      <c r="V740" s="1463"/>
      <c r="W740" s="1463"/>
      <c r="X740" s="1463"/>
      <c r="Y740" s="1463"/>
    </row>
    <row r="741" spans="1:25">
      <c r="A741" s="2263"/>
      <c r="B741" s="2263"/>
      <c r="C741" s="2263"/>
      <c r="D741" s="2263"/>
      <c r="E741" s="1462"/>
      <c r="R741" s="1463"/>
      <c r="S741" s="1463"/>
      <c r="T741" s="1463"/>
      <c r="U741" s="1463"/>
      <c r="V741" s="1463"/>
      <c r="W741" s="1463"/>
      <c r="X741" s="1463"/>
      <c r="Y741" s="1463"/>
    </row>
    <row r="742" spans="1:25">
      <c r="A742" s="2263"/>
      <c r="B742" s="2263"/>
      <c r="C742" s="2263"/>
      <c r="D742" s="2263"/>
      <c r="E742" s="1462"/>
      <c r="R742" s="1463"/>
      <c r="S742" s="1463"/>
      <c r="T742" s="1463"/>
      <c r="U742" s="1463"/>
      <c r="V742" s="1463"/>
      <c r="W742" s="1463"/>
      <c r="X742" s="1463"/>
      <c r="Y742" s="1463"/>
    </row>
    <row r="743" spans="1:25">
      <c r="A743" s="2263"/>
      <c r="B743" s="2263"/>
      <c r="C743" s="2263"/>
      <c r="D743" s="2263"/>
      <c r="E743" s="1462"/>
      <c r="R743" s="1463"/>
      <c r="S743" s="1463"/>
      <c r="T743" s="1463"/>
      <c r="U743" s="1463"/>
      <c r="V743" s="1463"/>
      <c r="W743" s="1463"/>
      <c r="X743" s="1463"/>
      <c r="Y743" s="1463"/>
    </row>
    <row r="744" spans="1:25">
      <c r="A744" s="2263"/>
      <c r="B744" s="2263"/>
      <c r="C744" s="2263"/>
      <c r="D744" s="2263"/>
      <c r="E744" s="1462"/>
      <c r="R744" s="1463"/>
      <c r="S744" s="1463"/>
      <c r="T744" s="1463"/>
      <c r="U744" s="1463"/>
      <c r="V744" s="1463"/>
      <c r="W744" s="1463"/>
      <c r="X744" s="1463"/>
      <c r="Y744" s="1463"/>
    </row>
    <row r="745" spans="1:25">
      <c r="A745" s="2263"/>
      <c r="B745" s="2263"/>
      <c r="C745" s="2263"/>
      <c r="D745" s="2263"/>
      <c r="E745" s="1462"/>
      <c r="R745" s="1463"/>
      <c r="S745" s="1463"/>
      <c r="T745" s="1463"/>
      <c r="U745" s="1463"/>
      <c r="V745" s="1463"/>
      <c r="W745" s="1463"/>
      <c r="X745" s="1463"/>
      <c r="Y745" s="1463"/>
    </row>
    <row r="746" spans="1:25">
      <c r="A746" s="2263"/>
      <c r="B746" s="2263"/>
      <c r="C746" s="2263"/>
      <c r="D746" s="2263"/>
      <c r="E746" s="1462"/>
      <c r="R746" s="1463"/>
      <c r="S746" s="1463"/>
      <c r="T746" s="1463"/>
      <c r="U746" s="1463"/>
      <c r="V746" s="1463"/>
      <c r="W746" s="1463"/>
      <c r="X746" s="1463"/>
      <c r="Y746" s="1463"/>
    </row>
    <row r="747" spans="1:25">
      <c r="A747" s="2263"/>
      <c r="B747" s="2263"/>
      <c r="C747" s="2263"/>
      <c r="D747" s="2263"/>
      <c r="E747" s="1462"/>
      <c r="R747" s="1463"/>
      <c r="S747" s="1463"/>
      <c r="T747" s="1463"/>
      <c r="U747" s="1463"/>
      <c r="V747" s="1463"/>
      <c r="W747" s="1463"/>
      <c r="X747" s="1463"/>
      <c r="Y747" s="1463"/>
    </row>
    <row r="748" spans="1:25">
      <c r="A748" s="2263"/>
      <c r="B748" s="2263"/>
      <c r="C748" s="2263"/>
      <c r="D748" s="2263"/>
      <c r="E748" s="1462"/>
      <c r="R748" s="1463"/>
      <c r="S748" s="1463"/>
      <c r="T748" s="1463"/>
      <c r="U748" s="1463"/>
      <c r="V748" s="1463"/>
      <c r="W748" s="1463"/>
      <c r="X748" s="1463"/>
      <c r="Y748" s="1463"/>
    </row>
    <row r="749" spans="1:25">
      <c r="A749" s="2263"/>
      <c r="B749" s="2263"/>
      <c r="C749" s="2263"/>
      <c r="D749" s="2263"/>
      <c r="E749" s="1462"/>
      <c r="R749" s="1463"/>
      <c r="S749" s="1463"/>
      <c r="T749" s="1463"/>
      <c r="U749" s="1463"/>
      <c r="V749" s="1463"/>
      <c r="W749" s="1463"/>
      <c r="X749" s="1463"/>
      <c r="Y749" s="1463"/>
    </row>
    <row r="750" spans="1:25">
      <c r="A750" s="2263"/>
      <c r="B750" s="2263"/>
      <c r="C750" s="2263"/>
      <c r="D750" s="2263"/>
      <c r="E750" s="1462"/>
      <c r="R750" s="1463"/>
      <c r="S750" s="1463"/>
      <c r="T750" s="1463"/>
      <c r="U750" s="1463"/>
      <c r="V750" s="1463"/>
      <c r="W750" s="1463"/>
      <c r="X750" s="1463"/>
      <c r="Y750" s="1463"/>
    </row>
    <row r="751" spans="1:25">
      <c r="A751" s="2263"/>
      <c r="B751" s="2263"/>
      <c r="C751" s="2263"/>
      <c r="D751" s="2263"/>
      <c r="E751" s="1462"/>
      <c r="R751" s="1463"/>
      <c r="S751" s="1463"/>
      <c r="T751" s="1463"/>
      <c r="U751" s="1463"/>
      <c r="V751" s="1463"/>
      <c r="W751" s="1463"/>
      <c r="X751" s="1463"/>
      <c r="Y751" s="1463"/>
    </row>
    <row r="752" spans="1:25">
      <c r="A752" s="2263"/>
      <c r="B752" s="2263"/>
      <c r="C752" s="2263"/>
      <c r="D752" s="2263"/>
      <c r="E752" s="1462"/>
      <c r="R752" s="1463"/>
      <c r="S752" s="1463"/>
      <c r="T752" s="1463"/>
      <c r="U752" s="1463"/>
      <c r="V752" s="1463"/>
      <c r="W752" s="1463"/>
      <c r="X752" s="1463"/>
      <c r="Y752" s="1463"/>
    </row>
    <row r="753" spans="1:25">
      <c r="A753" s="2263"/>
      <c r="B753" s="2263"/>
      <c r="C753" s="2263"/>
      <c r="D753" s="2263"/>
      <c r="E753" s="1462"/>
      <c r="R753" s="1463"/>
      <c r="S753" s="1463"/>
      <c r="T753" s="1463"/>
      <c r="U753" s="1463"/>
      <c r="V753" s="1463"/>
      <c r="W753" s="1463"/>
      <c r="X753" s="1463"/>
      <c r="Y753" s="1463"/>
    </row>
    <row r="754" spans="1:25">
      <c r="A754" s="2263"/>
      <c r="B754" s="2263"/>
      <c r="C754" s="2263"/>
      <c r="D754" s="2263"/>
      <c r="E754" s="1462"/>
      <c r="R754" s="1463"/>
      <c r="S754" s="1463"/>
      <c r="T754" s="1463"/>
      <c r="U754" s="1463"/>
      <c r="V754" s="1463"/>
      <c r="W754" s="1463"/>
      <c r="X754" s="1463"/>
      <c r="Y754" s="1463"/>
    </row>
    <row r="755" spans="1:25">
      <c r="A755" s="2263"/>
      <c r="B755" s="2263"/>
      <c r="C755" s="2263"/>
      <c r="D755" s="2263"/>
      <c r="E755" s="1462"/>
      <c r="R755" s="1463"/>
      <c r="S755" s="1463"/>
      <c r="T755" s="1463"/>
      <c r="U755" s="1463"/>
      <c r="V755" s="1463"/>
      <c r="W755" s="1463"/>
      <c r="X755" s="1463"/>
      <c r="Y755" s="1463"/>
    </row>
    <row r="756" spans="1:25">
      <c r="A756" s="2263"/>
      <c r="B756" s="2263"/>
      <c r="C756" s="2263"/>
      <c r="D756" s="2263"/>
      <c r="E756" s="1462"/>
      <c r="R756" s="1463"/>
      <c r="S756" s="1463"/>
      <c r="T756" s="1463"/>
      <c r="U756" s="1463"/>
      <c r="V756" s="1463"/>
      <c r="W756" s="1463"/>
      <c r="X756" s="1463"/>
      <c r="Y756" s="1463"/>
    </row>
    <row r="757" spans="1:25">
      <c r="A757" s="2263"/>
      <c r="B757" s="2263"/>
      <c r="C757" s="2263"/>
      <c r="D757" s="2263"/>
      <c r="E757" s="1462"/>
      <c r="R757" s="1463"/>
      <c r="S757" s="1463"/>
      <c r="T757" s="1463"/>
      <c r="U757" s="1463"/>
      <c r="V757" s="1463"/>
      <c r="W757" s="1463"/>
      <c r="X757" s="1463"/>
      <c r="Y757" s="1463"/>
    </row>
    <row r="758" spans="1:25">
      <c r="A758" s="2263"/>
      <c r="B758" s="2263"/>
      <c r="C758" s="2263"/>
      <c r="D758" s="2263"/>
      <c r="E758" s="1462"/>
      <c r="R758" s="1463"/>
      <c r="S758" s="1463"/>
      <c r="T758" s="1463"/>
      <c r="U758" s="1463"/>
      <c r="V758" s="1463"/>
      <c r="W758" s="1463"/>
      <c r="X758" s="1463"/>
      <c r="Y758" s="1463"/>
    </row>
    <row r="759" spans="1:25">
      <c r="A759" s="2263"/>
      <c r="B759" s="2263"/>
      <c r="C759" s="2263"/>
      <c r="D759" s="2263"/>
      <c r="E759" s="1462"/>
      <c r="R759" s="1463"/>
      <c r="S759" s="1463"/>
      <c r="T759" s="1463"/>
      <c r="U759" s="1463"/>
      <c r="V759" s="1463"/>
      <c r="W759" s="1463"/>
      <c r="X759" s="1463"/>
      <c r="Y759" s="1463"/>
    </row>
    <row r="760" spans="1:25">
      <c r="A760" s="2263"/>
      <c r="B760" s="2263"/>
      <c r="C760" s="2263"/>
      <c r="D760" s="2263"/>
      <c r="E760" s="1462"/>
      <c r="R760" s="1463"/>
      <c r="S760" s="1463"/>
      <c r="T760" s="1463"/>
      <c r="U760" s="1463"/>
      <c r="V760" s="1463"/>
      <c r="W760" s="1463"/>
      <c r="X760" s="1463"/>
      <c r="Y760" s="1463"/>
    </row>
    <row r="761" spans="1:25">
      <c r="A761" s="2263"/>
      <c r="B761" s="2263"/>
      <c r="C761" s="2263"/>
      <c r="D761" s="2263"/>
      <c r="E761" s="1462"/>
      <c r="R761" s="1463"/>
      <c r="S761" s="1463"/>
      <c r="T761" s="1463"/>
      <c r="U761" s="1463"/>
      <c r="V761" s="1463"/>
      <c r="W761" s="1463"/>
      <c r="X761" s="1463"/>
      <c r="Y761" s="1463"/>
    </row>
    <row r="762" spans="1:25">
      <c r="A762" s="2263"/>
      <c r="B762" s="2263"/>
      <c r="C762" s="2263"/>
      <c r="D762" s="2263"/>
      <c r="E762" s="1462"/>
      <c r="R762" s="1463"/>
      <c r="S762" s="1463"/>
      <c r="T762" s="1463"/>
      <c r="U762" s="1463"/>
      <c r="V762" s="1463"/>
      <c r="W762" s="1463"/>
      <c r="X762" s="1463"/>
      <c r="Y762" s="1463"/>
    </row>
    <row r="763" spans="1:25">
      <c r="A763" s="2263"/>
      <c r="B763" s="2263"/>
      <c r="C763" s="2263"/>
      <c r="D763" s="2263"/>
      <c r="E763" s="1462"/>
      <c r="R763" s="1463"/>
      <c r="S763" s="1463"/>
      <c r="T763" s="1463"/>
      <c r="U763" s="1463"/>
      <c r="V763" s="1463"/>
      <c r="W763" s="1463"/>
      <c r="X763" s="1463"/>
      <c r="Y763" s="1463"/>
    </row>
    <row r="764" spans="1:25">
      <c r="A764" s="2263"/>
      <c r="B764" s="2263"/>
      <c r="C764" s="2263"/>
      <c r="D764" s="2263"/>
      <c r="E764" s="1462"/>
      <c r="R764" s="1463"/>
      <c r="S764" s="1463"/>
      <c r="T764" s="1463"/>
      <c r="U764" s="1463"/>
      <c r="V764" s="1463"/>
      <c r="W764" s="1463"/>
      <c r="X764" s="1463"/>
      <c r="Y764" s="1463"/>
    </row>
    <row r="765" spans="1:25">
      <c r="A765" s="2263"/>
      <c r="B765" s="2263"/>
      <c r="C765" s="2263"/>
      <c r="D765" s="2263"/>
      <c r="E765" s="1462"/>
      <c r="R765" s="1463"/>
      <c r="S765" s="1463"/>
      <c r="T765" s="1463"/>
      <c r="U765" s="1463"/>
      <c r="V765" s="1463"/>
      <c r="W765" s="1463"/>
      <c r="X765" s="1463"/>
      <c r="Y765" s="1463"/>
    </row>
    <row r="766" spans="1:25">
      <c r="A766" s="2263"/>
      <c r="B766" s="2263"/>
      <c r="C766" s="2263"/>
      <c r="D766" s="2263"/>
      <c r="E766" s="1462"/>
      <c r="R766" s="1463"/>
      <c r="S766" s="1463"/>
      <c r="T766" s="1463"/>
      <c r="U766" s="1463"/>
      <c r="V766" s="1463"/>
      <c r="W766" s="1463"/>
      <c r="X766" s="1463"/>
      <c r="Y766" s="1463"/>
    </row>
    <row r="767" spans="1:25">
      <c r="A767" s="2263"/>
      <c r="B767" s="2263"/>
      <c r="C767" s="2263"/>
      <c r="D767" s="2263"/>
      <c r="E767" s="1462"/>
      <c r="R767" s="1463"/>
      <c r="S767" s="1463"/>
      <c r="T767" s="1463"/>
      <c r="U767" s="1463"/>
      <c r="V767" s="1463"/>
      <c r="W767" s="1463"/>
      <c r="X767" s="1463"/>
      <c r="Y767" s="1463"/>
    </row>
    <row r="768" spans="1:25">
      <c r="A768" s="2263"/>
      <c r="B768" s="2263"/>
      <c r="C768" s="2263"/>
      <c r="D768" s="2263"/>
      <c r="E768" s="1462"/>
      <c r="R768" s="1463"/>
      <c r="S768" s="1463"/>
      <c r="T768" s="1463"/>
      <c r="U768" s="1463"/>
      <c r="V768" s="1463"/>
      <c r="W768" s="1463"/>
      <c r="X768" s="1463"/>
      <c r="Y768" s="1463"/>
    </row>
    <row r="769" spans="1:25">
      <c r="A769" s="2263"/>
      <c r="B769" s="2263"/>
      <c r="C769" s="2263"/>
      <c r="D769" s="2263"/>
      <c r="E769" s="1462"/>
      <c r="R769" s="1463"/>
      <c r="S769" s="1463"/>
      <c r="T769" s="1463"/>
      <c r="U769" s="1463"/>
      <c r="V769" s="1463"/>
      <c r="W769" s="1463"/>
      <c r="X769" s="1463"/>
      <c r="Y769" s="1463"/>
    </row>
    <row r="770" spans="1:25">
      <c r="A770" s="2263"/>
      <c r="B770" s="2263"/>
      <c r="C770" s="2263"/>
      <c r="D770" s="2263"/>
      <c r="E770" s="1462"/>
      <c r="R770" s="1463"/>
      <c r="S770" s="1463"/>
      <c r="T770" s="1463"/>
      <c r="U770" s="1463"/>
      <c r="V770" s="1463"/>
      <c r="W770" s="1463"/>
      <c r="X770" s="1463"/>
      <c r="Y770" s="1463"/>
    </row>
    <row r="771" spans="1:25">
      <c r="A771" s="2263"/>
      <c r="B771" s="2263"/>
      <c r="C771" s="2263"/>
      <c r="D771" s="2263"/>
      <c r="E771" s="1462"/>
      <c r="R771" s="1463"/>
      <c r="S771" s="1463"/>
      <c r="T771" s="1463"/>
      <c r="U771" s="1463"/>
      <c r="V771" s="1463"/>
      <c r="W771" s="1463"/>
      <c r="X771" s="1463"/>
      <c r="Y771" s="1463"/>
    </row>
    <row r="772" spans="1:25">
      <c r="A772" s="2263"/>
      <c r="B772" s="2263"/>
      <c r="C772" s="2263"/>
      <c r="D772" s="2263"/>
      <c r="E772" s="1462"/>
      <c r="R772" s="1463"/>
      <c r="S772" s="1463"/>
      <c r="T772" s="1463"/>
      <c r="U772" s="1463"/>
      <c r="V772" s="1463"/>
      <c r="W772" s="1463"/>
      <c r="X772" s="1463"/>
      <c r="Y772" s="1463"/>
    </row>
    <row r="773" spans="1:25">
      <c r="A773" s="2263"/>
      <c r="B773" s="2263"/>
      <c r="C773" s="2263"/>
      <c r="D773" s="2263"/>
      <c r="E773" s="1462"/>
      <c r="R773" s="1463"/>
      <c r="S773" s="1463"/>
      <c r="T773" s="1463"/>
      <c r="U773" s="1463"/>
      <c r="V773" s="1463"/>
      <c r="W773" s="1463"/>
      <c r="X773" s="1463"/>
      <c r="Y773" s="1463"/>
    </row>
    <row r="774" spans="1:25">
      <c r="A774" s="2263"/>
      <c r="B774" s="2263"/>
      <c r="C774" s="2263"/>
      <c r="D774" s="2263"/>
      <c r="E774" s="1462"/>
      <c r="R774" s="1463"/>
      <c r="S774" s="1463"/>
      <c r="T774" s="1463"/>
      <c r="U774" s="1463"/>
      <c r="V774" s="1463"/>
      <c r="W774" s="1463"/>
      <c r="X774" s="1463"/>
      <c r="Y774" s="1463"/>
    </row>
    <row r="775" spans="1:25">
      <c r="A775" s="2263"/>
      <c r="B775" s="2263"/>
      <c r="C775" s="2263"/>
      <c r="D775" s="2263"/>
      <c r="E775" s="1462"/>
      <c r="R775" s="1463"/>
      <c r="S775" s="1463"/>
      <c r="T775" s="1463"/>
      <c r="U775" s="1463"/>
      <c r="V775" s="1463"/>
      <c r="W775" s="1463"/>
      <c r="X775" s="1463"/>
      <c r="Y775" s="1463"/>
    </row>
    <row r="776" spans="1:25">
      <c r="A776" s="2263"/>
      <c r="B776" s="2263"/>
      <c r="C776" s="2263"/>
      <c r="D776" s="2263"/>
      <c r="E776" s="1462"/>
      <c r="R776" s="1463"/>
      <c r="S776" s="1463"/>
      <c r="T776" s="1463"/>
      <c r="U776" s="1463"/>
      <c r="V776" s="1463"/>
      <c r="W776" s="1463"/>
      <c r="X776" s="1463"/>
      <c r="Y776" s="1463"/>
    </row>
    <row r="777" spans="1:25">
      <c r="A777" s="2263"/>
      <c r="B777" s="2263"/>
      <c r="C777" s="2263"/>
      <c r="D777" s="2263"/>
      <c r="E777" s="1462"/>
      <c r="R777" s="1463"/>
      <c r="S777" s="1463"/>
      <c r="T777" s="1463"/>
      <c r="U777" s="1463"/>
      <c r="V777" s="1463"/>
      <c r="W777" s="1463"/>
      <c r="X777" s="1463"/>
      <c r="Y777" s="1463"/>
    </row>
    <row r="778" spans="1:25">
      <c r="A778" s="2263"/>
      <c r="B778" s="2263"/>
      <c r="C778" s="2263"/>
      <c r="D778" s="2263"/>
      <c r="E778" s="1462"/>
      <c r="R778" s="1463"/>
      <c r="S778" s="1463"/>
      <c r="T778" s="1463"/>
      <c r="U778" s="1463"/>
      <c r="V778" s="1463"/>
      <c r="W778" s="1463"/>
      <c r="X778" s="1463"/>
      <c r="Y778" s="1463"/>
    </row>
    <row r="779" spans="1:25">
      <c r="A779" s="2263"/>
      <c r="B779" s="2263"/>
      <c r="C779" s="2263"/>
      <c r="D779" s="2263"/>
      <c r="E779" s="1462"/>
      <c r="R779" s="1463"/>
      <c r="S779" s="1463"/>
      <c r="T779" s="1463"/>
      <c r="U779" s="1463"/>
      <c r="V779" s="1463"/>
      <c r="W779" s="1463"/>
      <c r="X779" s="1463"/>
      <c r="Y779" s="1463"/>
    </row>
    <row r="780" spans="1:25">
      <c r="A780" s="2263"/>
      <c r="B780" s="2263"/>
      <c r="C780" s="2263"/>
      <c r="D780" s="2263"/>
      <c r="E780" s="1462"/>
      <c r="R780" s="1463"/>
      <c r="S780" s="1463"/>
      <c r="T780" s="1463"/>
      <c r="U780" s="1463"/>
      <c r="V780" s="1463"/>
      <c r="W780" s="1463"/>
      <c r="X780" s="1463"/>
      <c r="Y780" s="1463"/>
    </row>
    <row r="781" spans="1:25">
      <c r="A781" s="2263"/>
      <c r="B781" s="2263"/>
      <c r="C781" s="2263"/>
      <c r="D781" s="2263"/>
      <c r="E781" s="1462"/>
      <c r="R781" s="1463"/>
      <c r="S781" s="1463"/>
      <c r="T781" s="1463"/>
      <c r="U781" s="1463"/>
      <c r="V781" s="1463"/>
      <c r="W781" s="1463"/>
      <c r="X781" s="1463"/>
      <c r="Y781" s="1463"/>
    </row>
    <row r="782" spans="1:25">
      <c r="A782" s="2263"/>
      <c r="B782" s="2263"/>
      <c r="C782" s="2263"/>
      <c r="D782" s="2263"/>
      <c r="E782" s="1462"/>
      <c r="R782" s="1463"/>
      <c r="S782" s="1463"/>
      <c r="T782" s="1463"/>
      <c r="U782" s="1463"/>
      <c r="V782" s="1463"/>
      <c r="W782" s="1463"/>
      <c r="X782" s="1463"/>
      <c r="Y782" s="1463"/>
    </row>
    <row r="783" spans="1:25">
      <c r="A783" s="2263"/>
      <c r="B783" s="2263"/>
      <c r="C783" s="2263"/>
      <c r="D783" s="2263"/>
      <c r="E783" s="1462"/>
      <c r="R783" s="1463"/>
      <c r="S783" s="1463"/>
      <c r="T783" s="1463"/>
      <c r="U783" s="1463"/>
      <c r="V783" s="1463"/>
      <c r="W783" s="1463"/>
      <c r="X783" s="1463"/>
      <c r="Y783" s="1463"/>
    </row>
    <row r="784" spans="1:25">
      <c r="A784" s="2263"/>
      <c r="B784" s="2263"/>
      <c r="C784" s="2263"/>
      <c r="D784" s="2263"/>
      <c r="E784" s="1462"/>
      <c r="R784" s="1463"/>
      <c r="S784" s="1463"/>
      <c r="T784" s="1463"/>
      <c r="U784" s="1463"/>
      <c r="V784" s="1463"/>
      <c r="W784" s="1463"/>
      <c r="X784" s="1463"/>
      <c r="Y784" s="1463"/>
    </row>
    <row r="785" spans="1:25">
      <c r="A785" s="2263"/>
      <c r="B785" s="2263"/>
      <c r="C785" s="2263"/>
      <c r="D785" s="2263"/>
      <c r="E785" s="1462"/>
      <c r="R785" s="1463"/>
      <c r="S785" s="1463"/>
      <c r="T785" s="1463"/>
      <c r="U785" s="1463"/>
      <c r="V785" s="1463"/>
      <c r="W785" s="1463"/>
      <c r="X785" s="1463"/>
      <c r="Y785" s="1463"/>
    </row>
    <row r="786" spans="1:25">
      <c r="A786" s="2263"/>
      <c r="B786" s="2263"/>
      <c r="C786" s="2263"/>
      <c r="D786" s="2263"/>
      <c r="E786" s="1462"/>
      <c r="R786" s="1463"/>
      <c r="S786" s="1463"/>
      <c r="T786" s="1463"/>
      <c r="U786" s="1463"/>
      <c r="V786" s="1463"/>
      <c r="W786" s="1463"/>
      <c r="X786" s="1463"/>
      <c r="Y786" s="1463"/>
    </row>
    <row r="787" spans="1:25">
      <c r="A787" s="2263"/>
      <c r="B787" s="2263"/>
      <c r="C787" s="2263"/>
      <c r="D787" s="2263"/>
      <c r="E787" s="1462"/>
      <c r="R787" s="1463"/>
      <c r="S787" s="1463"/>
      <c r="T787" s="1463"/>
      <c r="U787" s="1463"/>
      <c r="V787" s="1463"/>
      <c r="W787" s="1463"/>
      <c r="X787" s="1463"/>
      <c r="Y787" s="1463"/>
    </row>
    <row r="788" spans="1:25">
      <c r="A788" s="2263"/>
      <c r="B788" s="2263"/>
      <c r="C788" s="2263"/>
      <c r="D788" s="2263"/>
      <c r="E788" s="1462"/>
      <c r="R788" s="1463"/>
      <c r="S788" s="1463"/>
      <c r="T788" s="1463"/>
      <c r="U788" s="1463"/>
      <c r="V788" s="1463"/>
      <c r="W788" s="1463"/>
      <c r="X788" s="1463"/>
      <c r="Y788" s="1463"/>
    </row>
    <row r="789" spans="1:25">
      <c r="A789" s="2263"/>
      <c r="B789" s="2263"/>
      <c r="C789" s="2263"/>
      <c r="D789" s="2263"/>
      <c r="E789" s="1462"/>
      <c r="R789" s="1463"/>
      <c r="S789" s="1463"/>
      <c r="T789" s="1463"/>
      <c r="U789" s="1463"/>
      <c r="V789" s="1463"/>
      <c r="W789" s="1463"/>
      <c r="X789" s="1463"/>
      <c r="Y789" s="1463"/>
    </row>
    <row r="790" spans="1:25">
      <c r="A790" s="2263"/>
      <c r="B790" s="2263"/>
      <c r="C790" s="2263"/>
      <c r="D790" s="2263"/>
      <c r="E790" s="1462"/>
      <c r="R790" s="1463"/>
      <c r="S790" s="1463"/>
      <c r="T790" s="1463"/>
      <c r="U790" s="1463"/>
      <c r="V790" s="1463"/>
      <c r="W790" s="1463"/>
      <c r="X790" s="1463"/>
      <c r="Y790" s="1463"/>
    </row>
    <row r="791" spans="1:25">
      <c r="A791" s="2263"/>
      <c r="B791" s="2263"/>
      <c r="C791" s="2263"/>
      <c r="D791" s="2263"/>
      <c r="E791" s="1462"/>
      <c r="R791" s="1463"/>
      <c r="S791" s="1463"/>
      <c r="T791" s="1463"/>
      <c r="U791" s="1463"/>
      <c r="V791" s="1463"/>
      <c r="W791" s="1463"/>
      <c r="X791" s="1463"/>
      <c r="Y791" s="1463"/>
    </row>
    <row r="792" spans="1:25">
      <c r="A792" s="2263"/>
      <c r="B792" s="2263"/>
      <c r="C792" s="2263"/>
      <c r="D792" s="2263"/>
      <c r="E792" s="1462"/>
      <c r="R792" s="1463"/>
      <c r="S792" s="1463"/>
      <c r="T792" s="1463"/>
      <c r="U792" s="1463"/>
      <c r="V792" s="1463"/>
      <c r="W792" s="1463"/>
      <c r="X792" s="1463"/>
      <c r="Y792" s="1463"/>
    </row>
    <row r="793" spans="1:25">
      <c r="A793" s="2263"/>
      <c r="B793" s="2263"/>
      <c r="C793" s="2263"/>
      <c r="D793" s="2263"/>
      <c r="E793" s="1462"/>
      <c r="R793" s="1463"/>
      <c r="S793" s="1463"/>
      <c r="T793" s="1463"/>
      <c r="U793" s="1463"/>
      <c r="V793" s="1463"/>
      <c r="W793" s="1463"/>
      <c r="X793" s="1463"/>
      <c r="Y793" s="1463"/>
    </row>
    <row r="794" spans="1:25">
      <c r="A794" s="2263"/>
      <c r="B794" s="2263"/>
      <c r="C794" s="2263"/>
      <c r="D794" s="2263"/>
      <c r="E794" s="1462"/>
      <c r="R794" s="1463"/>
      <c r="S794" s="1463"/>
      <c r="T794" s="1463"/>
      <c r="U794" s="1463"/>
      <c r="V794" s="1463"/>
      <c r="W794" s="1463"/>
      <c r="X794" s="1463"/>
      <c r="Y794" s="1463"/>
    </row>
    <row r="795" spans="1:25">
      <c r="A795" s="2263"/>
      <c r="B795" s="2263"/>
      <c r="C795" s="2263"/>
      <c r="D795" s="2263"/>
      <c r="E795" s="1462"/>
      <c r="R795" s="1463"/>
      <c r="S795" s="1463"/>
      <c r="T795" s="1463"/>
      <c r="U795" s="1463"/>
      <c r="V795" s="1463"/>
      <c r="W795" s="1463"/>
      <c r="X795" s="1463"/>
      <c r="Y795" s="1463"/>
    </row>
    <row r="796" spans="1:25">
      <c r="A796" s="2263"/>
      <c r="B796" s="2263"/>
      <c r="C796" s="2263"/>
      <c r="D796" s="2263"/>
      <c r="E796" s="1462"/>
      <c r="R796" s="1463"/>
      <c r="S796" s="1463"/>
      <c r="T796" s="1463"/>
      <c r="U796" s="1463"/>
      <c r="V796" s="1463"/>
      <c r="W796" s="1463"/>
      <c r="X796" s="1463"/>
      <c r="Y796" s="1463"/>
    </row>
    <row r="797" spans="1:25">
      <c r="A797" s="2263"/>
      <c r="B797" s="2263"/>
      <c r="C797" s="2263"/>
      <c r="D797" s="2263"/>
      <c r="E797" s="1462"/>
      <c r="R797" s="1463"/>
      <c r="S797" s="1463"/>
      <c r="T797" s="1463"/>
      <c r="U797" s="1463"/>
      <c r="V797" s="1463"/>
      <c r="W797" s="1463"/>
      <c r="X797" s="1463"/>
      <c r="Y797" s="1463"/>
    </row>
    <row r="798" spans="1:25">
      <c r="A798" s="2263"/>
      <c r="B798" s="2263"/>
      <c r="C798" s="2263"/>
      <c r="D798" s="2263"/>
      <c r="E798" s="1462"/>
      <c r="R798" s="1463"/>
      <c r="S798" s="1463"/>
      <c r="T798" s="1463"/>
      <c r="U798" s="1463"/>
      <c r="V798" s="1463"/>
      <c r="W798" s="1463"/>
      <c r="X798" s="1463"/>
      <c r="Y798" s="1463"/>
    </row>
    <row r="799" spans="1:25">
      <c r="A799" s="2263"/>
      <c r="B799" s="2263"/>
      <c r="C799" s="2263"/>
      <c r="D799" s="2263"/>
      <c r="E799" s="1462"/>
      <c r="R799" s="1463"/>
      <c r="S799" s="1463"/>
      <c r="T799" s="1463"/>
      <c r="U799" s="1463"/>
      <c r="V799" s="1463"/>
      <c r="W799" s="1463"/>
      <c r="X799" s="1463"/>
      <c r="Y799" s="1463"/>
    </row>
    <row r="800" spans="1:25">
      <c r="A800" s="2263"/>
      <c r="B800" s="2263"/>
      <c r="C800" s="2263"/>
      <c r="D800" s="2263"/>
      <c r="E800" s="1462"/>
      <c r="R800" s="1463"/>
      <c r="S800" s="1463"/>
      <c r="T800" s="1463"/>
      <c r="U800" s="1463"/>
      <c r="V800" s="1463"/>
      <c r="W800" s="1463"/>
      <c r="X800" s="1463"/>
      <c r="Y800" s="1463"/>
    </row>
    <row r="801" spans="1:25">
      <c r="A801" s="2263"/>
      <c r="B801" s="2263"/>
      <c r="C801" s="2263"/>
      <c r="D801" s="2263"/>
      <c r="E801" s="1462"/>
      <c r="R801" s="1463"/>
      <c r="S801" s="1463"/>
      <c r="T801" s="1463"/>
      <c r="U801" s="1463"/>
      <c r="V801" s="1463"/>
      <c r="W801" s="1463"/>
      <c r="X801" s="1463"/>
      <c r="Y801" s="1463"/>
    </row>
    <row r="802" spans="1:25">
      <c r="A802" s="2263"/>
      <c r="B802" s="2263"/>
      <c r="C802" s="2263"/>
      <c r="D802" s="2263"/>
      <c r="E802" s="1462"/>
      <c r="R802" s="1463"/>
      <c r="S802" s="1463"/>
      <c r="T802" s="1463"/>
      <c r="U802" s="1463"/>
      <c r="V802" s="1463"/>
      <c r="W802" s="1463"/>
      <c r="X802" s="1463"/>
      <c r="Y802" s="1463"/>
    </row>
    <row r="803" spans="1:25">
      <c r="A803" s="2263"/>
      <c r="B803" s="2263"/>
      <c r="C803" s="2263"/>
      <c r="D803" s="2263"/>
      <c r="E803" s="1462"/>
      <c r="R803" s="1463"/>
      <c r="S803" s="1463"/>
      <c r="T803" s="1463"/>
      <c r="U803" s="1463"/>
      <c r="V803" s="1463"/>
      <c r="W803" s="1463"/>
      <c r="X803" s="1463"/>
      <c r="Y803" s="1463"/>
    </row>
    <row r="804" spans="1:25">
      <c r="A804" s="2263"/>
      <c r="B804" s="2263"/>
      <c r="C804" s="2263"/>
      <c r="D804" s="2263"/>
      <c r="E804" s="1462"/>
      <c r="R804" s="1463"/>
      <c r="S804" s="1463"/>
      <c r="T804" s="1463"/>
      <c r="U804" s="1463"/>
      <c r="V804" s="1463"/>
      <c r="W804" s="1463"/>
      <c r="X804" s="1463"/>
      <c r="Y804" s="1463"/>
    </row>
    <row r="805" spans="1:25">
      <c r="A805" s="2263"/>
      <c r="B805" s="2263"/>
      <c r="C805" s="2263"/>
      <c r="D805" s="2263"/>
      <c r="E805" s="1462"/>
      <c r="R805" s="1463"/>
      <c r="S805" s="1463"/>
      <c r="T805" s="1463"/>
      <c r="U805" s="1463"/>
      <c r="V805" s="1463"/>
      <c r="W805" s="1463"/>
      <c r="X805" s="1463"/>
      <c r="Y805" s="1463"/>
    </row>
    <row r="806" spans="1:25">
      <c r="A806" s="2263"/>
      <c r="B806" s="2263"/>
      <c r="C806" s="2263"/>
      <c r="D806" s="2263"/>
      <c r="E806" s="1462"/>
      <c r="R806" s="1463"/>
      <c r="S806" s="1463"/>
      <c r="T806" s="1463"/>
      <c r="U806" s="1463"/>
      <c r="V806" s="1463"/>
      <c r="W806" s="1463"/>
      <c r="X806" s="1463"/>
      <c r="Y806" s="1463"/>
    </row>
    <row r="807" spans="1:25">
      <c r="A807" s="2263"/>
      <c r="B807" s="2263"/>
      <c r="C807" s="2263"/>
      <c r="D807" s="2263"/>
      <c r="E807" s="1462"/>
      <c r="R807" s="1463"/>
      <c r="S807" s="1463"/>
      <c r="T807" s="1463"/>
      <c r="U807" s="1463"/>
      <c r="V807" s="1463"/>
      <c r="W807" s="1463"/>
      <c r="X807" s="1463"/>
      <c r="Y807" s="1463"/>
    </row>
    <row r="808" spans="1:25">
      <c r="A808" s="2263"/>
      <c r="B808" s="2263"/>
      <c r="C808" s="2263"/>
      <c r="D808" s="2263"/>
      <c r="E808" s="1462"/>
      <c r="R808" s="1463"/>
      <c r="S808" s="1463"/>
      <c r="T808" s="1463"/>
      <c r="U808" s="1463"/>
      <c r="V808" s="1463"/>
      <c r="W808" s="1463"/>
      <c r="X808" s="1463"/>
      <c r="Y808" s="1463"/>
    </row>
    <row r="809" spans="1:25">
      <c r="A809" s="2263"/>
      <c r="B809" s="2263"/>
      <c r="C809" s="2263"/>
      <c r="D809" s="2263"/>
      <c r="E809" s="1462"/>
      <c r="R809" s="1463"/>
      <c r="S809" s="1463"/>
      <c r="T809" s="1463"/>
      <c r="U809" s="1463"/>
      <c r="V809" s="1463"/>
      <c r="W809" s="1463"/>
      <c r="X809" s="1463"/>
      <c r="Y809" s="1463"/>
    </row>
    <row r="810" spans="1:25">
      <c r="A810" s="2263"/>
      <c r="B810" s="2263"/>
      <c r="C810" s="2263"/>
      <c r="D810" s="2263"/>
      <c r="E810" s="1462"/>
      <c r="R810" s="1463"/>
      <c r="S810" s="1463"/>
      <c r="T810" s="1463"/>
      <c r="U810" s="1463"/>
      <c r="V810" s="1463"/>
      <c r="W810" s="1463"/>
      <c r="X810" s="1463"/>
      <c r="Y810" s="1463"/>
    </row>
    <row r="811" spans="1:25">
      <c r="A811" s="2263"/>
      <c r="B811" s="2263"/>
      <c r="C811" s="2263"/>
      <c r="D811" s="2263"/>
      <c r="E811" s="1462"/>
      <c r="R811" s="1463"/>
      <c r="S811" s="1463"/>
      <c r="T811" s="1463"/>
      <c r="U811" s="1463"/>
      <c r="V811" s="1463"/>
      <c r="W811" s="1463"/>
      <c r="X811" s="1463"/>
      <c r="Y811" s="1463"/>
    </row>
    <row r="812" spans="1:25">
      <c r="A812" s="2263"/>
      <c r="B812" s="2263"/>
      <c r="C812" s="2263"/>
      <c r="D812" s="2263"/>
      <c r="E812" s="1462"/>
      <c r="R812" s="1463"/>
      <c r="S812" s="1463"/>
      <c r="T812" s="1463"/>
      <c r="U812" s="1463"/>
      <c r="V812" s="1463"/>
      <c r="W812" s="1463"/>
      <c r="X812" s="1463"/>
      <c r="Y812" s="1463"/>
    </row>
    <row r="813" spans="1:25">
      <c r="A813" s="2263"/>
      <c r="B813" s="2263"/>
      <c r="C813" s="2263"/>
      <c r="D813" s="2263"/>
      <c r="E813" s="1462"/>
      <c r="R813" s="1463"/>
      <c r="S813" s="1463"/>
      <c r="T813" s="1463"/>
      <c r="U813" s="1463"/>
      <c r="V813" s="1463"/>
      <c r="W813" s="1463"/>
      <c r="X813" s="1463"/>
      <c r="Y813" s="1463"/>
    </row>
    <row r="814" spans="1:25">
      <c r="A814" s="2263"/>
      <c r="B814" s="2263"/>
      <c r="C814" s="2263"/>
      <c r="D814" s="2263"/>
      <c r="E814" s="1462"/>
      <c r="R814" s="1463"/>
      <c r="S814" s="1463"/>
      <c r="T814" s="1463"/>
      <c r="U814" s="1463"/>
      <c r="V814" s="1463"/>
      <c r="W814" s="1463"/>
      <c r="X814" s="1463"/>
      <c r="Y814" s="1463"/>
    </row>
    <row r="815" spans="1:25">
      <c r="A815" s="2263"/>
      <c r="B815" s="2263"/>
      <c r="C815" s="2263"/>
      <c r="D815" s="2263"/>
      <c r="E815" s="1462"/>
      <c r="R815" s="1463"/>
      <c r="S815" s="1463"/>
      <c r="T815" s="1463"/>
      <c r="U815" s="1463"/>
      <c r="V815" s="1463"/>
      <c r="W815" s="1463"/>
      <c r="X815" s="1463"/>
      <c r="Y815" s="1463"/>
    </row>
    <row r="816" spans="1:25">
      <c r="A816" s="2263"/>
      <c r="B816" s="2263"/>
      <c r="C816" s="2263"/>
      <c r="D816" s="2263"/>
      <c r="E816" s="1462"/>
      <c r="R816" s="1463"/>
      <c r="S816" s="1463"/>
      <c r="T816" s="1463"/>
      <c r="U816" s="1463"/>
      <c r="V816" s="1463"/>
      <c r="W816" s="1463"/>
      <c r="X816" s="1463"/>
      <c r="Y816" s="1463"/>
    </row>
    <row r="817" spans="1:25">
      <c r="A817" s="2263"/>
      <c r="B817" s="2263"/>
      <c r="C817" s="2263"/>
      <c r="D817" s="2263"/>
      <c r="E817" s="1462"/>
      <c r="R817" s="1463"/>
      <c r="S817" s="1463"/>
      <c r="T817" s="1463"/>
      <c r="U817" s="1463"/>
      <c r="V817" s="1463"/>
      <c r="W817" s="1463"/>
      <c r="X817" s="1463"/>
      <c r="Y817" s="1463"/>
    </row>
    <row r="818" spans="1:25">
      <c r="A818" s="2263"/>
      <c r="B818" s="2263"/>
      <c r="C818" s="2263"/>
      <c r="D818" s="2263"/>
      <c r="E818" s="1462"/>
      <c r="R818" s="1463"/>
      <c r="S818" s="1463"/>
      <c r="T818" s="1463"/>
      <c r="U818" s="1463"/>
      <c r="V818" s="1463"/>
      <c r="W818" s="1463"/>
      <c r="X818" s="1463"/>
      <c r="Y818" s="1463"/>
    </row>
    <row r="819" spans="1:25">
      <c r="A819" s="2263"/>
      <c r="B819" s="2263"/>
      <c r="C819" s="2263"/>
      <c r="D819" s="2263"/>
      <c r="E819" s="1462"/>
      <c r="R819" s="1463"/>
      <c r="S819" s="1463"/>
      <c r="T819" s="1463"/>
      <c r="U819" s="1463"/>
      <c r="V819" s="1463"/>
      <c r="W819" s="1463"/>
      <c r="X819" s="1463"/>
      <c r="Y819" s="1463"/>
    </row>
    <row r="820" spans="1:25">
      <c r="A820" s="2263"/>
      <c r="B820" s="2263"/>
      <c r="C820" s="2263"/>
      <c r="D820" s="2263"/>
      <c r="E820" s="1462"/>
      <c r="R820" s="1463"/>
      <c r="S820" s="1463"/>
      <c r="T820" s="1463"/>
      <c r="U820" s="1463"/>
      <c r="V820" s="1463"/>
      <c r="W820" s="1463"/>
      <c r="X820" s="1463"/>
      <c r="Y820" s="1463"/>
    </row>
    <row r="821" spans="1:25">
      <c r="A821" s="2263"/>
      <c r="B821" s="2263"/>
      <c r="C821" s="2263"/>
      <c r="D821" s="2263"/>
      <c r="E821" s="1462"/>
      <c r="R821" s="1463"/>
      <c r="S821" s="1463"/>
      <c r="T821" s="1463"/>
      <c r="U821" s="1463"/>
      <c r="V821" s="1463"/>
      <c r="W821" s="1463"/>
      <c r="X821" s="1463"/>
      <c r="Y821" s="1463"/>
    </row>
    <row r="822" spans="1:25">
      <c r="A822" s="2263"/>
      <c r="B822" s="2263"/>
      <c r="C822" s="2263"/>
      <c r="D822" s="2263"/>
      <c r="E822" s="1462"/>
      <c r="R822" s="1463"/>
      <c r="S822" s="1463"/>
      <c r="T822" s="1463"/>
      <c r="U822" s="1463"/>
      <c r="V822" s="1463"/>
      <c r="W822" s="1463"/>
      <c r="X822" s="1463"/>
      <c r="Y822" s="1463"/>
    </row>
    <row r="823" spans="1:25">
      <c r="A823" s="2263"/>
      <c r="B823" s="2263"/>
      <c r="C823" s="2263"/>
      <c r="D823" s="2263"/>
      <c r="E823" s="1462"/>
      <c r="R823" s="1463"/>
      <c r="S823" s="1463"/>
      <c r="T823" s="1463"/>
      <c r="U823" s="1463"/>
      <c r="V823" s="1463"/>
      <c r="W823" s="1463"/>
      <c r="X823" s="1463"/>
      <c r="Y823" s="1463"/>
    </row>
    <row r="824" spans="1:25">
      <c r="A824" s="2263"/>
      <c r="B824" s="2263"/>
      <c r="C824" s="2263"/>
      <c r="D824" s="2263"/>
      <c r="E824" s="1462"/>
      <c r="R824" s="1463"/>
      <c r="S824" s="1463"/>
      <c r="T824" s="1463"/>
      <c r="U824" s="1463"/>
      <c r="V824" s="1463"/>
      <c r="W824" s="1463"/>
      <c r="X824" s="1463"/>
      <c r="Y824" s="1463"/>
    </row>
    <row r="825" spans="1:25">
      <c r="A825" s="2263"/>
      <c r="B825" s="2263"/>
      <c r="C825" s="2263"/>
      <c r="D825" s="2263"/>
      <c r="E825" s="1462"/>
      <c r="R825" s="1463"/>
      <c r="S825" s="1463"/>
      <c r="T825" s="1463"/>
      <c r="U825" s="1463"/>
      <c r="V825" s="1463"/>
      <c r="W825" s="1463"/>
      <c r="X825" s="1463"/>
      <c r="Y825" s="1463"/>
    </row>
    <row r="826" spans="1:25">
      <c r="A826" s="2263"/>
      <c r="B826" s="2263"/>
      <c r="C826" s="2263"/>
      <c r="D826" s="2263"/>
      <c r="E826" s="1462"/>
      <c r="R826" s="1463"/>
      <c r="S826" s="1463"/>
      <c r="T826" s="1463"/>
      <c r="U826" s="1463"/>
      <c r="V826" s="1463"/>
      <c r="W826" s="1463"/>
      <c r="X826" s="1463"/>
      <c r="Y826" s="1463"/>
    </row>
    <row r="827" spans="1:25">
      <c r="A827" s="2263"/>
      <c r="B827" s="2263"/>
      <c r="C827" s="2263"/>
      <c r="D827" s="2263"/>
      <c r="E827" s="1462"/>
      <c r="R827" s="1463"/>
      <c r="S827" s="1463"/>
      <c r="T827" s="1463"/>
      <c r="U827" s="1463"/>
      <c r="V827" s="1463"/>
      <c r="W827" s="1463"/>
      <c r="X827" s="1463"/>
      <c r="Y827" s="1463"/>
    </row>
    <row r="828" spans="1:25">
      <c r="A828" s="2263"/>
      <c r="B828" s="2263"/>
      <c r="C828" s="2263"/>
      <c r="D828" s="2263"/>
      <c r="E828" s="1462"/>
      <c r="R828" s="1463"/>
      <c r="S828" s="1463"/>
      <c r="T828" s="1463"/>
      <c r="U828" s="1463"/>
      <c r="V828" s="1463"/>
      <c r="W828" s="1463"/>
      <c r="X828" s="1463"/>
      <c r="Y828" s="1463"/>
    </row>
    <row r="829" spans="1:25">
      <c r="A829" s="2263"/>
      <c r="B829" s="2263"/>
      <c r="C829" s="2263"/>
      <c r="D829" s="2263"/>
      <c r="E829" s="1462"/>
      <c r="R829" s="1463"/>
      <c r="S829" s="1463"/>
      <c r="T829" s="1463"/>
      <c r="U829" s="1463"/>
      <c r="V829" s="1463"/>
      <c r="W829" s="1463"/>
      <c r="X829" s="1463"/>
      <c r="Y829" s="1463"/>
    </row>
    <row r="830" spans="1:25">
      <c r="A830" s="2263"/>
      <c r="B830" s="2263"/>
      <c r="C830" s="2263"/>
      <c r="D830" s="2263"/>
      <c r="E830" s="1462"/>
      <c r="R830" s="1463"/>
      <c r="S830" s="1463"/>
      <c r="T830" s="1463"/>
      <c r="U830" s="1463"/>
      <c r="V830" s="1463"/>
      <c r="W830" s="1463"/>
      <c r="X830" s="1463"/>
      <c r="Y830" s="1463"/>
    </row>
    <row r="831" spans="1:25">
      <c r="A831" s="2263"/>
      <c r="B831" s="2263"/>
      <c r="C831" s="2263"/>
      <c r="D831" s="2263"/>
      <c r="E831" s="1462"/>
      <c r="R831" s="1463"/>
      <c r="S831" s="1463"/>
      <c r="T831" s="1463"/>
      <c r="U831" s="1463"/>
      <c r="V831" s="1463"/>
      <c r="W831" s="1463"/>
      <c r="X831" s="1463"/>
      <c r="Y831" s="1463"/>
    </row>
    <row r="832" spans="1:25">
      <c r="A832" s="2263"/>
      <c r="B832" s="2263"/>
      <c r="C832" s="2263"/>
      <c r="D832" s="2263"/>
      <c r="E832" s="1462"/>
      <c r="R832" s="1463"/>
      <c r="S832" s="1463"/>
      <c r="T832" s="1463"/>
      <c r="U832" s="1463"/>
      <c r="V832" s="1463"/>
      <c r="W832" s="1463"/>
      <c r="X832" s="1463"/>
      <c r="Y832" s="1463"/>
    </row>
    <row r="833" spans="1:25">
      <c r="A833" s="2263"/>
      <c r="B833" s="2263"/>
      <c r="C833" s="2263"/>
      <c r="D833" s="2263"/>
      <c r="E833" s="1462"/>
      <c r="R833" s="1463"/>
      <c r="S833" s="1463"/>
      <c r="T833" s="1463"/>
      <c r="U833" s="1463"/>
      <c r="V833" s="1463"/>
      <c r="W833" s="1463"/>
      <c r="X833" s="1463"/>
      <c r="Y833" s="1463"/>
    </row>
    <row r="834" spans="1:25">
      <c r="A834" s="2263"/>
      <c r="B834" s="2263"/>
      <c r="C834" s="2263"/>
      <c r="D834" s="2263"/>
      <c r="E834" s="1462"/>
      <c r="R834" s="1463"/>
      <c r="S834" s="1463"/>
      <c r="T834" s="1463"/>
      <c r="U834" s="1463"/>
      <c r="V834" s="1463"/>
      <c r="W834" s="1463"/>
      <c r="X834" s="1463"/>
      <c r="Y834" s="1463"/>
    </row>
    <row r="835" spans="1:25">
      <c r="A835" s="2263"/>
      <c r="B835" s="2263"/>
      <c r="C835" s="2263"/>
      <c r="D835" s="2263"/>
      <c r="E835" s="1462"/>
      <c r="R835" s="1463"/>
      <c r="S835" s="1463"/>
      <c r="T835" s="1463"/>
      <c r="U835" s="1463"/>
      <c r="V835" s="1463"/>
      <c r="W835" s="1463"/>
      <c r="X835" s="1463"/>
      <c r="Y835" s="1463"/>
    </row>
    <row r="836" spans="1:25">
      <c r="A836" s="2263"/>
      <c r="B836" s="2263"/>
      <c r="C836" s="2263"/>
      <c r="D836" s="2263"/>
      <c r="E836" s="1462"/>
      <c r="R836" s="1463"/>
      <c r="S836" s="1463"/>
      <c r="T836" s="1463"/>
      <c r="U836" s="1463"/>
      <c r="V836" s="1463"/>
      <c r="W836" s="1463"/>
      <c r="X836" s="1463"/>
      <c r="Y836" s="1463"/>
    </row>
    <row r="837" spans="1:25">
      <c r="A837" s="2263"/>
      <c r="B837" s="2263"/>
      <c r="C837" s="2263"/>
      <c r="D837" s="2263"/>
      <c r="E837" s="1462"/>
      <c r="R837" s="1463"/>
      <c r="S837" s="1463"/>
      <c r="T837" s="1463"/>
      <c r="U837" s="1463"/>
      <c r="V837" s="1463"/>
      <c r="W837" s="1463"/>
      <c r="X837" s="1463"/>
      <c r="Y837" s="1463"/>
    </row>
    <row r="838" spans="1:25">
      <c r="A838" s="2263"/>
      <c r="B838" s="2263"/>
      <c r="C838" s="2263"/>
      <c r="D838" s="2263"/>
      <c r="E838" s="1462"/>
      <c r="R838" s="1463"/>
      <c r="S838" s="1463"/>
      <c r="T838" s="1463"/>
      <c r="U838" s="1463"/>
      <c r="V838" s="1463"/>
      <c r="W838" s="1463"/>
      <c r="X838" s="1463"/>
      <c r="Y838" s="1463"/>
    </row>
    <row r="839" spans="1:25">
      <c r="A839" s="2263"/>
      <c r="B839" s="2263"/>
      <c r="C839" s="2263"/>
      <c r="D839" s="2263"/>
      <c r="E839" s="1462"/>
      <c r="R839" s="1463"/>
      <c r="S839" s="1463"/>
      <c r="T839" s="1463"/>
      <c r="U839" s="1463"/>
      <c r="V839" s="1463"/>
      <c r="W839" s="1463"/>
      <c r="X839" s="1463"/>
      <c r="Y839" s="1463"/>
    </row>
    <row r="840" spans="1:25">
      <c r="A840" s="2263"/>
      <c r="B840" s="2263"/>
      <c r="C840" s="2263"/>
      <c r="D840" s="2263"/>
      <c r="E840" s="1462"/>
      <c r="R840" s="1463"/>
      <c r="S840" s="1463"/>
      <c r="T840" s="1463"/>
      <c r="U840" s="1463"/>
      <c r="V840" s="1463"/>
      <c r="W840" s="1463"/>
      <c r="X840" s="1463"/>
      <c r="Y840" s="1463"/>
    </row>
    <row r="841" spans="1:25">
      <c r="A841" s="2263"/>
      <c r="B841" s="2263"/>
      <c r="C841" s="2263"/>
      <c r="D841" s="2263"/>
      <c r="E841" s="1462"/>
      <c r="R841" s="1463"/>
      <c r="S841" s="1463"/>
      <c r="T841" s="1463"/>
      <c r="U841" s="1463"/>
      <c r="V841" s="1463"/>
      <c r="W841" s="1463"/>
      <c r="X841" s="1463"/>
      <c r="Y841" s="1463"/>
    </row>
    <row r="842" spans="1:25">
      <c r="A842" s="2263"/>
      <c r="B842" s="2263"/>
      <c r="C842" s="2263"/>
      <c r="D842" s="2263"/>
      <c r="E842" s="1462"/>
      <c r="R842" s="1463"/>
      <c r="S842" s="1463"/>
      <c r="T842" s="1463"/>
      <c r="U842" s="1463"/>
      <c r="V842" s="1463"/>
      <c r="W842" s="1463"/>
      <c r="X842" s="1463"/>
      <c r="Y842" s="1463"/>
    </row>
    <row r="843" spans="1:25">
      <c r="A843" s="2263"/>
      <c r="B843" s="2263"/>
      <c r="C843" s="2263"/>
      <c r="D843" s="2263"/>
      <c r="E843" s="1462"/>
      <c r="R843" s="1463"/>
      <c r="S843" s="1463"/>
      <c r="T843" s="1463"/>
      <c r="U843" s="1463"/>
      <c r="V843" s="1463"/>
      <c r="W843" s="1463"/>
      <c r="X843" s="1463"/>
      <c r="Y843" s="1463"/>
    </row>
    <row r="844" spans="1:25">
      <c r="A844" s="2263"/>
      <c r="B844" s="2263"/>
      <c r="C844" s="2263"/>
      <c r="D844" s="2263"/>
      <c r="E844" s="1462"/>
      <c r="R844" s="1463"/>
      <c r="S844" s="1463"/>
      <c r="T844" s="1463"/>
      <c r="U844" s="1463"/>
      <c r="V844" s="1463"/>
      <c r="W844" s="1463"/>
      <c r="X844" s="1463"/>
      <c r="Y844" s="1463"/>
    </row>
    <row r="845" spans="1:25">
      <c r="A845" s="2263"/>
      <c r="B845" s="2263"/>
      <c r="C845" s="2263"/>
      <c r="D845" s="2263"/>
      <c r="E845" s="1462"/>
      <c r="R845" s="1463"/>
      <c r="S845" s="1463"/>
      <c r="T845" s="1463"/>
      <c r="U845" s="1463"/>
      <c r="V845" s="1463"/>
      <c r="W845" s="1463"/>
      <c r="X845" s="1463"/>
      <c r="Y845" s="1463"/>
    </row>
    <row r="846" spans="1:25">
      <c r="A846" s="2263"/>
      <c r="B846" s="2263"/>
      <c r="C846" s="2263"/>
      <c r="D846" s="2263"/>
      <c r="E846" s="1462"/>
      <c r="R846" s="1463"/>
      <c r="S846" s="1463"/>
      <c r="T846" s="1463"/>
      <c r="U846" s="1463"/>
      <c r="V846" s="1463"/>
      <c r="W846" s="1463"/>
      <c r="X846" s="1463"/>
      <c r="Y846" s="1463"/>
    </row>
    <row r="847" spans="1:25">
      <c r="A847" s="2263"/>
      <c r="B847" s="2263"/>
      <c r="C847" s="2263"/>
      <c r="D847" s="2263"/>
      <c r="E847" s="1462"/>
      <c r="R847" s="1463"/>
      <c r="S847" s="1463"/>
      <c r="T847" s="1463"/>
      <c r="U847" s="1463"/>
      <c r="V847" s="1463"/>
      <c r="W847" s="1463"/>
      <c r="X847" s="1463"/>
      <c r="Y847" s="1463"/>
    </row>
    <row r="848" spans="1:25">
      <c r="A848" s="2263"/>
      <c r="B848" s="2263"/>
      <c r="C848" s="2263"/>
      <c r="D848" s="2263"/>
      <c r="E848" s="1462"/>
      <c r="R848" s="1463"/>
      <c r="S848" s="1463"/>
      <c r="T848" s="1463"/>
      <c r="U848" s="1463"/>
      <c r="V848" s="1463"/>
      <c r="W848" s="1463"/>
      <c r="X848" s="1463"/>
      <c r="Y848" s="1463"/>
    </row>
    <row r="849" spans="1:25">
      <c r="A849" s="2263"/>
      <c r="B849" s="2263"/>
      <c r="C849" s="2263"/>
      <c r="D849" s="2263"/>
      <c r="E849" s="1462"/>
      <c r="R849" s="1463"/>
      <c r="S849" s="1463"/>
      <c r="T849" s="1463"/>
      <c r="U849" s="1463"/>
      <c r="V849" s="1463"/>
      <c r="W849" s="1463"/>
      <c r="X849" s="1463"/>
      <c r="Y849" s="1463"/>
    </row>
    <row r="850" spans="1:25">
      <c r="A850" s="2263"/>
      <c r="B850" s="2263"/>
      <c r="C850" s="2263"/>
      <c r="D850" s="2263"/>
      <c r="E850" s="1462"/>
      <c r="R850" s="1463"/>
      <c r="S850" s="1463"/>
      <c r="T850" s="1463"/>
      <c r="U850" s="1463"/>
      <c r="V850" s="1463"/>
      <c r="W850" s="1463"/>
      <c r="X850" s="1463"/>
      <c r="Y850" s="1463"/>
    </row>
    <row r="851" spans="1:25">
      <c r="A851" s="2263"/>
      <c r="B851" s="2263"/>
      <c r="C851" s="2263"/>
      <c r="D851" s="2263"/>
      <c r="E851" s="1462"/>
      <c r="R851" s="1463"/>
      <c r="S851" s="1463"/>
      <c r="T851" s="1463"/>
      <c r="U851" s="1463"/>
      <c r="V851" s="1463"/>
      <c r="W851" s="1463"/>
      <c r="X851" s="1463"/>
      <c r="Y851" s="1463"/>
    </row>
    <row r="852" spans="1:25">
      <c r="A852" s="2263"/>
      <c r="B852" s="2263"/>
      <c r="C852" s="2263"/>
      <c r="D852" s="2263"/>
      <c r="E852" s="1462"/>
      <c r="R852" s="1463"/>
      <c r="S852" s="1463"/>
      <c r="T852" s="1463"/>
      <c r="U852" s="1463"/>
      <c r="V852" s="1463"/>
      <c r="W852" s="1463"/>
      <c r="X852" s="1463"/>
      <c r="Y852" s="1463"/>
    </row>
    <row r="853" spans="1:25">
      <c r="A853" s="2263"/>
      <c r="B853" s="2263"/>
      <c r="C853" s="2263"/>
      <c r="D853" s="2263"/>
      <c r="E853" s="1462"/>
      <c r="R853" s="1463"/>
      <c r="S853" s="1463"/>
      <c r="T853" s="1463"/>
      <c r="U853" s="1463"/>
      <c r="V853" s="1463"/>
      <c r="W853" s="1463"/>
      <c r="X853" s="1463"/>
      <c r="Y853" s="1463"/>
    </row>
    <row r="854" spans="1:25">
      <c r="A854" s="2263"/>
      <c r="B854" s="2263"/>
      <c r="C854" s="2263"/>
      <c r="D854" s="2263"/>
      <c r="E854" s="1462"/>
      <c r="R854" s="1463"/>
      <c r="S854" s="1463"/>
      <c r="T854" s="1463"/>
      <c r="U854" s="1463"/>
      <c r="V854" s="1463"/>
      <c r="W854" s="1463"/>
      <c r="X854" s="1463"/>
      <c r="Y854" s="1463"/>
    </row>
    <row r="855" spans="1:25">
      <c r="A855" s="2263"/>
      <c r="B855" s="2263"/>
      <c r="C855" s="2263"/>
      <c r="D855" s="2263"/>
      <c r="E855" s="1462"/>
      <c r="R855" s="1463"/>
      <c r="S855" s="1463"/>
      <c r="T855" s="1463"/>
      <c r="U855" s="1463"/>
      <c r="V855" s="1463"/>
      <c r="W855" s="1463"/>
      <c r="X855" s="1463"/>
      <c r="Y855" s="1463"/>
    </row>
    <row r="856" spans="1:25">
      <c r="A856" s="2263"/>
      <c r="B856" s="2263"/>
      <c r="C856" s="2263"/>
      <c r="D856" s="2263"/>
      <c r="E856" s="1462"/>
      <c r="R856" s="1463"/>
      <c r="S856" s="1463"/>
      <c r="T856" s="1463"/>
      <c r="U856" s="1463"/>
      <c r="V856" s="1463"/>
      <c r="W856" s="1463"/>
      <c r="X856" s="1463"/>
      <c r="Y856" s="1463"/>
    </row>
    <row r="857" spans="1:25">
      <c r="A857" s="2263"/>
      <c r="B857" s="2263"/>
      <c r="C857" s="2263"/>
      <c r="D857" s="2263"/>
      <c r="E857" s="1462"/>
      <c r="R857" s="1463"/>
      <c r="S857" s="1463"/>
      <c r="T857" s="1463"/>
      <c r="U857" s="1463"/>
      <c r="V857" s="1463"/>
      <c r="W857" s="1463"/>
      <c r="X857" s="1463"/>
      <c r="Y857" s="1463"/>
    </row>
    <row r="858" spans="1:25">
      <c r="A858" s="2263"/>
      <c r="B858" s="2263"/>
      <c r="C858" s="2263"/>
      <c r="D858" s="2263"/>
      <c r="E858" s="1462"/>
      <c r="R858" s="1463"/>
      <c r="S858" s="1463"/>
      <c r="T858" s="1463"/>
      <c r="U858" s="1463"/>
      <c r="V858" s="1463"/>
      <c r="W858" s="1463"/>
      <c r="X858" s="1463"/>
      <c r="Y858" s="1463"/>
    </row>
    <row r="859" spans="1:25">
      <c r="A859" s="2263"/>
      <c r="B859" s="2263"/>
      <c r="C859" s="2263"/>
      <c r="D859" s="2263"/>
      <c r="E859" s="1462"/>
      <c r="R859" s="1463"/>
      <c r="S859" s="1463"/>
      <c r="T859" s="1463"/>
      <c r="U859" s="1463"/>
      <c r="V859" s="1463"/>
      <c r="W859" s="1463"/>
      <c r="X859" s="1463"/>
      <c r="Y859" s="1463"/>
    </row>
    <row r="860" spans="1:25">
      <c r="A860" s="2263"/>
      <c r="B860" s="2263"/>
      <c r="C860" s="2263"/>
      <c r="D860" s="2263"/>
      <c r="E860" s="1462"/>
      <c r="R860" s="1463"/>
      <c r="S860" s="1463"/>
      <c r="T860" s="1463"/>
      <c r="U860" s="1463"/>
      <c r="V860" s="1463"/>
      <c r="W860" s="1463"/>
      <c r="X860" s="1463"/>
      <c r="Y860" s="1463"/>
    </row>
    <row r="861" spans="1:25">
      <c r="A861" s="2263"/>
      <c r="B861" s="2263"/>
      <c r="C861" s="2263"/>
      <c r="D861" s="2263"/>
      <c r="E861" s="1462"/>
      <c r="R861" s="1463"/>
      <c r="S861" s="1463"/>
      <c r="T861" s="1463"/>
      <c r="U861" s="1463"/>
      <c r="V861" s="1463"/>
      <c r="W861" s="1463"/>
      <c r="X861" s="1463"/>
      <c r="Y861" s="1463"/>
    </row>
    <row r="862" spans="1:25">
      <c r="A862" s="2263"/>
      <c r="B862" s="2263"/>
      <c r="C862" s="2263"/>
      <c r="D862" s="2263"/>
      <c r="E862" s="1462"/>
      <c r="R862" s="1463"/>
      <c r="S862" s="1463"/>
      <c r="T862" s="1463"/>
      <c r="U862" s="1463"/>
      <c r="V862" s="1463"/>
      <c r="W862" s="1463"/>
      <c r="X862" s="1463"/>
      <c r="Y862" s="1463"/>
    </row>
    <row r="863" spans="1:25">
      <c r="A863" s="2263"/>
      <c r="B863" s="2263"/>
      <c r="C863" s="2263"/>
      <c r="D863" s="2263"/>
      <c r="E863" s="1462"/>
      <c r="R863" s="1463"/>
      <c r="S863" s="1463"/>
      <c r="T863" s="1463"/>
      <c r="U863" s="1463"/>
      <c r="V863" s="1463"/>
      <c r="W863" s="1463"/>
      <c r="X863" s="1463"/>
      <c r="Y863" s="1463"/>
    </row>
    <row r="864" spans="1:25">
      <c r="A864" s="2263"/>
      <c r="B864" s="2263"/>
      <c r="C864" s="2263"/>
      <c r="D864" s="2263"/>
      <c r="E864" s="1462"/>
      <c r="R864" s="1463"/>
      <c r="S864" s="1463"/>
      <c r="T864" s="1463"/>
      <c r="U864" s="1463"/>
      <c r="V864" s="1463"/>
      <c r="W864" s="1463"/>
      <c r="X864" s="1463"/>
      <c r="Y864" s="1463"/>
    </row>
    <row r="865" spans="1:25">
      <c r="A865" s="2263"/>
      <c r="B865" s="2263"/>
      <c r="C865" s="2263"/>
      <c r="D865" s="2263"/>
      <c r="E865" s="1462"/>
      <c r="R865" s="1463"/>
      <c r="S865" s="1463"/>
      <c r="T865" s="1463"/>
      <c r="U865" s="1463"/>
      <c r="V865" s="1463"/>
      <c r="W865" s="1463"/>
      <c r="X865" s="1463"/>
      <c r="Y865" s="1463"/>
    </row>
    <row r="866" spans="1:25">
      <c r="A866" s="2263"/>
      <c r="B866" s="2263"/>
      <c r="C866" s="2263"/>
      <c r="D866" s="2263"/>
      <c r="E866" s="1462"/>
      <c r="R866" s="1463"/>
      <c r="S866" s="1463"/>
      <c r="T866" s="1463"/>
      <c r="U866" s="1463"/>
      <c r="V866" s="1463"/>
      <c r="W866" s="1463"/>
      <c r="X866" s="1463"/>
      <c r="Y866" s="1463"/>
    </row>
    <row r="867" spans="1:25">
      <c r="A867" s="2263"/>
      <c r="B867" s="2263"/>
      <c r="C867" s="2263"/>
      <c r="D867" s="2263"/>
      <c r="E867" s="1462"/>
      <c r="R867" s="1463"/>
      <c r="S867" s="1463"/>
      <c r="T867" s="1463"/>
      <c r="U867" s="1463"/>
      <c r="V867" s="1463"/>
      <c r="W867" s="1463"/>
      <c r="X867" s="1463"/>
      <c r="Y867" s="1463"/>
    </row>
    <row r="868" spans="1:25">
      <c r="A868" s="2263"/>
      <c r="B868" s="2263"/>
      <c r="C868" s="2263"/>
      <c r="D868" s="2263"/>
      <c r="E868" s="1462"/>
      <c r="R868" s="1463"/>
      <c r="S868" s="1463"/>
      <c r="T868" s="1463"/>
      <c r="U868" s="1463"/>
      <c r="V868" s="1463"/>
      <c r="W868" s="1463"/>
      <c r="X868" s="1463"/>
      <c r="Y868" s="1463"/>
    </row>
    <row r="869" spans="1:25">
      <c r="A869" s="2263"/>
      <c r="B869" s="2263"/>
      <c r="C869" s="2263"/>
      <c r="D869" s="2263"/>
      <c r="E869" s="1462"/>
      <c r="R869" s="1463"/>
      <c r="S869" s="1463"/>
      <c r="T869" s="1463"/>
      <c r="U869" s="1463"/>
      <c r="V869" s="1463"/>
      <c r="W869" s="1463"/>
      <c r="X869" s="1463"/>
      <c r="Y869" s="1463"/>
    </row>
    <row r="870" spans="1:25">
      <c r="A870" s="2263"/>
      <c r="B870" s="2263"/>
      <c r="C870" s="2263"/>
      <c r="D870" s="2263"/>
      <c r="E870" s="1462"/>
      <c r="R870" s="1463"/>
      <c r="S870" s="1463"/>
      <c r="T870" s="1463"/>
      <c r="U870" s="1463"/>
      <c r="V870" s="1463"/>
      <c r="W870" s="1463"/>
      <c r="X870" s="1463"/>
      <c r="Y870" s="1463"/>
    </row>
    <row r="871" spans="1:25">
      <c r="A871" s="2263"/>
      <c r="B871" s="2263"/>
      <c r="C871" s="2263"/>
      <c r="D871" s="2263"/>
      <c r="E871" s="1462"/>
      <c r="R871" s="1463"/>
      <c r="S871" s="1463"/>
      <c r="T871" s="1463"/>
      <c r="U871" s="1463"/>
      <c r="V871" s="1463"/>
      <c r="W871" s="1463"/>
      <c r="X871" s="1463"/>
      <c r="Y871" s="1463"/>
    </row>
    <row r="872" spans="1:25">
      <c r="A872" s="2263"/>
      <c r="B872" s="2263"/>
      <c r="C872" s="2263"/>
      <c r="D872" s="2263"/>
      <c r="E872" s="1462"/>
      <c r="R872" s="1463"/>
      <c r="S872" s="1463"/>
      <c r="T872" s="1463"/>
      <c r="U872" s="1463"/>
      <c r="V872" s="1463"/>
      <c r="W872" s="1463"/>
      <c r="X872" s="1463"/>
      <c r="Y872" s="1463"/>
    </row>
    <row r="873" spans="1:25">
      <c r="A873" s="2263"/>
      <c r="B873" s="2263"/>
      <c r="C873" s="2263"/>
      <c r="D873" s="2263"/>
      <c r="E873" s="1462"/>
      <c r="R873" s="1463"/>
      <c r="S873" s="1463"/>
      <c r="T873" s="1463"/>
      <c r="U873" s="1463"/>
      <c r="V873" s="1463"/>
      <c r="W873" s="1463"/>
      <c r="X873" s="1463"/>
      <c r="Y873" s="1463"/>
    </row>
    <row r="874" spans="1:25">
      <c r="A874" s="2263"/>
      <c r="B874" s="2263"/>
      <c r="C874" s="2263"/>
      <c r="D874" s="2263"/>
      <c r="E874" s="1462"/>
      <c r="R874" s="1463"/>
      <c r="S874" s="1463"/>
      <c r="T874" s="1463"/>
      <c r="U874" s="1463"/>
      <c r="V874" s="1463"/>
      <c r="W874" s="1463"/>
      <c r="X874" s="1463"/>
      <c r="Y874" s="1463"/>
    </row>
    <row r="875" spans="1:25">
      <c r="A875" s="2263"/>
      <c r="B875" s="2263"/>
      <c r="C875" s="2263"/>
      <c r="D875" s="2263"/>
      <c r="E875" s="1462"/>
      <c r="R875" s="1463"/>
      <c r="S875" s="1463"/>
      <c r="T875" s="1463"/>
      <c r="U875" s="1463"/>
      <c r="V875" s="1463"/>
      <c r="W875" s="1463"/>
      <c r="X875" s="1463"/>
      <c r="Y875" s="1463"/>
    </row>
    <row r="876" spans="1:25">
      <c r="A876" s="2263"/>
      <c r="B876" s="2263"/>
      <c r="C876" s="2263"/>
      <c r="D876" s="2263"/>
      <c r="E876" s="1462"/>
      <c r="R876" s="1463"/>
      <c r="S876" s="1463"/>
      <c r="T876" s="1463"/>
      <c r="U876" s="1463"/>
      <c r="V876" s="1463"/>
      <c r="W876" s="1463"/>
      <c r="X876" s="1463"/>
      <c r="Y876" s="1463"/>
    </row>
    <row r="877" spans="1:25">
      <c r="A877" s="2263"/>
      <c r="B877" s="2263"/>
      <c r="C877" s="2263"/>
      <c r="D877" s="2263"/>
      <c r="E877" s="1462"/>
      <c r="R877" s="1463"/>
      <c r="S877" s="1463"/>
      <c r="T877" s="1463"/>
      <c r="U877" s="1463"/>
      <c r="V877" s="1463"/>
      <c r="W877" s="1463"/>
      <c r="X877" s="1463"/>
      <c r="Y877" s="1463"/>
    </row>
    <row r="878" spans="1:25">
      <c r="A878" s="2263"/>
      <c r="B878" s="2263"/>
      <c r="C878" s="2263"/>
      <c r="D878" s="2263"/>
      <c r="E878" s="1462"/>
      <c r="R878" s="1463"/>
      <c r="S878" s="1463"/>
      <c r="T878" s="1463"/>
      <c r="U878" s="1463"/>
      <c r="V878" s="1463"/>
      <c r="W878" s="1463"/>
      <c r="X878" s="1463"/>
      <c r="Y878" s="1463"/>
    </row>
    <row r="879" spans="1:25">
      <c r="A879" s="2263"/>
      <c r="B879" s="2263"/>
      <c r="C879" s="2263"/>
      <c r="D879" s="2263"/>
      <c r="E879" s="1462"/>
      <c r="R879" s="1463"/>
      <c r="S879" s="1463"/>
      <c r="T879" s="1463"/>
      <c r="U879" s="1463"/>
      <c r="V879" s="1463"/>
      <c r="W879" s="1463"/>
      <c r="X879" s="1463"/>
      <c r="Y879" s="1463"/>
    </row>
    <row r="880" spans="1:25">
      <c r="A880" s="2263"/>
      <c r="B880" s="2263"/>
      <c r="C880" s="2263"/>
      <c r="D880" s="2263"/>
      <c r="E880" s="1462"/>
      <c r="R880" s="1463"/>
      <c r="S880" s="1463"/>
      <c r="T880" s="1463"/>
      <c r="U880" s="1463"/>
      <c r="V880" s="1463"/>
      <c r="W880" s="1463"/>
      <c r="X880" s="1463"/>
      <c r="Y880" s="1463"/>
    </row>
    <row r="881" spans="1:25">
      <c r="A881" s="2263"/>
      <c r="B881" s="2263"/>
      <c r="C881" s="2263"/>
      <c r="D881" s="2263"/>
      <c r="E881" s="1462"/>
      <c r="R881" s="1463"/>
      <c r="S881" s="1463"/>
      <c r="T881" s="1463"/>
      <c r="U881" s="1463"/>
      <c r="V881" s="1463"/>
      <c r="W881" s="1463"/>
      <c r="X881" s="1463"/>
      <c r="Y881" s="1463"/>
    </row>
    <row r="882" spans="1:25">
      <c r="A882" s="2263"/>
      <c r="B882" s="2263"/>
      <c r="C882" s="2263"/>
      <c r="D882" s="2263"/>
      <c r="E882" s="1462"/>
      <c r="R882" s="1463"/>
      <c r="S882" s="1463"/>
      <c r="T882" s="1463"/>
      <c r="U882" s="1463"/>
      <c r="V882" s="1463"/>
      <c r="W882" s="1463"/>
      <c r="X882" s="1463"/>
      <c r="Y882" s="1463"/>
    </row>
    <row r="883" spans="1:25">
      <c r="A883" s="2263"/>
      <c r="B883" s="2263"/>
      <c r="C883" s="2263"/>
      <c r="D883" s="2263"/>
      <c r="E883" s="1462"/>
      <c r="R883" s="1463"/>
      <c r="S883" s="1463"/>
      <c r="T883" s="1463"/>
      <c r="U883" s="1463"/>
      <c r="V883" s="1463"/>
      <c r="W883" s="1463"/>
      <c r="X883" s="1463"/>
      <c r="Y883" s="1463"/>
    </row>
    <row r="884" spans="1:25">
      <c r="A884" s="2263"/>
      <c r="B884" s="2263"/>
      <c r="C884" s="2263"/>
      <c r="D884" s="2263"/>
      <c r="E884" s="1462"/>
      <c r="R884" s="1463"/>
      <c r="S884" s="1463"/>
      <c r="T884" s="1463"/>
      <c r="U884" s="1463"/>
      <c r="V884" s="1463"/>
      <c r="W884" s="1463"/>
      <c r="X884" s="1463"/>
      <c r="Y884" s="1463"/>
    </row>
    <row r="885" spans="1:25">
      <c r="A885" s="2263"/>
      <c r="B885" s="2263"/>
      <c r="C885" s="2263"/>
      <c r="D885" s="2263"/>
      <c r="E885" s="1462"/>
      <c r="R885" s="1463"/>
      <c r="S885" s="1463"/>
      <c r="T885" s="1463"/>
      <c r="U885" s="1463"/>
      <c r="V885" s="1463"/>
      <c r="W885" s="1463"/>
      <c r="X885" s="1463"/>
      <c r="Y885" s="1463"/>
    </row>
    <row r="886" spans="1:25">
      <c r="A886" s="2263"/>
      <c r="B886" s="2263"/>
      <c r="C886" s="2263"/>
      <c r="D886" s="2263"/>
      <c r="E886" s="1462"/>
      <c r="R886" s="1463"/>
      <c r="S886" s="1463"/>
      <c r="T886" s="1463"/>
      <c r="U886" s="1463"/>
      <c r="V886" s="1463"/>
      <c r="W886" s="1463"/>
      <c r="X886" s="1463"/>
      <c r="Y886" s="1463"/>
    </row>
    <row r="887" spans="1:25">
      <c r="A887" s="2263"/>
      <c r="B887" s="2263"/>
      <c r="C887" s="2263"/>
      <c r="D887" s="2263"/>
      <c r="E887" s="1462"/>
      <c r="R887" s="1463"/>
      <c r="S887" s="1463"/>
      <c r="T887" s="1463"/>
      <c r="U887" s="1463"/>
      <c r="V887" s="1463"/>
      <c r="W887" s="1463"/>
      <c r="X887" s="1463"/>
      <c r="Y887" s="1463"/>
    </row>
    <row r="888" spans="1:25">
      <c r="A888" s="2263"/>
      <c r="B888" s="2263"/>
      <c r="C888" s="2263"/>
      <c r="D888" s="2263"/>
      <c r="E888" s="1462"/>
      <c r="R888" s="1463"/>
      <c r="S888" s="1463"/>
      <c r="T888" s="1463"/>
      <c r="U888" s="1463"/>
      <c r="V888" s="1463"/>
      <c r="W888" s="1463"/>
      <c r="X888" s="1463"/>
      <c r="Y888" s="1463"/>
    </row>
    <row r="889" spans="1:25">
      <c r="A889" s="2263"/>
      <c r="B889" s="2263"/>
      <c r="C889" s="2263"/>
      <c r="D889" s="2263"/>
      <c r="E889" s="1462"/>
      <c r="R889" s="1463"/>
      <c r="S889" s="1463"/>
      <c r="T889" s="1463"/>
      <c r="U889" s="1463"/>
      <c r="V889" s="1463"/>
      <c r="W889" s="1463"/>
      <c r="X889" s="1463"/>
      <c r="Y889" s="1463"/>
    </row>
    <row r="890" spans="1:25">
      <c r="A890" s="2263"/>
      <c r="B890" s="2263"/>
      <c r="C890" s="2263"/>
      <c r="D890" s="2263"/>
      <c r="E890" s="1462"/>
      <c r="R890" s="1463"/>
      <c r="S890" s="1463"/>
      <c r="T890" s="1463"/>
      <c r="U890" s="1463"/>
      <c r="V890" s="1463"/>
      <c r="W890" s="1463"/>
      <c r="X890" s="1463"/>
      <c r="Y890" s="1463"/>
    </row>
    <row r="891" spans="1:25">
      <c r="A891" s="2263"/>
      <c r="B891" s="2263"/>
      <c r="C891" s="2263"/>
      <c r="D891" s="2263"/>
      <c r="E891" s="1462"/>
      <c r="R891" s="1463"/>
      <c r="S891" s="1463"/>
      <c r="T891" s="1463"/>
      <c r="U891" s="1463"/>
      <c r="V891" s="1463"/>
      <c r="W891" s="1463"/>
      <c r="X891" s="1463"/>
      <c r="Y891" s="1463"/>
    </row>
    <row r="892" spans="1:25">
      <c r="A892" s="2263"/>
      <c r="B892" s="2263"/>
      <c r="C892" s="2263"/>
      <c r="D892" s="2263"/>
      <c r="E892" s="1462"/>
      <c r="R892" s="1463"/>
      <c r="S892" s="1463"/>
      <c r="T892" s="1463"/>
      <c r="U892" s="1463"/>
      <c r="V892" s="1463"/>
      <c r="W892" s="1463"/>
      <c r="X892" s="1463"/>
      <c r="Y892" s="1463"/>
    </row>
    <row r="893" spans="1:25">
      <c r="A893" s="2263"/>
      <c r="B893" s="2263"/>
      <c r="C893" s="2263"/>
      <c r="D893" s="2263"/>
      <c r="E893" s="1462"/>
      <c r="R893" s="1463"/>
      <c r="S893" s="1463"/>
      <c r="T893" s="1463"/>
      <c r="U893" s="1463"/>
      <c r="V893" s="1463"/>
      <c r="W893" s="1463"/>
      <c r="X893" s="1463"/>
      <c r="Y893" s="1463"/>
    </row>
    <row r="894" spans="1:25">
      <c r="A894" s="2263"/>
      <c r="B894" s="2263"/>
      <c r="C894" s="2263"/>
      <c r="D894" s="2263"/>
      <c r="E894" s="1462"/>
      <c r="R894" s="1463"/>
      <c r="S894" s="1463"/>
      <c r="T894" s="1463"/>
      <c r="U894" s="1463"/>
      <c r="V894" s="1463"/>
      <c r="W894" s="1463"/>
      <c r="X894" s="1463"/>
      <c r="Y894" s="1463"/>
    </row>
    <row r="895" spans="1:25">
      <c r="A895" s="2263"/>
      <c r="B895" s="2263"/>
      <c r="C895" s="2263"/>
      <c r="D895" s="2263"/>
      <c r="E895" s="1462"/>
      <c r="R895" s="1463"/>
      <c r="S895" s="1463"/>
      <c r="T895" s="1463"/>
      <c r="U895" s="1463"/>
      <c r="V895" s="1463"/>
      <c r="W895" s="1463"/>
      <c r="X895" s="1463"/>
      <c r="Y895" s="1463"/>
    </row>
    <row r="896" spans="1:25">
      <c r="A896" s="2263"/>
      <c r="B896" s="2263"/>
      <c r="C896" s="2263"/>
      <c r="D896" s="2263"/>
      <c r="E896" s="1462"/>
      <c r="R896" s="1463"/>
      <c r="S896" s="1463"/>
      <c r="T896" s="1463"/>
      <c r="U896" s="1463"/>
      <c r="V896" s="1463"/>
      <c r="W896" s="1463"/>
      <c r="X896" s="1463"/>
      <c r="Y896" s="1463"/>
    </row>
    <row r="897" spans="1:25">
      <c r="A897" s="2263"/>
      <c r="B897" s="2263"/>
      <c r="C897" s="2263"/>
      <c r="D897" s="2263"/>
      <c r="E897" s="1462"/>
      <c r="R897" s="1463"/>
      <c r="S897" s="1463"/>
      <c r="T897" s="1463"/>
      <c r="U897" s="1463"/>
      <c r="V897" s="1463"/>
      <c r="W897" s="1463"/>
      <c r="X897" s="1463"/>
      <c r="Y897" s="1463"/>
    </row>
    <row r="898" spans="1:25">
      <c r="A898" s="2263"/>
      <c r="B898" s="2263"/>
      <c r="C898" s="2263"/>
      <c r="D898" s="2263"/>
      <c r="E898" s="1462"/>
      <c r="R898" s="1463"/>
      <c r="S898" s="1463"/>
      <c r="T898" s="1463"/>
      <c r="U898" s="1463"/>
      <c r="V898" s="1463"/>
      <c r="W898" s="1463"/>
      <c r="X898" s="1463"/>
      <c r="Y898" s="1463"/>
    </row>
    <row r="899" spans="1:25">
      <c r="A899" s="2263"/>
      <c r="B899" s="2263"/>
      <c r="C899" s="2263"/>
      <c r="D899" s="2263"/>
      <c r="E899" s="1462"/>
      <c r="R899" s="1463"/>
      <c r="S899" s="1463"/>
      <c r="T899" s="1463"/>
      <c r="U899" s="1463"/>
      <c r="V899" s="1463"/>
      <c r="W899" s="1463"/>
      <c r="X899" s="1463"/>
      <c r="Y899" s="1463"/>
    </row>
    <row r="900" spans="1:25">
      <c r="A900" s="2263"/>
      <c r="B900" s="2263"/>
      <c r="C900" s="2263"/>
      <c r="D900" s="2263"/>
      <c r="E900" s="1462"/>
      <c r="R900" s="1463"/>
      <c r="S900" s="1463"/>
      <c r="T900" s="1463"/>
      <c r="U900" s="1463"/>
      <c r="V900" s="1463"/>
      <c r="W900" s="1463"/>
      <c r="X900" s="1463"/>
      <c r="Y900" s="1463"/>
    </row>
    <row r="901" spans="1:25">
      <c r="A901" s="2263"/>
      <c r="B901" s="2263"/>
      <c r="C901" s="2263"/>
      <c r="D901" s="2263"/>
      <c r="E901" s="1462"/>
      <c r="R901" s="1463"/>
      <c r="S901" s="1463"/>
      <c r="T901" s="1463"/>
      <c r="U901" s="1463"/>
      <c r="V901" s="1463"/>
      <c r="W901" s="1463"/>
      <c r="X901" s="1463"/>
      <c r="Y901" s="1463"/>
    </row>
    <row r="902" spans="1:25">
      <c r="A902" s="2263"/>
      <c r="B902" s="2263"/>
      <c r="C902" s="2263"/>
      <c r="D902" s="2263"/>
      <c r="E902" s="1462"/>
      <c r="R902" s="1463"/>
      <c r="S902" s="1463"/>
      <c r="T902" s="1463"/>
      <c r="U902" s="1463"/>
      <c r="V902" s="1463"/>
      <c r="W902" s="1463"/>
      <c r="X902" s="1463"/>
      <c r="Y902" s="1463"/>
    </row>
    <row r="903" spans="1:25">
      <c r="A903" s="2263"/>
      <c r="B903" s="2263"/>
      <c r="C903" s="2263"/>
      <c r="D903" s="2263"/>
      <c r="E903" s="1462"/>
      <c r="R903" s="1463"/>
      <c r="S903" s="1463"/>
      <c r="T903" s="1463"/>
      <c r="U903" s="1463"/>
      <c r="V903" s="1463"/>
      <c r="W903" s="1463"/>
      <c r="X903" s="1463"/>
      <c r="Y903" s="1463"/>
    </row>
    <row r="904" spans="1:25">
      <c r="A904" s="2263"/>
      <c r="B904" s="2263"/>
      <c r="C904" s="2263"/>
      <c r="D904" s="2263"/>
      <c r="E904" s="1462"/>
      <c r="R904" s="1463"/>
      <c r="S904" s="1463"/>
      <c r="T904" s="1463"/>
      <c r="U904" s="1463"/>
      <c r="V904" s="1463"/>
      <c r="W904" s="1463"/>
      <c r="X904" s="1463"/>
      <c r="Y904" s="1463"/>
    </row>
    <row r="905" spans="1:25">
      <c r="A905" s="2263"/>
      <c r="B905" s="2263"/>
      <c r="C905" s="2263"/>
      <c r="D905" s="2263"/>
      <c r="E905" s="1462"/>
      <c r="R905" s="1463"/>
      <c r="S905" s="1463"/>
      <c r="T905" s="1463"/>
      <c r="U905" s="1463"/>
      <c r="V905" s="1463"/>
      <c r="W905" s="1463"/>
      <c r="X905" s="1463"/>
      <c r="Y905" s="1463"/>
    </row>
    <row r="906" spans="1:25">
      <c r="A906" s="2263"/>
      <c r="B906" s="2263"/>
      <c r="C906" s="2263"/>
      <c r="D906" s="2263"/>
      <c r="E906" s="1462"/>
      <c r="R906" s="1463"/>
      <c r="S906" s="1463"/>
      <c r="T906" s="1463"/>
      <c r="U906" s="1463"/>
      <c r="V906" s="1463"/>
      <c r="W906" s="1463"/>
      <c r="X906" s="1463"/>
      <c r="Y906" s="1463"/>
    </row>
    <row r="907" spans="1:25">
      <c r="A907" s="2263"/>
      <c r="B907" s="2263"/>
      <c r="C907" s="2263"/>
      <c r="D907" s="2263"/>
      <c r="E907" s="1462"/>
      <c r="R907" s="1463"/>
      <c r="S907" s="1463"/>
      <c r="T907" s="1463"/>
      <c r="U907" s="1463"/>
      <c r="V907" s="1463"/>
      <c r="W907" s="1463"/>
      <c r="X907" s="1463"/>
      <c r="Y907" s="1463"/>
    </row>
    <row r="908" spans="1:25">
      <c r="A908" s="2263"/>
      <c r="B908" s="2263"/>
      <c r="C908" s="2263"/>
      <c r="D908" s="2263"/>
      <c r="E908" s="1462"/>
      <c r="R908" s="1463"/>
      <c r="S908" s="1463"/>
      <c r="T908" s="1463"/>
      <c r="U908" s="1463"/>
      <c r="V908" s="1463"/>
      <c r="W908" s="1463"/>
      <c r="X908" s="1463"/>
      <c r="Y908" s="1463"/>
    </row>
    <row r="909" spans="1:25">
      <c r="A909" s="2263"/>
      <c r="B909" s="2263"/>
      <c r="C909" s="2263"/>
      <c r="D909" s="2263"/>
      <c r="E909" s="1462"/>
      <c r="R909" s="1463"/>
      <c r="S909" s="1463"/>
      <c r="T909" s="1463"/>
      <c r="U909" s="1463"/>
      <c r="V909" s="1463"/>
      <c r="W909" s="1463"/>
      <c r="X909" s="1463"/>
      <c r="Y909" s="1463"/>
    </row>
    <row r="910" spans="1:25">
      <c r="A910" s="2263"/>
      <c r="B910" s="2263"/>
      <c r="C910" s="2263"/>
      <c r="D910" s="2263"/>
      <c r="E910" s="1462"/>
      <c r="R910" s="1463"/>
      <c r="S910" s="1463"/>
      <c r="T910" s="1463"/>
      <c r="U910" s="1463"/>
      <c r="V910" s="1463"/>
      <c r="W910" s="1463"/>
      <c r="X910" s="1463"/>
      <c r="Y910" s="1463"/>
    </row>
    <row r="911" spans="1:25">
      <c r="A911" s="2263"/>
      <c r="B911" s="2263"/>
      <c r="C911" s="2263"/>
      <c r="D911" s="2263"/>
      <c r="E911" s="1462"/>
      <c r="R911" s="1463"/>
      <c r="S911" s="1463"/>
      <c r="T911" s="1463"/>
      <c r="U911" s="1463"/>
      <c r="V911" s="1463"/>
      <c r="W911" s="1463"/>
      <c r="X911" s="1463"/>
      <c r="Y911" s="1463"/>
    </row>
    <row r="912" spans="1:25">
      <c r="A912" s="2263"/>
      <c r="B912" s="2263"/>
      <c r="C912" s="2263"/>
      <c r="D912" s="2263"/>
      <c r="E912" s="1462"/>
      <c r="R912" s="1463"/>
      <c r="S912" s="1463"/>
      <c r="T912" s="1463"/>
      <c r="U912" s="1463"/>
      <c r="V912" s="1463"/>
      <c r="W912" s="1463"/>
      <c r="X912" s="1463"/>
      <c r="Y912" s="1463"/>
    </row>
    <row r="913" spans="1:25">
      <c r="A913" s="2263"/>
      <c r="B913" s="2263"/>
      <c r="C913" s="2263"/>
      <c r="D913" s="2263"/>
      <c r="E913" s="1462"/>
      <c r="R913" s="1463"/>
      <c r="S913" s="1463"/>
      <c r="T913" s="1463"/>
      <c r="U913" s="1463"/>
      <c r="V913" s="1463"/>
      <c r="W913" s="1463"/>
      <c r="X913" s="1463"/>
      <c r="Y913" s="1463"/>
    </row>
    <row r="914" spans="1:25">
      <c r="A914" s="2263"/>
      <c r="B914" s="2263"/>
      <c r="C914" s="2263"/>
      <c r="D914" s="2263"/>
      <c r="E914" s="1462"/>
      <c r="R914" s="1463"/>
      <c r="S914" s="1463"/>
      <c r="T914" s="1463"/>
      <c r="U914" s="1463"/>
      <c r="V914" s="1463"/>
      <c r="W914" s="1463"/>
      <c r="X914" s="1463"/>
      <c r="Y914" s="1463"/>
    </row>
    <row r="915" spans="1:25">
      <c r="A915" s="2263"/>
      <c r="B915" s="2263"/>
      <c r="C915" s="2263"/>
      <c r="D915" s="2263"/>
      <c r="E915" s="1462"/>
      <c r="R915" s="1463"/>
      <c r="S915" s="1463"/>
      <c r="T915" s="1463"/>
      <c r="U915" s="1463"/>
      <c r="V915" s="1463"/>
      <c r="W915" s="1463"/>
      <c r="X915" s="1463"/>
      <c r="Y915" s="1463"/>
    </row>
    <row r="916" spans="1:25">
      <c r="A916" s="2263"/>
      <c r="B916" s="2263"/>
      <c r="C916" s="2263"/>
      <c r="D916" s="2263"/>
      <c r="E916" s="1462"/>
      <c r="R916" s="1463"/>
      <c r="S916" s="1463"/>
      <c r="T916" s="1463"/>
      <c r="U916" s="1463"/>
      <c r="V916" s="1463"/>
      <c r="W916" s="1463"/>
      <c r="X916" s="1463"/>
      <c r="Y916" s="1463"/>
    </row>
    <row r="917" spans="1:25">
      <c r="A917" s="2263"/>
      <c r="B917" s="2263"/>
      <c r="C917" s="2263"/>
      <c r="D917" s="2263"/>
      <c r="E917" s="1462"/>
      <c r="R917" s="1463"/>
      <c r="S917" s="1463"/>
      <c r="T917" s="1463"/>
      <c r="U917" s="1463"/>
      <c r="V917" s="1463"/>
      <c r="W917" s="1463"/>
      <c r="X917" s="1463"/>
      <c r="Y917" s="1463"/>
    </row>
    <row r="918" spans="1:25">
      <c r="A918" s="2263"/>
      <c r="B918" s="2263"/>
      <c r="C918" s="2263"/>
      <c r="D918" s="2263"/>
      <c r="E918" s="1462"/>
      <c r="R918" s="1463"/>
      <c r="S918" s="1463"/>
      <c r="T918" s="1463"/>
      <c r="U918" s="1463"/>
      <c r="V918" s="1463"/>
      <c r="W918" s="1463"/>
      <c r="X918" s="1463"/>
      <c r="Y918" s="1463"/>
    </row>
    <row r="919" spans="1:25">
      <c r="A919" s="2263"/>
      <c r="B919" s="2263"/>
      <c r="C919" s="2263"/>
      <c r="D919" s="2263"/>
      <c r="E919" s="1462"/>
      <c r="R919" s="1463"/>
      <c r="S919" s="1463"/>
      <c r="T919" s="1463"/>
      <c r="U919" s="1463"/>
      <c r="V919" s="1463"/>
      <c r="W919" s="1463"/>
      <c r="X919" s="1463"/>
      <c r="Y919" s="1463"/>
    </row>
    <row r="920" spans="1:25">
      <c r="A920" s="2263"/>
      <c r="B920" s="2263"/>
      <c r="C920" s="2263"/>
      <c r="D920" s="2263"/>
      <c r="E920" s="1462"/>
      <c r="R920" s="1463"/>
      <c r="S920" s="1463"/>
      <c r="T920" s="1463"/>
      <c r="U920" s="1463"/>
      <c r="V920" s="1463"/>
      <c r="W920" s="1463"/>
      <c r="X920" s="1463"/>
      <c r="Y920" s="1463"/>
    </row>
    <row r="921" spans="1:25">
      <c r="A921" s="2263"/>
      <c r="B921" s="2263"/>
      <c r="C921" s="2263"/>
      <c r="D921" s="2263"/>
      <c r="E921" s="1462"/>
      <c r="R921" s="1463"/>
      <c r="S921" s="1463"/>
      <c r="T921" s="1463"/>
      <c r="U921" s="1463"/>
      <c r="V921" s="1463"/>
      <c r="W921" s="1463"/>
      <c r="X921" s="1463"/>
      <c r="Y921" s="1463"/>
    </row>
    <row r="922" spans="1:25">
      <c r="A922" s="2263"/>
      <c r="B922" s="2263"/>
      <c r="C922" s="2263"/>
      <c r="D922" s="2263"/>
      <c r="E922" s="1462"/>
      <c r="R922" s="1463"/>
      <c r="S922" s="1463"/>
      <c r="T922" s="1463"/>
      <c r="U922" s="1463"/>
      <c r="V922" s="1463"/>
      <c r="W922" s="1463"/>
      <c r="X922" s="1463"/>
      <c r="Y922" s="1463"/>
    </row>
    <row r="923" spans="1:25">
      <c r="A923" s="2263"/>
      <c r="B923" s="2263"/>
      <c r="C923" s="2263"/>
      <c r="D923" s="2263"/>
      <c r="E923" s="1462"/>
      <c r="R923" s="1463"/>
      <c r="S923" s="1463"/>
      <c r="T923" s="1463"/>
      <c r="U923" s="1463"/>
      <c r="V923" s="1463"/>
      <c r="W923" s="1463"/>
      <c r="X923" s="1463"/>
      <c r="Y923" s="1463"/>
    </row>
    <row r="924" spans="1:25">
      <c r="A924" s="2263"/>
      <c r="B924" s="2263"/>
      <c r="C924" s="2263"/>
      <c r="D924" s="2263"/>
      <c r="E924" s="1462"/>
      <c r="R924" s="1463"/>
      <c r="S924" s="1463"/>
      <c r="T924" s="1463"/>
      <c r="U924" s="1463"/>
      <c r="V924" s="1463"/>
      <c r="W924" s="1463"/>
      <c r="X924" s="1463"/>
      <c r="Y924" s="1463"/>
    </row>
    <row r="925" spans="1:25">
      <c r="A925" s="2263"/>
      <c r="B925" s="2263"/>
      <c r="C925" s="2263"/>
      <c r="D925" s="2263"/>
      <c r="E925" s="1462"/>
      <c r="R925" s="1463"/>
      <c r="S925" s="1463"/>
      <c r="T925" s="1463"/>
      <c r="U925" s="1463"/>
      <c r="V925" s="1463"/>
      <c r="W925" s="1463"/>
      <c r="X925" s="1463"/>
      <c r="Y925" s="1463"/>
    </row>
    <row r="926" spans="1:25">
      <c r="A926" s="2263"/>
      <c r="B926" s="2263"/>
      <c r="C926" s="2263"/>
      <c r="D926" s="2263"/>
      <c r="E926" s="1462"/>
      <c r="R926" s="1463"/>
      <c r="S926" s="1463"/>
      <c r="T926" s="1463"/>
      <c r="U926" s="1463"/>
      <c r="V926" s="1463"/>
      <c r="W926" s="1463"/>
      <c r="X926" s="1463"/>
      <c r="Y926" s="1463"/>
    </row>
    <row r="927" spans="1:25">
      <c r="A927" s="2263"/>
      <c r="B927" s="2263"/>
      <c r="C927" s="2263"/>
      <c r="D927" s="2263"/>
      <c r="E927" s="1462"/>
      <c r="R927" s="1463"/>
      <c r="S927" s="1463"/>
      <c r="T927" s="1463"/>
      <c r="U927" s="1463"/>
      <c r="V927" s="1463"/>
      <c r="W927" s="1463"/>
      <c r="X927" s="1463"/>
      <c r="Y927" s="1463"/>
    </row>
    <row r="928" spans="1:25">
      <c r="A928" s="2263"/>
      <c r="B928" s="2263"/>
      <c r="C928" s="2263"/>
      <c r="D928" s="2263"/>
      <c r="E928" s="1462"/>
      <c r="R928" s="1463"/>
      <c r="S928" s="1463"/>
      <c r="T928" s="1463"/>
      <c r="U928" s="1463"/>
      <c r="V928" s="1463"/>
      <c r="W928" s="1463"/>
      <c r="X928" s="1463"/>
      <c r="Y928" s="1463"/>
    </row>
    <row r="929" spans="1:25">
      <c r="A929" s="2263"/>
      <c r="B929" s="2263"/>
      <c r="C929" s="2263"/>
      <c r="D929" s="2263"/>
      <c r="E929" s="1462"/>
      <c r="R929" s="1463"/>
      <c r="S929" s="1463"/>
      <c r="T929" s="1463"/>
      <c r="U929" s="1463"/>
      <c r="V929" s="1463"/>
      <c r="W929" s="1463"/>
      <c r="X929" s="1463"/>
      <c r="Y929" s="1463"/>
    </row>
    <row r="930" spans="1:25">
      <c r="A930" s="2263"/>
      <c r="B930" s="2263"/>
      <c r="C930" s="2263"/>
      <c r="D930" s="2263"/>
      <c r="E930" s="1462"/>
      <c r="R930" s="1463"/>
      <c r="S930" s="1463"/>
      <c r="T930" s="1463"/>
      <c r="U930" s="1463"/>
      <c r="V930" s="1463"/>
      <c r="W930" s="1463"/>
      <c r="X930" s="1463"/>
      <c r="Y930" s="1463"/>
    </row>
    <row r="931" spans="1:25">
      <c r="A931" s="2263"/>
      <c r="B931" s="2263"/>
      <c r="C931" s="2263"/>
      <c r="D931" s="2263"/>
      <c r="E931" s="1462"/>
      <c r="R931" s="1463"/>
      <c r="S931" s="1463"/>
      <c r="T931" s="1463"/>
      <c r="U931" s="1463"/>
      <c r="V931" s="1463"/>
      <c r="W931" s="1463"/>
      <c r="X931" s="1463"/>
      <c r="Y931" s="1463"/>
    </row>
    <row r="932" spans="1:25">
      <c r="A932" s="2263"/>
      <c r="B932" s="2263"/>
      <c r="C932" s="2263"/>
      <c r="D932" s="2263"/>
      <c r="E932" s="1462"/>
      <c r="R932" s="1463"/>
      <c r="S932" s="1463"/>
      <c r="T932" s="1463"/>
      <c r="U932" s="1463"/>
      <c r="V932" s="1463"/>
      <c r="W932" s="1463"/>
      <c r="X932" s="1463"/>
      <c r="Y932" s="1463"/>
    </row>
    <row r="933" spans="1:25">
      <c r="A933" s="2263"/>
      <c r="B933" s="2263"/>
      <c r="C933" s="2263"/>
      <c r="D933" s="2263"/>
      <c r="E933" s="1462"/>
      <c r="R933" s="1463"/>
      <c r="S933" s="1463"/>
      <c r="T933" s="1463"/>
      <c r="U933" s="1463"/>
      <c r="V933" s="1463"/>
      <c r="W933" s="1463"/>
      <c r="X933" s="1463"/>
      <c r="Y933" s="1463"/>
    </row>
    <row r="934" spans="1:25">
      <c r="A934" s="2263"/>
      <c r="B934" s="2263"/>
      <c r="C934" s="2263"/>
      <c r="D934" s="2263"/>
      <c r="E934" s="1462"/>
      <c r="R934" s="1463"/>
      <c r="S934" s="1463"/>
      <c r="T934" s="1463"/>
      <c r="U934" s="1463"/>
      <c r="V934" s="1463"/>
      <c r="W934" s="1463"/>
      <c r="X934" s="1463"/>
      <c r="Y934" s="1463"/>
    </row>
    <row r="935" spans="1:25">
      <c r="A935" s="2263"/>
      <c r="B935" s="2263"/>
      <c r="C935" s="2263"/>
      <c r="D935" s="2263"/>
      <c r="E935" s="1462"/>
      <c r="R935" s="1463"/>
      <c r="S935" s="1463"/>
      <c r="T935" s="1463"/>
      <c r="U935" s="1463"/>
      <c r="V935" s="1463"/>
      <c r="W935" s="1463"/>
      <c r="X935" s="1463"/>
      <c r="Y935" s="1463"/>
    </row>
    <row r="936" spans="1:25">
      <c r="A936" s="2263"/>
      <c r="B936" s="2263"/>
      <c r="C936" s="2263"/>
      <c r="D936" s="2263"/>
      <c r="E936" s="1462"/>
      <c r="R936" s="1463"/>
      <c r="S936" s="1463"/>
      <c r="T936" s="1463"/>
      <c r="U936" s="1463"/>
      <c r="V936" s="1463"/>
      <c r="W936" s="1463"/>
      <c r="X936" s="1463"/>
      <c r="Y936" s="1463"/>
    </row>
    <row r="937" spans="1:25">
      <c r="A937" s="2263"/>
      <c r="B937" s="2263"/>
      <c r="C937" s="2263"/>
      <c r="D937" s="2263"/>
      <c r="E937" s="1462"/>
      <c r="R937" s="1463"/>
      <c r="S937" s="1463"/>
      <c r="T937" s="1463"/>
      <c r="U937" s="1463"/>
      <c r="V937" s="1463"/>
      <c r="W937" s="1463"/>
      <c r="X937" s="1463"/>
      <c r="Y937" s="1463"/>
    </row>
    <row r="938" spans="1:25">
      <c r="A938" s="2263"/>
      <c r="B938" s="2263"/>
      <c r="C938" s="2263"/>
      <c r="D938" s="2263"/>
      <c r="E938" s="1462"/>
      <c r="R938" s="1463"/>
      <c r="S938" s="1463"/>
      <c r="T938" s="1463"/>
      <c r="U938" s="1463"/>
      <c r="V938" s="1463"/>
      <c r="W938" s="1463"/>
      <c r="X938" s="1463"/>
      <c r="Y938" s="1463"/>
    </row>
    <row r="939" spans="1:25">
      <c r="A939" s="2263"/>
      <c r="B939" s="2263"/>
      <c r="C939" s="2263"/>
      <c r="D939" s="2263"/>
      <c r="E939" s="1462"/>
      <c r="R939" s="1463"/>
      <c r="S939" s="1463"/>
      <c r="T939" s="1463"/>
      <c r="U939" s="1463"/>
      <c r="V939" s="1463"/>
      <c r="W939" s="1463"/>
      <c r="X939" s="1463"/>
      <c r="Y939" s="1463"/>
    </row>
    <row r="940" spans="1:25">
      <c r="A940" s="2263"/>
      <c r="B940" s="2263"/>
      <c r="C940" s="2263"/>
      <c r="D940" s="2263"/>
      <c r="E940" s="1462"/>
      <c r="R940" s="1463"/>
      <c r="S940" s="1463"/>
      <c r="T940" s="1463"/>
      <c r="U940" s="1463"/>
      <c r="V940" s="1463"/>
      <c r="W940" s="1463"/>
      <c r="X940" s="1463"/>
      <c r="Y940" s="1463"/>
    </row>
    <row r="941" spans="1:25">
      <c r="A941" s="2263"/>
      <c r="B941" s="2263"/>
      <c r="C941" s="2263"/>
      <c r="D941" s="2263"/>
      <c r="E941" s="1462"/>
      <c r="R941" s="1463"/>
      <c r="S941" s="1463"/>
      <c r="T941" s="1463"/>
      <c r="U941" s="1463"/>
      <c r="V941" s="1463"/>
      <c r="W941" s="1463"/>
      <c r="X941" s="1463"/>
      <c r="Y941" s="1463"/>
    </row>
    <row r="942" spans="1:25">
      <c r="A942" s="2263"/>
      <c r="B942" s="2263"/>
      <c r="C942" s="2263"/>
      <c r="D942" s="2263"/>
      <c r="E942" s="1462"/>
      <c r="R942" s="1463"/>
      <c r="S942" s="1463"/>
      <c r="T942" s="1463"/>
      <c r="U942" s="1463"/>
      <c r="V942" s="1463"/>
      <c r="W942" s="1463"/>
      <c r="X942" s="1463"/>
      <c r="Y942" s="1463"/>
    </row>
    <row r="943" spans="1:25">
      <c r="A943" s="2263"/>
      <c r="B943" s="2263"/>
      <c r="C943" s="2263"/>
      <c r="D943" s="2263"/>
      <c r="E943" s="1462"/>
      <c r="R943" s="1463"/>
      <c r="S943" s="1463"/>
      <c r="T943" s="1463"/>
      <c r="U943" s="1463"/>
      <c r="V943" s="1463"/>
      <c r="W943" s="1463"/>
      <c r="X943" s="1463"/>
      <c r="Y943" s="1463"/>
    </row>
    <row r="944" spans="1:25">
      <c r="A944" s="2263"/>
      <c r="B944" s="2263"/>
      <c r="C944" s="2263"/>
      <c r="D944" s="2263"/>
      <c r="E944" s="1462"/>
      <c r="R944" s="1463"/>
      <c r="S944" s="1463"/>
      <c r="T944" s="1463"/>
      <c r="U944" s="1463"/>
      <c r="V944" s="1463"/>
      <c r="W944" s="1463"/>
      <c r="X944" s="1463"/>
      <c r="Y944" s="1463"/>
    </row>
    <row r="945" spans="1:25">
      <c r="A945" s="2263"/>
      <c r="B945" s="2263"/>
      <c r="C945" s="2263"/>
      <c r="D945" s="2263"/>
      <c r="E945" s="1462"/>
      <c r="R945" s="1463"/>
      <c r="S945" s="1463"/>
      <c r="T945" s="1463"/>
      <c r="U945" s="1463"/>
      <c r="V945" s="1463"/>
      <c r="W945" s="1463"/>
      <c r="X945" s="1463"/>
      <c r="Y945" s="1463"/>
    </row>
    <row r="946" spans="1:25">
      <c r="A946" s="2263"/>
      <c r="B946" s="2263"/>
      <c r="C946" s="2263"/>
      <c r="D946" s="2263"/>
      <c r="E946" s="1462"/>
      <c r="R946" s="1463"/>
      <c r="S946" s="1463"/>
      <c r="T946" s="1463"/>
      <c r="U946" s="1463"/>
      <c r="V946" s="1463"/>
      <c r="W946" s="1463"/>
      <c r="X946" s="1463"/>
      <c r="Y946" s="1463"/>
    </row>
    <row r="947" spans="1:25">
      <c r="A947" s="2263"/>
      <c r="B947" s="2263"/>
      <c r="C947" s="2263"/>
      <c r="D947" s="2263"/>
      <c r="E947" s="1462"/>
      <c r="R947" s="1463"/>
      <c r="S947" s="1463"/>
      <c r="T947" s="1463"/>
      <c r="U947" s="1463"/>
      <c r="V947" s="1463"/>
      <c r="W947" s="1463"/>
      <c r="X947" s="1463"/>
      <c r="Y947" s="1463"/>
    </row>
    <row r="948" spans="1:25">
      <c r="A948" s="2263"/>
      <c r="B948" s="2263"/>
      <c r="C948" s="2263"/>
      <c r="D948" s="2263"/>
      <c r="E948" s="1462"/>
      <c r="R948" s="1463"/>
      <c r="S948" s="1463"/>
      <c r="T948" s="1463"/>
      <c r="U948" s="1463"/>
      <c r="V948" s="1463"/>
      <c r="W948" s="1463"/>
      <c r="X948" s="1463"/>
      <c r="Y948" s="1463"/>
    </row>
    <row r="949" spans="1:25">
      <c r="A949" s="2263"/>
      <c r="B949" s="2263"/>
      <c r="C949" s="2263"/>
      <c r="D949" s="2263"/>
      <c r="E949" s="1462"/>
      <c r="R949" s="1463"/>
      <c r="S949" s="1463"/>
      <c r="T949" s="1463"/>
      <c r="U949" s="1463"/>
      <c r="V949" s="1463"/>
      <c r="W949" s="1463"/>
      <c r="X949" s="1463"/>
      <c r="Y949" s="1463"/>
    </row>
    <row r="950" spans="1:25">
      <c r="A950" s="2263"/>
      <c r="B950" s="2263"/>
      <c r="C950" s="2263"/>
      <c r="D950" s="2263"/>
      <c r="E950" s="1462"/>
      <c r="R950" s="1463"/>
      <c r="S950" s="1463"/>
      <c r="T950" s="1463"/>
      <c r="U950" s="1463"/>
      <c r="V950" s="1463"/>
      <c r="W950" s="1463"/>
      <c r="X950" s="1463"/>
      <c r="Y950" s="1463"/>
    </row>
    <row r="951" spans="1:25">
      <c r="A951" s="2263"/>
      <c r="B951" s="2263"/>
      <c r="C951" s="2263"/>
      <c r="D951" s="2263"/>
      <c r="E951" s="1462"/>
      <c r="R951" s="1463"/>
      <c r="S951" s="1463"/>
      <c r="T951" s="1463"/>
      <c r="U951" s="1463"/>
      <c r="V951" s="1463"/>
      <c r="W951" s="1463"/>
      <c r="X951" s="1463"/>
      <c r="Y951" s="1463"/>
    </row>
    <row r="952" spans="1:25">
      <c r="A952" s="2263"/>
      <c r="B952" s="2263"/>
      <c r="C952" s="2263"/>
      <c r="D952" s="2263"/>
      <c r="E952" s="1462"/>
      <c r="R952" s="1463"/>
      <c r="S952" s="1463"/>
      <c r="T952" s="1463"/>
      <c r="U952" s="1463"/>
      <c r="V952" s="1463"/>
      <c r="W952" s="1463"/>
      <c r="X952" s="1463"/>
      <c r="Y952" s="1463"/>
    </row>
    <row r="953" spans="1:25">
      <c r="A953" s="2263"/>
      <c r="B953" s="2263"/>
      <c r="C953" s="2263"/>
      <c r="D953" s="2263"/>
      <c r="E953" s="1462"/>
      <c r="R953" s="1463"/>
      <c r="S953" s="1463"/>
      <c r="T953" s="1463"/>
      <c r="U953" s="1463"/>
      <c r="V953" s="1463"/>
      <c r="W953" s="1463"/>
      <c r="X953" s="1463"/>
      <c r="Y953" s="1463"/>
    </row>
    <row r="954" spans="1:25">
      <c r="A954" s="2263"/>
      <c r="B954" s="2263"/>
      <c r="C954" s="2263"/>
      <c r="D954" s="2263"/>
      <c r="E954" s="1462"/>
      <c r="R954" s="1463"/>
      <c r="S954" s="1463"/>
      <c r="T954" s="1463"/>
      <c r="U954" s="1463"/>
      <c r="V954" s="1463"/>
      <c r="W954" s="1463"/>
      <c r="X954" s="1463"/>
      <c r="Y954" s="1463"/>
    </row>
    <row r="955" spans="1:25">
      <c r="A955" s="2263"/>
      <c r="B955" s="2263"/>
      <c r="C955" s="2263"/>
      <c r="D955" s="2263"/>
      <c r="E955" s="1462"/>
      <c r="R955" s="1463"/>
      <c r="S955" s="1463"/>
      <c r="T955" s="1463"/>
      <c r="U955" s="1463"/>
      <c r="V955" s="1463"/>
      <c r="W955" s="1463"/>
      <c r="X955" s="1463"/>
      <c r="Y955" s="1463"/>
    </row>
    <row r="956" spans="1:25">
      <c r="A956" s="2263"/>
      <c r="B956" s="2263"/>
      <c r="C956" s="2263"/>
      <c r="D956" s="2263"/>
      <c r="E956" s="1462"/>
      <c r="R956" s="1463"/>
      <c r="S956" s="1463"/>
      <c r="T956" s="1463"/>
      <c r="U956" s="1463"/>
      <c r="V956" s="1463"/>
      <c r="W956" s="1463"/>
      <c r="X956" s="1463"/>
      <c r="Y956" s="1463"/>
    </row>
    <row r="957" spans="1:25">
      <c r="A957" s="2263"/>
      <c r="B957" s="2263"/>
      <c r="C957" s="2263"/>
      <c r="D957" s="2263"/>
      <c r="E957" s="1462"/>
      <c r="R957" s="1463"/>
      <c r="S957" s="1463"/>
      <c r="T957" s="1463"/>
      <c r="U957" s="1463"/>
      <c r="V957" s="1463"/>
      <c r="W957" s="1463"/>
      <c r="X957" s="1463"/>
      <c r="Y957" s="1463"/>
    </row>
    <row r="958" spans="1:25">
      <c r="A958" s="2263"/>
      <c r="B958" s="2263"/>
      <c r="C958" s="2263"/>
      <c r="D958" s="2263"/>
      <c r="E958" s="1462"/>
      <c r="R958" s="1463"/>
      <c r="S958" s="1463"/>
      <c r="T958" s="1463"/>
      <c r="U958" s="1463"/>
      <c r="V958" s="1463"/>
      <c r="W958" s="1463"/>
      <c r="X958" s="1463"/>
      <c r="Y958" s="1463"/>
    </row>
    <row r="959" spans="1:25">
      <c r="A959" s="2263"/>
      <c r="B959" s="2263"/>
      <c r="C959" s="2263"/>
      <c r="D959" s="2263"/>
      <c r="E959" s="1462"/>
      <c r="R959" s="1463"/>
      <c r="S959" s="1463"/>
      <c r="T959" s="1463"/>
      <c r="U959" s="1463"/>
      <c r="V959" s="1463"/>
      <c r="W959" s="1463"/>
      <c r="X959" s="1463"/>
      <c r="Y959" s="1463"/>
    </row>
    <row r="960" spans="1:25">
      <c r="A960" s="2263"/>
      <c r="B960" s="2263"/>
      <c r="C960" s="2263"/>
      <c r="D960" s="2263"/>
      <c r="E960" s="1462"/>
      <c r="R960" s="1463"/>
      <c r="S960" s="1463"/>
      <c r="T960" s="1463"/>
      <c r="U960" s="1463"/>
      <c r="V960" s="1463"/>
      <c r="W960" s="1463"/>
      <c r="X960" s="1463"/>
      <c r="Y960" s="1463"/>
    </row>
    <row r="961" spans="1:25">
      <c r="A961" s="2263"/>
      <c r="B961" s="2263"/>
      <c r="C961" s="2263"/>
      <c r="D961" s="2263"/>
      <c r="E961" s="1462"/>
      <c r="R961" s="1463"/>
      <c r="S961" s="1463"/>
      <c r="T961" s="1463"/>
      <c r="U961" s="1463"/>
      <c r="V961" s="1463"/>
      <c r="W961" s="1463"/>
      <c r="X961" s="1463"/>
      <c r="Y961" s="1463"/>
    </row>
    <row r="962" spans="1:25">
      <c r="A962" s="2263"/>
      <c r="B962" s="2263"/>
      <c r="C962" s="2263"/>
      <c r="D962" s="2263"/>
      <c r="E962" s="1462"/>
      <c r="R962" s="1463"/>
      <c r="S962" s="1463"/>
      <c r="T962" s="1463"/>
      <c r="U962" s="1463"/>
      <c r="V962" s="1463"/>
      <c r="W962" s="1463"/>
      <c r="X962" s="1463"/>
      <c r="Y962" s="1463"/>
    </row>
    <row r="963" spans="1:25">
      <c r="A963" s="2263"/>
      <c r="B963" s="2263"/>
      <c r="C963" s="2263"/>
      <c r="D963" s="2263"/>
      <c r="E963" s="1462"/>
      <c r="R963" s="1463"/>
      <c r="S963" s="1463"/>
      <c r="T963" s="1463"/>
      <c r="U963" s="1463"/>
      <c r="V963" s="1463"/>
      <c r="W963" s="1463"/>
      <c r="X963" s="1463"/>
      <c r="Y963" s="1463"/>
    </row>
    <row r="964" spans="1:25">
      <c r="A964" s="2263"/>
      <c r="B964" s="2263"/>
      <c r="C964" s="2263"/>
      <c r="D964" s="2263"/>
      <c r="E964" s="1462"/>
      <c r="R964" s="1463"/>
      <c r="S964" s="1463"/>
      <c r="T964" s="1463"/>
      <c r="U964" s="1463"/>
      <c r="V964" s="1463"/>
      <c r="W964" s="1463"/>
      <c r="X964" s="1463"/>
      <c r="Y964" s="1463"/>
    </row>
    <row r="965" spans="1:25">
      <c r="A965" s="2263"/>
      <c r="B965" s="2263"/>
      <c r="C965" s="2263"/>
      <c r="D965" s="2263"/>
      <c r="E965" s="1462"/>
      <c r="R965" s="1463"/>
      <c r="S965" s="1463"/>
      <c r="T965" s="1463"/>
      <c r="U965" s="1463"/>
      <c r="V965" s="1463"/>
      <c r="W965" s="1463"/>
      <c r="X965" s="1463"/>
      <c r="Y965" s="1463"/>
    </row>
    <row r="966" spans="1:25">
      <c r="A966" s="2263"/>
      <c r="B966" s="2263"/>
      <c r="C966" s="2263"/>
      <c r="D966" s="2263"/>
      <c r="E966" s="1462"/>
      <c r="R966" s="1463"/>
      <c r="S966" s="1463"/>
      <c r="T966" s="1463"/>
      <c r="U966" s="1463"/>
      <c r="V966" s="1463"/>
      <c r="W966" s="1463"/>
      <c r="X966" s="1463"/>
      <c r="Y966" s="1463"/>
    </row>
    <row r="967" spans="1:25">
      <c r="A967" s="2263"/>
      <c r="B967" s="2263"/>
      <c r="C967" s="2263"/>
      <c r="D967" s="2263"/>
      <c r="E967" s="1462"/>
      <c r="R967" s="1463"/>
      <c r="S967" s="1463"/>
      <c r="T967" s="1463"/>
      <c r="U967" s="1463"/>
      <c r="V967" s="1463"/>
      <c r="W967" s="1463"/>
      <c r="X967" s="1463"/>
      <c r="Y967" s="1463"/>
    </row>
    <row r="968" spans="1:25">
      <c r="A968" s="2263"/>
      <c r="B968" s="2263"/>
      <c r="C968" s="2263"/>
      <c r="D968" s="2263"/>
      <c r="E968" s="1462"/>
      <c r="R968" s="1463"/>
      <c r="S968" s="1463"/>
      <c r="T968" s="1463"/>
      <c r="U968" s="1463"/>
      <c r="V968" s="1463"/>
      <c r="W968" s="1463"/>
      <c r="X968" s="1463"/>
      <c r="Y968" s="1463"/>
    </row>
    <row r="969" spans="1:25">
      <c r="A969" s="2263"/>
      <c r="B969" s="2263"/>
      <c r="C969" s="2263"/>
      <c r="D969" s="2263"/>
      <c r="E969" s="1462"/>
      <c r="R969" s="1463"/>
      <c r="S969" s="1463"/>
      <c r="T969" s="1463"/>
      <c r="U969" s="1463"/>
      <c r="V969" s="1463"/>
      <c r="W969" s="1463"/>
      <c r="X969" s="1463"/>
      <c r="Y969" s="1463"/>
    </row>
    <row r="970" spans="1:25">
      <c r="A970" s="2263"/>
      <c r="B970" s="2263"/>
      <c r="C970" s="2263"/>
      <c r="D970" s="2263"/>
      <c r="E970" s="1462"/>
      <c r="R970" s="1463"/>
      <c r="S970" s="1463"/>
      <c r="T970" s="1463"/>
      <c r="U970" s="1463"/>
      <c r="V970" s="1463"/>
      <c r="W970" s="1463"/>
      <c r="X970" s="1463"/>
      <c r="Y970" s="1463"/>
    </row>
    <row r="971" spans="1:25">
      <c r="A971" s="2263"/>
      <c r="B971" s="2263"/>
      <c r="C971" s="2263"/>
      <c r="D971" s="2263"/>
      <c r="E971" s="1462"/>
      <c r="R971" s="1463"/>
      <c r="S971" s="1463"/>
      <c r="T971" s="1463"/>
      <c r="U971" s="1463"/>
      <c r="V971" s="1463"/>
      <c r="W971" s="1463"/>
      <c r="X971" s="1463"/>
      <c r="Y971" s="1463"/>
    </row>
    <row r="972" spans="1:25">
      <c r="A972" s="2263"/>
      <c r="B972" s="2263"/>
      <c r="C972" s="2263"/>
      <c r="D972" s="2263"/>
      <c r="E972" s="1462"/>
      <c r="R972" s="1463"/>
      <c r="S972" s="1463"/>
      <c r="T972" s="1463"/>
      <c r="U972" s="1463"/>
      <c r="V972" s="1463"/>
      <c r="W972" s="1463"/>
      <c r="X972" s="1463"/>
      <c r="Y972" s="1463"/>
    </row>
    <row r="973" spans="1:25">
      <c r="A973" s="2263"/>
      <c r="B973" s="2263"/>
      <c r="C973" s="2263"/>
      <c r="D973" s="2263"/>
      <c r="E973" s="1462"/>
      <c r="R973" s="1463"/>
      <c r="S973" s="1463"/>
      <c r="T973" s="1463"/>
      <c r="U973" s="1463"/>
      <c r="V973" s="1463"/>
      <c r="W973" s="1463"/>
      <c r="X973" s="1463"/>
      <c r="Y973" s="1463"/>
    </row>
    <row r="974" spans="1:25">
      <c r="A974" s="2263"/>
      <c r="B974" s="2263"/>
      <c r="C974" s="2263"/>
      <c r="D974" s="2263"/>
      <c r="E974" s="1462"/>
      <c r="R974" s="1463"/>
      <c r="S974" s="1463"/>
      <c r="T974" s="1463"/>
      <c r="U974" s="1463"/>
      <c r="V974" s="1463"/>
      <c r="W974" s="1463"/>
      <c r="X974" s="1463"/>
      <c r="Y974" s="1463"/>
    </row>
    <row r="975" spans="1:25">
      <c r="A975" s="2263"/>
      <c r="B975" s="2263"/>
      <c r="C975" s="2263"/>
      <c r="D975" s="2263"/>
      <c r="E975" s="1462"/>
      <c r="R975" s="1463"/>
      <c r="S975" s="1463"/>
      <c r="T975" s="1463"/>
      <c r="U975" s="1463"/>
      <c r="V975" s="1463"/>
      <c r="W975" s="1463"/>
      <c r="X975" s="1463"/>
      <c r="Y975" s="1463"/>
    </row>
    <row r="976" spans="1:25">
      <c r="A976" s="2263"/>
      <c r="B976" s="2263"/>
      <c r="C976" s="2263"/>
      <c r="D976" s="2263"/>
      <c r="E976" s="1462"/>
      <c r="R976" s="1463"/>
      <c r="S976" s="1463"/>
      <c r="T976" s="1463"/>
      <c r="U976" s="1463"/>
      <c r="V976" s="1463"/>
      <c r="W976" s="1463"/>
      <c r="X976" s="1463"/>
      <c r="Y976" s="1463"/>
    </row>
    <row r="977" spans="1:25">
      <c r="A977" s="2263"/>
      <c r="B977" s="2263"/>
      <c r="C977" s="2263"/>
      <c r="D977" s="2263"/>
      <c r="E977" s="1462"/>
      <c r="R977" s="1463"/>
      <c r="S977" s="1463"/>
      <c r="T977" s="1463"/>
      <c r="U977" s="1463"/>
      <c r="V977" s="1463"/>
      <c r="W977" s="1463"/>
      <c r="X977" s="1463"/>
      <c r="Y977" s="1463"/>
    </row>
    <row r="978" spans="1:25">
      <c r="A978" s="2263"/>
      <c r="B978" s="2263"/>
      <c r="C978" s="2263"/>
      <c r="D978" s="2263"/>
      <c r="E978" s="1462"/>
      <c r="R978" s="1463"/>
      <c r="S978" s="1463"/>
      <c r="T978" s="1463"/>
      <c r="U978" s="1463"/>
      <c r="V978" s="1463"/>
      <c r="W978" s="1463"/>
      <c r="X978" s="1463"/>
      <c r="Y978" s="1463"/>
    </row>
    <row r="979" spans="1:25">
      <c r="A979" s="2263"/>
      <c r="B979" s="2263"/>
      <c r="C979" s="2263"/>
      <c r="D979" s="2263"/>
      <c r="E979" s="1462"/>
      <c r="R979" s="1463"/>
      <c r="S979" s="1463"/>
      <c r="T979" s="1463"/>
      <c r="U979" s="1463"/>
      <c r="V979" s="1463"/>
      <c r="W979" s="1463"/>
      <c r="X979" s="1463"/>
      <c r="Y979" s="1463"/>
    </row>
    <row r="980" spans="1:25">
      <c r="A980" s="2263"/>
      <c r="B980" s="2263"/>
      <c r="C980" s="2263"/>
      <c r="D980" s="2263"/>
      <c r="E980" s="1462"/>
      <c r="R980" s="1463"/>
      <c r="S980" s="1463"/>
      <c r="T980" s="1463"/>
      <c r="U980" s="1463"/>
      <c r="V980" s="1463"/>
      <c r="W980" s="1463"/>
      <c r="X980" s="1463"/>
      <c r="Y980" s="1463"/>
    </row>
    <row r="981" spans="1:25">
      <c r="A981" s="2263"/>
      <c r="B981" s="2263"/>
      <c r="C981" s="2263"/>
      <c r="D981" s="2263"/>
      <c r="E981" s="1462"/>
      <c r="R981" s="1463"/>
      <c r="S981" s="1463"/>
      <c r="T981" s="1463"/>
      <c r="U981" s="1463"/>
      <c r="V981" s="1463"/>
      <c r="W981" s="1463"/>
      <c r="X981" s="1463"/>
      <c r="Y981" s="1463"/>
    </row>
    <row r="982" spans="1:25">
      <c r="A982" s="2263"/>
      <c r="B982" s="2263"/>
      <c r="C982" s="2263"/>
      <c r="D982" s="2263"/>
      <c r="E982" s="1462"/>
      <c r="R982" s="1463"/>
      <c r="S982" s="1463"/>
      <c r="T982" s="1463"/>
      <c r="U982" s="1463"/>
      <c r="V982" s="1463"/>
      <c r="W982" s="1463"/>
      <c r="X982" s="1463"/>
      <c r="Y982" s="1463"/>
    </row>
    <row r="983" spans="1:25">
      <c r="A983" s="2263"/>
      <c r="B983" s="2263"/>
      <c r="C983" s="2263"/>
      <c r="D983" s="2263"/>
      <c r="E983" s="1462"/>
      <c r="R983" s="1463"/>
      <c r="S983" s="1463"/>
      <c r="T983" s="1463"/>
      <c r="U983" s="1463"/>
      <c r="V983" s="1463"/>
      <c r="W983" s="1463"/>
      <c r="X983" s="1463"/>
      <c r="Y983" s="1463"/>
    </row>
    <row r="984" spans="1:25">
      <c r="A984" s="2263"/>
      <c r="B984" s="2263"/>
      <c r="C984" s="2263"/>
      <c r="D984" s="2263"/>
      <c r="E984" s="1462"/>
      <c r="R984" s="1463"/>
      <c r="S984" s="1463"/>
      <c r="T984" s="1463"/>
      <c r="U984" s="1463"/>
      <c r="V984" s="1463"/>
      <c r="W984" s="1463"/>
      <c r="X984" s="1463"/>
      <c r="Y984" s="1463"/>
    </row>
    <row r="985" spans="1:25">
      <c r="A985" s="2263"/>
      <c r="B985" s="2263"/>
      <c r="C985" s="2263"/>
      <c r="D985" s="2263"/>
      <c r="E985" s="1462"/>
      <c r="R985" s="1463"/>
      <c r="S985" s="1463"/>
      <c r="T985" s="1463"/>
      <c r="U985" s="1463"/>
      <c r="V985" s="1463"/>
      <c r="W985" s="1463"/>
      <c r="X985" s="1463"/>
      <c r="Y985" s="1463"/>
    </row>
    <row r="986" spans="1:25">
      <c r="A986" s="2263"/>
      <c r="B986" s="2263"/>
      <c r="C986" s="2263"/>
      <c r="D986" s="2263"/>
      <c r="E986" s="1462"/>
      <c r="R986" s="1463"/>
      <c r="S986" s="1463"/>
      <c r="T986" s="1463"/>
      <c r="U986" s="1463"/>
      <c r="V986" s="1463"/>
      <c r="W986" s="1463"/>
      <c r="X986" s="1463"/>
      <c r="Y986" s="1463"/>
    </row>
    <row r="987" spans="1:25">
      <c r="A987" s="2263"/>
      <c r="B987" s="2263"/>
      <c r="C987" s="2263"/>
      <c r="D987" s="2263"/>
      <c r="E987" s="1462"/>
      <c r="R987" s="1463"/>
      <c r="S987" s="1463"/>
      <c r="T987" s="1463"/>
      <c r="U987" s="1463"/>
      <c r="V987" s="1463"/>
      <c r="W987" s="1463"/>
      <c r="X987" s="1463"/>
      <c r="Y987" s="1463"/>
    </row>
    <row r="988" spans="1:25">
      <c r="A988" s="2263"/>
      <c r="B988" s="2263"/>
      <c r="C988" s="2263"/>
      <c r="D988" s="2263"/>
      <c r="E988" s="1462"/>
      <c r="R988" s="1463"/>
      <c r="S988" s="1463"/>
      <c r="T988" s="1463"/>
      <c r="U988" s="1463"/>
      <c r="V988" s="1463"/>
      <c r="W988" s="1463"/>
      <c r="X988" s="1463"/>
      <c r="Y988" s="1463"/>
    </row>
    <row r="989" spans="1:25">
      <c r="A989" s="2263"/>
      <c r="B989" s="2263"/>
      <c r="C989" s="2263"/>
      <c r="D989" s="2263"/>
      <c r="E989" s="1462"/>
      <c r="R989" s="1463"/>
      <c r="S989" s="1463"/>
      <c r="T989" s="1463"/>
      <c r="U989" s="1463"/>
      <c r="V989" s="1463"/>
      <c r="W989" s="1463"/>
      <c r="X989" s="1463"/>
      <c r="Y989" s="1463"/>
    </row>
    <row r="990" spans="1:25">
      <c r="A990" s="2263"/>
      <c r="B990" s="2263"/>
      <c r="C990" s="2263"/>
      <c r="D990" s="2263"/>
      <c r="E990" s="1462"/>
      <c r="R990" s="1463"/>
      <c r="S990" s="1463"/>
      <c r="T990" s="1463"/>
      <c r="U990" s="1463"/>
      <c r="V990" s="1463"/>
      <c r="W990" s="1463"/>
      <c r="X990" s="1463"/>
      <c r="Y990" s="1463"/>
    </row>
    <row r="991" spans="1:25">
      <c r="A991" s="2263"/>
      <c r="B991" s="2263"/>
      <c r="C991" s="2263"/>
      <c r="D991" s="2263"/>
      <c r="E991" s="1462"/>
      <c r="R991" s="1463"/>
      <c r="S991" s="1463"/>
      <c r="T991" s="1463"/>
      <c r="U991" s="1463"/>
      <c r="V991" s="1463"/>
      <c r="W991" s="1463"/>
      <c r="X991" s="1463"/>
      <c r="Y991" s="1463"/>
    </row>
    <row r="992" spans="1:25">
      <c r="A992" s="2263"/>
      <c r="B992" s="2263"/>
      <c r="C992" s="2263"/>
      <c r="D992" s="2263"/>
      <c r="E992" s="1462"/>
      <c r="R992" s="1463"/>
      <c r="S992" s="1463"/>
      <c r="T992" s="1463"/>
      <c r="U992" s="1463"/>
      <c r="V992" s="1463"/>
      <c r="W992" s="1463"/>
      <c r="X992" s="1463"/>
      <c r="Y992" s="1463"/>
    </row>
    <row r="993" spans="1:25">
      <c r="A993" s="2263"/>
      <c r="B993" s="2263"/>
      <c r="C993" s="2263"/>
      <c r="D993" s="2263"/>
      <c r="E993" s="1462"/>
      <c r="R993" s="1463"/>
      <c r="S993" s="1463"/>
      <c r="T993" s="1463"/>
      <c r="U993" s="1463"/>
      <c r="V993" s="1463"/>
      <c r="W993" s="1463"/>
      <c r="X993" s="1463"/>
      <c r="Y993" s="1463"/>
    </row>
    <row r="994" spans="1:25">
      <c r="A994" s="2263"/>
      <c r="B994" s="2263"/>
      <c r="C994" s="2263"/>
      <c r="D994" s="2263"/>
      <c r="E994" s="1462"/>
      <c r="R994" s="1463"/>
      <c r="S994" s="1463"/>
      <c r="T994" s="1463"/>
      <c r="U994" s="1463"/>
      <c r="V994" s="1463"/>
      <c r="W994" s="1463"/>
      <c r="X994" s="1463"/>
      <c r="Y994" s="1463"/>
    </row>
    <row r="995" spans="1:25">
      <c r="A995" s="2263"/>
      <c r="B995" s="2263"/>
      <c r="C995" s="2263"/>
      <c r="D995" s="2263"/>
      <c r="E995" s="1462"/>
      <c r="R995" s="1463"/>
      <c r="S995" s="1463"/>
      <c r="T995" s="1463"/>
      <c r="U995" s="1463"/>
      <c r="V995" s="1463"/>
      <c r="W995" s="1463"/>
      <c r="X995" s="1463"/>
      <c r="Y995" s="1463"/>
    </row>
    <row r="996" spans="1:25">
      <c r="A996" s="2263"/>
      <c r="B996" s="2263"/>
      <c r="C996" s="2263"/>
      <c r="D996" s="2263"/>
      <c r="E996" s="1462"/>
      <c r="R996" s="1463"/>
      <c r="S996" s="1463"/>
      <c r="T996" s="1463"/>
      <c r="U996" s="1463"/>
      <c r="V996" s="1463"/>
      <c r="W996" s="1463"/>
      <c r="X996" s="1463"/>
      <c r="Y996" s="1463"/>
    </row>
    <row r="997" spans="1:25">
      <c r="A997" s="2263"/>
      <c r="B997" s="2263"/>
      <c r="C997" s="2263"/>
      <c r="D997" s="2263"/>
      <c r="E997" s="1462"/>
      <c r="R997" s="1463"/>
      <c r="S997" s="1463"/>
      <c r="T997" s="1463"/>
      <c r="U997" s="1463"/>
      <c r="V997" s="1463"/>
      <c r="W997" s="1463"/>
      <c r="X997" s="1463"/>
      <c r="Y997" s="1463"/>
    </row>
    <row r="998" spans="1:25">
      <c r="A998" s="2263"/>
      <c r="B998" s="2263"/>
      <c r="C998" s="2263"/>
      <c r="D998" s="2263"/>
      <c r="E998" s="1462"/>
      <c r="R998" s="1463"/>
      <c r="S998" s="1463"/>
      <c r="T998" s="1463"/>
      <c r="U998" s="1463"/>
      <c r="V998" s="1463"/>
      <c r="W998" s="1463"/>
      <c r="X998" s="1463"/>
      <c r="Y998" s="1463"/>
    </row>
    <row r="999" spans="1:25">
      <c r="A999" s="2263"/>
      <c r="B999" s="2263"/>
      <c r="C999" s="2263"/>
      <c r="D999" s="2263"/>
      <c r="E999" s="1462"/>
      <c r="R999" s="1463"/>
      <c r="S999" s="1463"/>
      <c r="T999" s="1463"/>
      <c r="U999" s="1463"/>
      <c r="V999" s="1463"/>
      <c r="W999" s="1463"/>
      <c r="X999" s="1463"/>
      <c r="Y999" s="1463"/>
    </row>
    <row r="1000" spans="1:25">
      <c r="A1000" s="2263"/>
      <c r="B1000" s="2263"/>
      <c r="C1000" s="2263"/>
      <c r="D1000" s="2263"/>
      <c r="E1000" s="1462"/>
      <c r="R1000" s="1463"/>
      <c r="S1000" s="1463"/>
      <c r="T1000" s="1463"/>
      <c r="U1000" s="1463"/>
      <c r="V1000" s="1463"/>
      <c r="W1000" s="1463"/>
      <c r="X1000" s="1463"/>
      <c r="Y1000" s="1463"/>
    </row>
    <row r="1001" spans="1:25">
      <c r="A1001" s="2263"/>
      <c r="B1001" s="2263"/>
      <c r="C1001" s="2263"/>
      <c r="D1001" s="2263"/>
      <c r="E1001" s="1462"/>
      <c r="R1001" s="1463"/>
      <c r="S1001" s="1463"/>
      <c r="T1001" s="1463"/>
      <c r="U1001" s="1463"/>
      <c r="V1001" s="1463"/>
      <c r="W1001" s="1463"/>
      <c r="X1001" s="1463"/>
      <c r="Y1001" s="1463"/>
    </row>
    <row r="1002" spans="1:25">
      <c r="A1002" s="2263"/>
      <c r="B1002" s="2263"/>
      <c r="C1002" s="2263"/>
      <c r="D1002" s="2263"/>
      <c r="E1002" s="1462"/>
      <c r="R1002" s="1463"/>
      <c r="S1002" s="1463"/>
      <c r="T1002" s="1463"/>
      <c r="U1002" s="1463"/>
      <c r="V1002" s="1463"/>
      <c r="W1002" s="1463"/>
      <c r="X1002" s="1463"/>
      <c r="Y1002" s="1463"/>
    </row>
    <row r="1003" spans="1:25">
      <c r="A1003" s="2263"/>
      <c r="B1003" s="2263"/>
      <c r="C1003" s="2263"/>
      <c r="D1003" s="2263"/>
      <c r="E1003" s="1462"/>
      <c r="R1003" s="1463"/>
      <c r="S1003" s="1463"/>
      <c r="T1003" s="1463"/>
      <c r="U1003" s="1463"/>
      <c r="V1003" s="1463"/>
      <c r="W1003" s="1463"/>
      <c r="X1003" s="1463"/>
      <c r="Y1003" s="1463"/>
    </row>
    <row r="1004" spans="1:25">
      <c r="A1004" s="2263"/>
      <c r="B1004" s="2263"/>
      <c r="C1004" s="2263"/>
      <c r="D1004" s="2263"/>
      <c r="E1004" s="1462"/>
      <c r="R1004" s="1463"/>
      <c r="S1004" s="1463"/>
      <c r="T1004" s="1463"/>
      <c r="U1004" s="1463"/>
      <c r="V1004" s="1463"/>
      <c r="W1004" s="1463"/>
      <c r="X1004" s="1463"/>
      <c r="Y1004" s="1463"/>
    </row>
    <row r="1005" spans="1:25">
      <c r="A1005" s="2263"/>
      <c r="B1005" s="2263"/>
      <c r="C1005" s="2263"/>
      <c r="D1005" s="2263"/>
      <c r="E1005" s="1462"/>
      <c r="R1005" s="1463"/>
      <c r="S1005" s="1463"/>
      <c r="T1005" s="1463"/>
      <c r="U1005" s="1463"/>
      <c r="V1005" s="1463"/>
      <c r="W1005" s="1463"/>
      <c r="X1005" s="1463"/>
      <c r="Y1005" s="1463"/>
    </row>
    <row r="1006" spans="1:25">
      <c r="A1006" s="2263"/>
      <c r="B1006" s="2263"/>
      <c r="C1006" s="2263"/>
      <c r="D1006" s="2263"/>
      <c r="E1006" s="1462"/>
      <c r="R1006" s="1463"/>
      <c r="S1006" s="1463"/>
      <c r="T1006" s="1463"/>
      <c r="U1006" s="1463"/>
      <c r="V1006" s="1463"/>
      <c r="W1006" s="1463"/>
      <c r="X1006" s="1463"/>
      <c r="Y1006" s="1463"/>
    </row>
    <row r="1007" spans="1:25">
      <c r="A1007" s="2263"/>
      <c r="B1007" s="2263"/>
      <c r="C1007" s="2263"/>
      <c r="D1007" s="2263"/>
      <c r="E1007" s="1462"/>
      <c r="R1007" s="1463"/>
      <c r="S1007" s="1463"/>
      <c r="T1007" s="1463"/>
      <c r="U1007" s="1463"/>
      <c r="V1007" s="1463"/>
      <c r="W1007" s="1463"/>
      <c r="X1007" s="1463"/>
      <c r="Y1007" s="1463"/>
    </row>
    <row r="1008" spans="1:25">
      <c r="A1008" s="2263"/>
      <c r="B1008" s="2263"/>
      <c r="C1008" s="2263"/>
      <c r="D1008" s="2263"/>
      <c r="E1008" s="1462"/>
      <c r="R1008" s="1463"/>
      <c r="S1008" s="1463"/>
      <c r="T1008" s="1463"/>
      <c r="U1008" s="1463"/>
      <c r="V1008" s="1463"/>
      <c r="W1008" s="1463"/>
      <c r="X1008" s="1463"/>
      <c r="Y1008" s="1463"/>
    </row>
    <row r="1009" spans="1:25">
      <c r="A1009" s="2263"/>
      <c r="B1009" s="2263"/>
      <c r="C1009" s="2263"/>
      <c r="D1009" s="2263"/>
      <c r="E1009" s="1462"/>
      <c r="R1009" s="1463"/>
      <c r="S1009" s="1463"/>
      <c r="T1009" s="1463"/>
      <c r="U1009" s="1463"/>
      <c r="V1009" s="1463"/>
      <c r="W1009" s="1463"/>
      <c r="X1009" s="1463"/>
      <c r="Y1009" s="1463"/>
    </row>
    <row r="1010" spans="1:25">
      <c r="A1010" s="2263"/>
      <c r="B1010" s="2263"/>
      <c r="C1010" s="2263"/>
      <c r="D1010" s="2263"/>
      <c r="E1010" s="1462"/>
      <c r="R1010" s="1463"/>
      <c r="S1010" s="1463"/>
      <c r="T1010" s="1463"/>
      <c r="U1010" s="1463"/>
      <c r="V1010" s="1463"/>
      <c r="W1010" s="1463"/>
      <c r="X1010" s="1463"/>
      <c r="Y1010" s="1463"/>
    </row>
    <row r="1011" spans="1:25">
      <c r="A1011" s="2263"/>
      <c r="B1011" s="2263"/>
      <c r="C1011" s="2263"/>
      <c r="D1011" s="2263"/>
      <c r="E1011" s="1462"/>
      <c r="R1011" s="1463"/>
      <c r="S1011" s="1463"/>
      <c r="T1011" s="1463"/>
      <c r="U1011" s="1463"/>
      <c r="V1011" s="1463"/>
      <c r="W1011" s="1463"/>
      <c r="X1011" s="1463"/>
      <c r="Y1011" s="1463"/>
    </row>
    <row r="1012" spans="1:25">
      <c r="A1012" s="2263"/>
      <c r="B1012" s="2263"/>
      <c r="C1012" s="2263"/>
      <c r="D1012" s="2263"/>
      <c r="E1012" s="1462"/>
      <c r="R1012" s="1463"/>
      <c r="S1012" s="1463"/>
      <c r="T1012" s="1463"/>
      <c r="U1012" s="1463"/>
      <c r="V1012" s="1463"/>
      <c r="W1012" s="1463"/>
      <c r="X1012" s="1463"/>
      <c r="Y1012" s="1463"/>
    </row>
    <row r="1013" spans="1:25">
      <c r="A1013" s="2263"/>
      <c r="B1013" s="2263"/>
      <c r="C1013" s="2263"/>
      <c r="D1013" s="2263"/>
      <c r="E1013" s="1462"/>
      <c r="R1013" s="1463"/>
      <c r="S1013" s="1463"/>
      <c r="T1013" s="1463"/>
      <c r="U1013" s="1463"/>
      <c r="V1013" s="1463"/>
      <c r="W1013" s="1463"/>
      <c r="X1013" s="1463"/>
      <c r="Y1013" s="1463"/>
    </row>
    <row r="1014" spans="1:25">
      <c r="A1014" s="2263"/>
      <c r="B1014" s="2263"/>
      <c r="C1014" s="2263"/>
      <c r="D1014" s="2263"/>
      <c r="E1014" s="1462"/>
      <c r="R1014" s="1463"/>
      <c r="S1014" s="1463"/>
      <c r="T1014" s="1463"/>
      <c r="U1014" s="1463"/>
      <c r="V1014" s="1463"/>
      <c r="W1014" s="1463"/>
      <c r="X1014" s="1463"/>
      <c r="Y1014" s="1463"/>
    </row>
    <row r="1015" spans="1:25">
      <c r="A1015" s="2263"/>
      <c r="B1015" s="2263"/>
      <c r="C1015" s="2263"/>
      <c r="D1015" s="2263"/>
      <c r="E1015" s="1462"/>
      <c r="R1015" s="1463"/>
      <c r="S1015" s="1463"/>
      <c r="T1015" s="1463"/>
      <c r="U1015" s="1463"/>
      <c r="V1015" s="1463"/>
      <c r="W1015" s="1463"/>
      <c r="X1015" s="1463"/>
      <c r="Y1015" s="1463"/>
    </row>
    <row r="1016" spans="1:25">
      <c r="A1016" s="2263"/>
      <c r="B1016" s="2263"/>
      <c r="C1016" s="2263"/>
      <c r="D1016" s="2263"/>
      <c r="E1016" s="1462"/>
      <c r="R1016" s="1463"/>
      <c r="S1016" s="1463"/>
      <c r="T1016" s="1463"/>
      <c r="U1016" s="1463"/>
      <c r="V1016" s="1463"/>
      <c r="W1016" s="1463"/>
      <c r="X1016" s="1463"/>
      <c r="Y1016" s="1463"/>
    </row>
    <row r="1017" spans="1:25">
      <c r="A1017" s="2263"/>
      <c r="B1017" s="2263"/>
      <c r="C1017" s="2263"/>
      <c r="D1017" s="2263"/>
      <c r="E1017" s="1462"/>
      <c r="R1017" s="1463"/>
      <c r="S1017" s="1463"/>
      <c r="T1017" s="1463"/>
      <c r="U1017" s="1463"/>
      <c r="V1017" s="1463"/>
      <c r="W1017" s="1463"/>
      <c r="X1017" s="1463"/>
      <c r="Y1017" s="1463"/>
    </row>
    <row r="1018" spans="1:25">
      <c r="A1018" s="2263"/>
      <c r="B1018" s="2263"/>
      <c r="C1018" s="2263"/>
      <c r="D1018" s="2263"/>
      <c r="E1018" s="1462"/>
      <c r="R1018" s="1463"/>
      <c r="S1018" s="1463"/>
      <c r="T1018" s="1463"/>
      <c r="U1018" s="1463"/>
      <c r="V1018" s="1463"/>
      <c r="W1018" s="1463"/>
      <c r="X1018" s="1463"/>
      <c r="Y1018" s="1463"/>
    </row>
    <row r="1019" spans="1:25">
      <c r="A1019" s="2263"/>
      <c r="B1019" s="2263"/>
      <c r="C1019" s="2263"/>
      <c r="D1019" s="2263"/>
      <c r="E1019" s="1462"/>
      <c r="R1019" s="1463"/>
      <c r="S1019" s="1463"/>
      <c r="T1019" s="1463"/>
      <c r="U1019" s="1463"/>
      <c r="V1019" s="1463"/>
      <c r="W1019" s="1463"/>
      <c r="X1019" s="1463"/>
      <c r="Y1019" s="1463"/>
    </row>
    <row r="1020" spans="1:25">
      <c r="A1020" s="2263"/>
      <c r="B1020" s="2263"/>
      <c r="C1020" s="2263"/>
      <c r="D1020" s="2263"/>
      <c r="E1020" s="1462"/>
      <c r="R1020" s="1463"/>
      <c r="S1020" s="1463"/>
      <c r="T1020" s="1463"/>
      <c r="U1020" s="1463"/>
      <c r="V1020" s="1463"/>
      <c r="W1020" s="1463"/>
      <c r="X1020" s="1463"/>
      <c r="Y1020" s="1463"/>
    </row>
    <row r="1021" spans="1:25">
      <c r="A1021" s="2263"/>
      <c r="B1021" s="2263"/>
      <c r="C1021" s="2263"/>
      <c r="D1021" s="2263"/>
      <c r="E1021" s="1462"/>
      <c r="R1021" s="1463"/>
      <c r="S1021" s="1463"/>
      <c r="T1021" s="1463"/>
      <c r="U1021" s="1463"/>
      <c r="V1021" s="1463"/>
      <c r="W1021" s="1463"/>
      <c r="X1021" s="1463"/>
      <c r="Y1021" s="1463"/>
    </row>
    <row r="1022" spans="1:25">
      <c r="A1022" s="2263"/>
      <c r="B1022" s="2263"/>
      <c r="C1022" s="2263"/>
      <c r="D1022" s="2263"/>
      <c r="E1022" s="1462"/>
      <c r="R1022" s="1463"/>
      <c r="S1022" s="1463"/>
      <c r="T1022" s="1463"/>
      <c r="U1022" s="1463"/>
      <c r="V1022" s="1463"/>
      <c r="W1022" s="1463"/>
      <c r="X1022" s="1463"/>
      <c r="Y1022" s="1463"/>
    </row>
    <row r="1023" spans="1:25">
      <c r="A1023" s="2263"/>
      <c r="B1023" s="2263"/>
      <c r="C1023" s="2263"/>
      <c r="D1023" s="2263"/>
      <c r="E1023" s="1462"/>
      <c r="R1023" s="1463"/>
      <c r="S1023" s="1463"/>
      <c r="T1023" s="1463"/>
      <c r="U1023" s="1463"/>
      <c r="V1023" s="1463"/>
      <c r="W1023" s="1463"/>
      <c r="X1023" s="1463"/>
      <c r="Y1023" s="1463"/>
    </row>
    <row r="1024" spans="1:25">
      <c r="A1024" s="2263"/>
      <c r="B1024" s="2263"/>
      <c r="C1024" s="2263"/>
      <c r="D1024" s="2263"/>
      <c r="E1024" s="1462"/>
      <c r="R1024" s="1463"/>
      <c r="S1024" s="1463"/>
      <c r="T1024" s="1463"/>
      <c r="U1024" s="1463"/>
      <c r="V1024" s="1463"/>
      <c r="W1024" s="1463"/>
      <c r="X1024" s="1463"/>
      <c r="Y1024" s="1463"/>
    </row>
    <row r="1025" spans="1:25">
      <c r="A1025" s="2263"/>
      <c r="B1025" s="2263"/>
      <c r="C1025" s="2263"/>
      <c r="D1025" s="2263"/>
      <c r="E1025" s="1462"/>
      <c r="R1025" s="1463"/>
      <c r="S1025" s="1463"/>
      <c r="T1025" s="1463"/>
      <c r="U1025" s="1463"/>
      <c r="V1025" s="1463"/>
      <c r="W1025" s="1463"/>
      <c r="X1025" s="1463"/>
      <c r="Y1025" s="1463"/>
    </row>
    <row r="1026" spans="1:25">
      <c r="A1026" s="2263"/>
      <c r="B1026" s="2263"/>
      <c r="C1026" s="2263"/>
      <c r="D1026" s="2263"/>
      <c r="E1026" s="1462"/>
      <c r="R1026" s="1463"/>
      <c r="S1026" s="1463"/>
      <c r="T1026" s="1463"/>
      <c r="U1026" s="1463"/>
      <c r="V1026" s="1463"/>
      <c r="W1026" s="1463"/>
      <c r="X1026" s="1463"/>
      <c r="Y1026" s="1463"/>
    </row>
    <row r="1027" spans="1:25">
      <c r="A1027" s="2263"/>
      <c r="B1027" s="2263"/>
      <c r="C1027" s="2263"/>
      <c r="D1027" s="2263"/>
      <c r="E1027" s="1462"/>
      <c r="R1027" s="1463"/>
      <c r="S1027" s="1463"/>
      <c r="T1027" s="1463"/>
      <c r="U1027" s="1463"/>
      <c r="V1027" s="1463"/>
      <c r="W1027" s="1463"/>
      <c r="X1027" s="1463"/>
      <c r="Y1027" s="1463"/>
    </row>
    <row r="1028" spans="1:25">
      <c r="A1028" s="2263"/>
      <c r="B1028" s="2263"/>
      <c r="C1028" s="2263"/>
      <c r="D1028" s="2263"/>
      <c r="E1028" s="1462"/>
      <c r="R1028" s="1463"/>
      <c r="S1028" s="1463"/>
      <c r="T1028" s="1463"/>
      <c r="U1028" s="1463"/>
      <c r="V1028" s="1463"/>
      <c r="W1028" s="1463"/>
      <c r="X1028" s="1463"/>
      <c r="Y1028" s="1463"/>
    </row>
    <row r="1029" spans="1:25">
      <c r="A1029" s="2263"/>
      <c r="B1029" s="2263"/>
      <c r="C1029" s="2263"/>
      <c r="D1029" s="2263"/>
      <c r="E1029" s="1462"/>
      <c r="R1029" s="1463"/>
      <c r="S1029" s="1463"/>
      <c r="T1029" s="1463"/>
      <c r="U1029" s="1463"/>
      <c r="V1029" s="1463"/>
      <c r="W1029" s="1463"/>
      <c r="X1029" s="1463"/>
      <c r="Y1029" s="1463"/>
    </row>
    <row r="1030" spans="1:25">
      <c r="A1030" s="2263"/>
      <c r="B1030" s="2263"/>
      <c r="C1030" s="2263"/>
      <c r="D1030" s="2263"/>
      <c r="E1030" s="1462"/>
      <c r="R1030" s="1463"/>
      <c r="S1030" s="1463"/>
      <c r="T1030" s="1463"/>
      <c r="U1030" s="1463"/>
      <c r="V1030" s="1463"/>
      <c r="W1030" s="1463"/>
      <c r="X1030" s="1463"/>
      <c r="Y1030" s="1463"/>
    </row>
    <row r="1031" spans="1:25">
      <c r="A1031" s="2263"/>
      <c r="B1031" s="2263"/>
      <c r="C1031" s="2263"/>
      <c r="D1031" s="2263"/>
      <c r="E1031" s="1462"/>
      <c r="R1031" s="1463"/>
      <c r="S1031" s="1463"/>
      <c r="T1031" s="1463"/>
      <c r="U1031" s="1463"/>
      <c r="V1031" s="1463"/>
      <c r="W1031" s="1463"/>
      <c r="X1031" s="1463"/>
      <c r="Y1031" s="1463"/>
    </row>
    <row r="1032" spans="1:25">
      <c r="A1032" s="2263"/>
      <c r="B1032" s="2263"/>
      <c r="C1032" s="2263"/>
      <c r="D1032" s="2263"/>
      <c r="E1032" s="1462"/>
      <c r="R1032" s="1463"/>
      <c r="S1032" s="1463"/>
      <c r="T1032" s="1463"/>
      <c r="U1032" s="1463"/>
      <c r="V1032" s="1463"/>
      <c r="W1032" s="1463"/>
      <c r="X1032" s="1463"/>
      <c r="Y1032" s="1463"/>
    </row>
    <row r="1033" spans="1:25">
      <c r="A1033" s="2263"/>
      <c r="B1033" s="2263"/>
      <c r="C1033" s="2263"/>
      <c r="D1033" s="2263"/>
      <c r="E1033" s="1462"/>
      <c r="R1033" s="1463"/>
      <c r="S1033" s="1463"/>
      <c r="T1033" s="1463"/>
      <c r="U1033" s="1463"/>
      <c r="V1033" s="1463"/>
      <c r="W1033" s="1463"/>
      <c r="X1033" s="1463"/>
      <c r="Y1033" s="1463"/>
    </row>
    <row r="1034" spans="1:25">
      <c r="A1034" s="2263"/>
      <c r="B1034" s="2263"/>
      <c r="C1034" s="2263"/>
      <c r="D1034" s="2263"/>
      <c r="E1034" s="1462"/>
      <c r="R1034" s="1463"/>
      <c r="S1034" s="1463"/>
      <c r="T1034" s="1463"/>
      <c r="U1034" s="1463"/>
      <c r="V1034" s="1463"/>
      <c r="W1034" s="1463"/>
      <c r="X1034" s="1463"/>
      <c r="Y1034" s="1463"/>
    </row>
    <row r="1035" spans="1:25">
      <c r="A1035" s="2263"/>
      <c r="B1035" s="2263"/>
      <c r="C1035" s="2263"/>
      <c r="D1035" s="2263"/>
      <c r="E1035" s="1462"/>
      <c r="R1035" s="1463"/>
      <c r="S1035" s="1463"/>
      <c r="T1035" s="1463"/>
      <c r="U1035" s="1463"/>
      <c r="V1035" s="1463"/>
      <c r="W1035" s="1463"/>
      <c r="X1035" s="1463"/>
      <c r="Y1035" s="1463"/>
    </row>
    <row r="1036" spans="1:25">
      <c r="A1036" s="2263"/>
      <c r="B1036" s="2263"/>
      <c r="C1036" s="2263"/>
      <c r="D1036" s="2263"/>
      <c r="E1036" s="1462"/>
      <c r="R1036" s="1463"/>
      <c r="S1036" s="1463"/>
      <c r="T1036" s="1463"/>
      <c r="U1036" s="1463"/>
      <c r="V1036" s="1463"/>
      <c r="W1036" s="1463"/>
      <c r="X1036" s="1463"/>
      <c r="Y1036" s="1463"/>
    </row>
    <row r="1037" spans="1:25">
      <c r="A1037" s="2263"/>
      <c r="B1037" s="2263"/>
      <c r="C1037" s="2263"/>
      <c r="D1037" s="2263"/>
      <c r="E1037" s="1462"/>
      <c r="R1037" s="1463"/>
      <c r="S1037" s="1463"/>
      <c r="T1037" s="1463"/>
      <c r="U1037" s="1463"/>
      <c r="V1037" s="1463"/>
      <c r="W1037" s="1463"/>
      <c r="X1037" s="1463"/>
      <c r="Y1037" s="1463"/>
    </row>
    <row r="1038" spans="1:25">
      <c r="A1038" s="2263"/>
      <c r="B1038" s="2263"/>
      <c r="C1038" s="2263"/>
      <c r="D1038" s="2263"/>
      <c r="E1038" s="1462"/>
      <c r="R1038" s="1463"/>
      <c r="S1038" s="1463"/>
      <c r="T1038" s="1463"/>
      <c r="U1038" s="1463"/>
      <c r="V1038" s="1463"/>
      <c r="W1038" s="1463"/>
      <c r="X1038" s="1463"/>
      <c r="Y1038" s="1463"/>
    </row>
    <row r="1039" spans="1:25">
      <c r="A1039" s="2263"/>
      <c r="B1039" s="2263"/>
      <c r="C1039" s="2263"/>
      <c r="D1039" s="2263"/>
      <c r="E1039" s="1462"/>
      <c r="R1039" s="1463"/>
      <c r="S1039" s="1463"/>
      <c r="T1039" s="1463"/>
      <c r="U1039" s="1463"/>
      <c r="V1039" s="1463"/>
      <c r="W1039" s="1463"/>
      <c r="X1039" s="1463"/>
      <c r="Y1039" s="1463"/>
    </row>
    <row r="1040" spans="1:25">
      <c r="A1040" s="2263"/>
      <c r="B1040" s="2263"/>
      <c r="C1040" s="2263"/>
      <c r="D1040" s="2263"/>
      <c r="E1040" s="1462"/>
      <c r="R1040" s="1463"/>
      <c r="S1040" s="1463"/>
      <c r="T1040" s="1463"/>
      <c r="U1040" s="1463"/>
      <c r="V1040" s="1463"/>
      <c r="W1040" s="1463"/>
      <c r="X1040" s="1463"/>
      <c r="Y1040" s="1463"/>
    </row>
    <row r="1041" spans="1:25">
      <c r="A1041" s="2263"/>
      <c r="B1041" s="2263"/>
      <c r="C1041" s="2263"/>
      <c r="D1041" s="2263"/>
      <c r="E1041" s="1462"/>
      <c r="R1041" s="1463"/>
      <c r="S1041" s="1463"/>
      <c r="T1041" s="1463"/>
      <c r="U1041" s="1463"/>
      <c r="V1041" s="1463"/>
      <c r="W1041" s="1463"/>
      <c r="X1041" s="1463"/>
      <c r="Y1041" s="1463"/>
    </row>
    <row r="1042" spans="1:25">
      <c r="A1042" s="2263"/>
      <c r="B1042" s="2263"/>
      <c r="C1042" s="2263"/>
      <c r="D1042" s="2263"/>
      <c r="E1042" s="1462"/>
      <c r="R1042" s="1463"/>
      <c r="S1042" s="1463"/>
      <c r="T1042" s="1463"/>
      <c r="U1042" s="1463"/>
      <c r="V1042" s="1463"/>
      <c r="W1042" s="1463"/>
      <c r="X1042" s="1463"/>
      <c r="Y1042" s="1463"/>
    </row>
    <row r="1043" spans="1:25">
      <c r="A1043" s="2263"/>
      <c r="B1043" s="2263"/>
      <c r="C1043" s="2263"/>
      <c r="D1043" s="2263"/>
      <c r="E1043" s="1462"/>
      <c r="R1043" s="1463"/>
      <c r="S1043" s="1463"/>
      <c r="T1043" s="1463"/>
      <c r="U1043" s="1463"/>
      <c r="V1043" s="1463"/>
      <c r="W1043" s="1463"/>
      <c r="X1043" s="1463"/>
      <c r="Y1043" s="1463"/>
    </row>
    <row r="1044" spans="1:25">
      <c r="A1044" s="2263"/>
      <c r="B1044" s="2263"/>
      <c r="C1044" s="2263"/>
      <c r="D1044" s="2263"/>
      <c r="E1044" s="1462"/>
      <c r="R1044" s="1463"/>
      <c r="S1044" s="1463"/>
      <c r="T1044" s="1463"/>
      <c r="U1044" s="1463"/>
      <c r="V1044" s="1463"/>
      <c r="W1044" s="1463"/>
      <c r="X1044" s="1463"/>
      <c r="Y1044" s="1463"/>
    </row>
    <row r="1045" spans="1:25">
      <c r="A1045" s="2263"/>
      <c r="B1045" s="2263"/>
      <c r="C1045" s="2263"/>
      <c r="D1045" s="2263"/>
      <c r="E1045" s="1462"/>
      <c r="R1045" s="1463"/>
      <c r="S1045" s="1463"/>
      <c r="T1045" s="1463"/>
      <c r="U1045" s="1463"/>
      <c r="V1045" s="1463"/>
      <c r="W1045" s="1463"/>
      <c r="X1045" s="1463"/>
      <c r="Y1045" s="1463"/>
    </row>
    <row r="1046" spans="1:25">
      <c r="A1046" s="2263"/>
      <c r="B1046" s="2263"/>
      <c r="C1046" s="2263"/>
      <c r="D1046" s="2263"/>
      <c r="E1046" s="1462"/>
      <c r="R1046" s="1463"/>
      <c r="S1046" s="1463"/>
      <c r="T1046" s="1463"/>
      <c r="U1046" s="1463"/>
      <c r="V1046" s="1463"/>
      <c r="W1046" s="1463"/>
      <c r="X1046" s="1463"/>
      <c r="Y1046" s="1463"/>
    </row>
    <row r="1047" spans="1:25">
      <c r="A1047" s="2263"/>
      <c r="B1047" s="2263"/>
      <c r="C1047" s="2263"/>
      <c r="D1047" s="2263"/>
      <c r="E1047" s="1462"/>
      <c r="R1047" s="1463"/>
      <c r="S1047" s="1463"/>
      <c r="T1047" s="1463"/>
      <c r="U1047" s="1463"/>
      <c r="V1047" s="1463"/>
      <c r="W1047" s="1463"/>
      <c r="X1047" s="1463"/>
      <c r="Y1047" s="1463"/>
    </row>
    <row r="1048" spans="1:25">
      <c r="A1048" s="2263"/>
      <c r="B1048" s="2263"/>
      <c r="C1048" s="2263"/>
      <c r="D1048" s="2263"/>
      <c r="E1048" s="1462"/>
      <c r="R1048" s="1463"/>
      <c r="S1048" s="1463"/>
      <c r="T1048" s="1463"/>
      <c r="U1048" s="1463"/>
      <c r="V1048" s="1463"/>
      <c r="W1048" s="1463"/>
      <c r="X1048" s="1463"/>
      <c r="Y1048" s="1463"/>
    </row>
    <row r="1049" spans="1:25">
      <c r="A1049" s="2263"/>
      <c r="B1049" s="2263"/>
      <c r="C1049" s="2263"/>
      <c r="D1049" s="2263"/>
      <c r="E1049" s="1462"/>
      <c r="R1049" s="1463"/>
      <c r="S1049" s="1463"/>
      <c r="T1049" s="1463"/>
      <c r="U1049" s="1463"/>
      <c r="V1049" s="1463"/>
      <c r="W1049" s="1463"/>
      <c r="X1049" s="1463"/>
      <c r="Y1049" s="1463"/>
    </row>
    <row r="1050" spans="1:25">
      <c r="A1050" s="2263"/>
      <c r="B1050" s="2263"/>
      <c r="C1050" s="2263"/>
      <c r="D1050" s="2263"/>
      <c r="E1050" s="1462"/>
      <c r="R1050" s="1463"/>
      <c r="S1050" s="1463"/>
      <c r="T1050" s="1463"/>
      <c r="U1050" s="1463"/>
      <c r="V1050" s="1463"/>
      <c r="W1050" s="1463"/>
      <c r="X1050" s="1463"/>
      <c r="Y1050" s="1463"/>
    </row>
    <row r="1051" spans="1:25">
      <c r="A1051" s="2263"/>
      <c r="B1051" s="2263"/>
      <c r="C1051" s="2263"/>
      <c r="D1051" s="2263"/>
      <c r="E1051" s="1462"/>
      <c r="R1051" s="1463"/>
      <c r="S1051" s="1463"/>
      <c r="T1051" s="1463"/>
      <c r="U1051" s="1463"/>
      <c r="V1051" s="1463"/>
      <c r="W1051" s="1463"/>
      <c r="X1051" s="1463"/>
      <c r="Y1051" s="1463"/>
    </row>
    <row r="1052" spans="1:25">
      <c r="A1052" s="2263"/>
      <c r="B1052" s="2263"/>
      <c r="C1052" s="2263"/>
      <c r="D1052" s="2263"/>
      <c r="E1052" s="1462"/>
      <c r="R1052" s="1463"/>
      <c r="S1052" s="1463"/>
      <c r="T1052" s="1463"/>
      <c r="U1052" s="1463"/>
      <c r="V1052" s="1463"/>
      <c r="W1052" s="1463"/>
      <c r="X1052" s="1463"/>
      <c r="Y1052" s="1463"/>
    </row>
    <row r="1053" spans="1:25">
      <c r="A1053" s="2263"/>
      <c r="B1053" s="2263"/>
      <c r="C1053" s="2263"/>
      <c r="D1053" s="2263"/>
      <c r="E1053" s="1462"/>
      <c r="R1053" s="1463"/>
      <c r="S1053" s="1463"/>
      <c r="T1053" s="1463"/>
      <c r="U1053" s="1463"/>
      <c r="V1053" s="1463"/>
      <c r="W1053" s="1463"/>
      <c r="X1053" s="1463"/>
      <c r="Y1053" s="1463"/>
    </row>
    <row r="1054" spans="1:25">
      <c r="A1054" s="2263"/>
      <c r="B1054" s="2263"/>
      <c r="C1054" s="2263"/>
      <c r="D1054" s="2263"/>
      <c r="E1054" s="1462"/>
      <c r="R1054" s="1463"/>
      <c r="S1054" s="1463"/>
      <c r="T1054" s="1463"/>
      <c r="U1054" s="1463"/>
      <c r="V1054" s="1463"/>
      <c r="W1054" s="1463"/>
      <c r="X1054" s="1463"/>
      <c r="Y1054" s="1463"/>
    </row>
    <row r="1055" spans="1:25">
      <c r="A1055" s="2263"/>
      <c r="B1055" s="2263"/>
      <c r="C1055" s="2263"/>
      <c r="D1055" s="2263"/>
      <c r="E1055" s="1462"/>
      <c r="R1055" s="1463"/>
      <c r="S1055" s="1463"/>
      <c r="T1055" s="1463"/>
      <c r="U1055" s="1463"/>
      <c r="V1055" s="1463"/>
      <c r="W1055" s="1463"/>
      <c r="X1055" s="1463"/>
      <c r="Y1055" s="1463"/>
    </row>
    <row r="1056" spans="1:25">
      <c r="A1056" s="2263"/>
      <c r="B1056" s="2263"/>
      <c r="C1056" s="2263"/>
      <c r="D1056" s="2263"/>
      <c r="E1056" s="1462"/>
      <c r="R1056" s="1463"/>
      <c r="S1056" s="1463"/>
      <c r="T1056" s="1463"/>
      <c r="U1056" s="1463"/>
      <c r="V1056" s="1463"/>
      <c r="W1056" s="1463"/>
      <c r="X1056" s="1463"/>
      <c r="Y1056" s="1463"/>
    </row>
    <row r="1057" spans="1:25">
      <c r="A1057" s="2263"/>
      <c r="B1057" s="2263"/>
      <c r="C1057" s="2263"/>
      <c r="D1057" s="2263"/>
      <c r="E1057" s="1462"/>
      <c r="R1057" s="1463"/>
      <c r="S1057" s="1463"/>
      <c r="T1057" s="1463"/>
      <c r="U1057" s="1463"/>
      <c r="V1057" s="1463"/>
      <c r="W1057" s="1463"/>
      <c r="X1057" s="1463"/>
      <c r="Y1057" s="1463"/>
    </row>
    <row r="1058" spans="1:25">
      <c r="A1058" s="2263"/>
      <c r="B1058" s="2263"/>
      <c r="C1058" s="2263"/>
      <c r="D1058" s="2263"/>
      <c r="E1058" s="1462"/>
      <c r="R1058" s="1463"/>
      <c r="S1058" s="1463"/>
      <c r="T1058" s="1463"/>
      <c r="U1058" s="1463"/>
      <c r="V1058" s="1463"/>
      <c r="W1058" s="1463"/>
      <c r="X1058" s="1463"/>
      <c r="Y1058" s="1463"/>
    </row>
    <row r="1059" spans="1:25">
      <c r="A1059" s="2263"/>
      <c r="B1059" s="2263"/>
      <c r="C1059" s="2263"/>
      <c r="D1059" s="2263"/>
      <c r="E1059" s="1462"/>
      <c r="R1059" s="1463"/>
      <c r="S1059" s="1463"/>
      <c r="T1059" s="1463"/>
      <c r="U1059" s="1463"/>
      <c r="V1059" s="1463"/>
      <c r="W1059" s="1463"/>
      <c r="X1059" s="1463"/>
      <c r="Y1059" s="1463"/>
    </row>
    <row r="1060" spans="1:25">
      <c r="A1060" s="2263"/>
      <c r="B1060" s="2263"/>
      <c r="C1060" s="2263"/>
      <c r="D1060" s="2263"/>
      <c r="E1060" s="1462"/>
      <c r="R1060" s="1463"/>
      <c r="S1060" s="1463"/>
      <c r="T1060" s="1463"/>
      <c r="U1060" s="1463"/>
      <c r="V1060" s="1463"/>
      <c r="W1060" s="1463"/>
      <c r="X1060" s="1463"/>
      <c r="Y1060" s="1463"/>
    </row>
    <row r="1061" spans="1:25">
      <c r="A1061" s="2263"/>
      <c r="B1061" s="2263"/>
      <c r="C1061" s="2263"/>
      <c r="D1061" s="2263"/>
      <c r="E1061" s="1462"/>
      <c r="R1061" s="1463"/>
      <c r="S1061" s="1463"/>
      <c r="T1061" s="1463"/>
      <c r="U1061" s="1463"/>
      <c r="V1061" s="1463"/>
      <c r="W1061" s="1463"/>
      <c r="X1061" s="1463"/>
      <c r="Y1061" s="1463"/>
    </row>
    <row r="1062" spans="1:25">
      <c r="A1062" s="2263"/>
      <c r="B1062" s="2263"/>
      <c r="C1062" s="2263"/>
      <c r="D1062" s="2263"/>
      <c r="E1062" s="1462"/>
      <c r="R1062" s="1463"/>
      <c r="S1062" s="1463"/>
      <c r="T1062" s="1463"/>
      <c r="U1062" s="1463"/>
      <c r="V1062" s="1463"/>
      <c r="W1062" s="1463"/>
      <c r="X1062" s="1463"/>
      <c r="Y1062" s="1463"/>
    </row>
    <row r="1063" spans="1:25">
      <c r="A1063" s="2263"/>
      <c r="B1063" s="2263"/>
      <c r="C1063" s="2263"/>
      <c r="D1063" s="2263"/>
      <c r="E1063" s="1462"/>
      <c r="R1063" s="1463"/>
      <c r="S1063" s="1463"/>
      <c r="T1063" s="1463"/>
      <c r="U1063" s="1463"/>
      <c r="V1063" s="1463"/>
      <c r="W1063" s="1463"/>
      <c r="X1063" s="1463"/>
      <c r="Y1063" s="1463"/>
    </row>
    <row r="1064" spans="1:25">
      <c r="A1064" s="2263"/>
      <c r="B1064" s="2263"/>
      <c r="C1064" s="2263"/>
      <c r="D1064" s="2263"/>
      <c r="E1064" s="1462"/>
      <c r="R1064" s="1463"/>
      <c r="S1064" s="1463"/>
      <c r="T1064" s="1463"/>
      <c r="U1064" s="1463"/>
      <c r="V1064" s="1463"/>
      <c r="W1064" s="1463"/>
      <c r="X1064" s="1463"/>
      <c r="Y1064" s="1463"/>
    </row>
    <row r="1065" spans="1:25">
      <c r="A1065" s="2263"/>
      <c r="B1065" s="2263"/>
      <c r="C1065" s="2263"/>
      <c r="D1065" s="2263"/>
      <c r="E1065" s="1462"/>
      <c r="R1065" s="1463"/>
      <c r="S1065" s="1463"/>
      <c r="T1065" s="1463"/>
      <c r="U1065" s="1463"/>
      <c r="V1065" s="1463"/>
      <c r="W1065" s="1463"/>
      <c r="X1065" s="1463"/>
      <c r="Y1065" s="1463"/>
    </row>
    <row r="1066" spans="1:25">
      <c r="A1066" s="2263"/>
      <c r="B1066" s="2263"/>
      <c r="C1066" s="2263"/>
      <c r="D1066" s="2263"/>
      <c r="E1066" s="1462"/>
      <c r="R1066" s="1463"/>
      <c r="S1066" s="1463"/>
      <c r="T1066" s="1463"/>
      <c r="U1066" s="1463"/>
      <c r="V1066" s="1463"/>
      <c r="W1066" s="1463"/>
      <c r="X1066" s="1463"/>
      <c r="Y1066" s="1463"/>
    </row>
    <row r="1067" spans="1:25">
      <c r="A1067" s="2263"/>
      <c r="B1067" s="2263"/>
      <c r="C1067" s="2263"/>
      <c r="D1067" s="2263"/>
      <c r="E1067" s="1462"/>
      <c r="R1067" s="1463"/>
      <c r="S1067" s="1463"/>
      <c r="T1067" s="1463"/>
      <c r="U1067" s="1463"/>
      <c r="V1067" s="1463"/>
      <c r="W1067" s="1463"/>
      <c r="X1067" s="1463"/>
      <c r="Y1067" s="1463"/>
    </row>
    <row r="1068" spans="1:25">
      <c r="A1068" s="2263"/>
      <c r="B1068" s="2263"/>
      <c r="C1068" s="2263"/>
      <c r="D1068" s="2263"/>
      <c r="E1068" s="1462"/>
      <c r="R1068" s="1463"/>
      <c r="S1068" s="1463"/>
      <c r="T1068" s="1463"/>
      <c r="U1068" s="1463"/>
      <c r="V1068" s="1463"/>
      <c r="W1068" s="1463"/>
      <c r="X1068" s="1463"/>
      <c r="Y1068" s="1463"/>
    </row>
    <row r="1069" spans="1:25">
      <c r="A1069" s="2263"/>
      <c r="B1069" s="2263"/>
      <c r="C1069" s="2263"/>
      <c r="D1069" s="2263"/>
      <c r="E1069" s="1462"/>
      <c r="R1069" s="1463"/>
      <c r="S1069" s="1463"/>
      <c r="T1069" s="1463"/>
      <c r="U1069" s="1463"/>
      <c r="V1069" s="1463"/>
      <c r="W1069" s="1463"/>
      <c r="X1069" s="1463"/>
      <c r="Y1069" s="1463"/>
    </row>
    <row r="1070" spans="1:25">
      <c r="A1070" s="2263"/>
      <c r="B1070" s="2263"/>
      <c r="C1070" s="2263"/>
      <c r="D1070" s="2263"/>
      <c r="E1070" s="1462"/>
      <c r="R1070" s="1463"/>
      <c r="S1070" s="1463"/>
      <c r="T1070" s="1463"/>
      <c r="U1070" s="1463"/>
      <c r="V1070" s="1463"/>
      <c r="W1070" s="1463"/>
      <c r="X1070" s="1463"/>
      <c r="Y1070" s="1463"/>
    </row>
    <row r="1071" spans="1:25">
      <c r="A1071" s="2263"/>
      <c r="B1071" s="2263"/>
      <c r="C1071" s="2263"/>
      <c r="D1071" s="2263"/>
      <c r="E1071" s="1462"/>
      <c r="R1071" s="1463"/>
      <c r="S1071" s="1463"/>
      <c r="T1071" s="1463"/>
      <c r="U1071" s="1463"/>
      <c r="V1071" s="1463"/>
      <c r="W1071" s="1463"/>
      <c r="X1071" s="1463"/>
      <c r="Y1071" s="1463"/>
    </row>
    <row r="1072" spans="1:25">
      <c r="A1072" s="2263"/>
      <c r="B1072" s="2263"/>
      <c r="C1072" s="2263"/>
      <c r="D1072" s="2263"/>
      <c r="E1072" s="1462"/>
      <c r="R1072" s="1463"/>
      <c r="S1072" s="1463"/>
      <c r="T1072" s="1463"/>
      <c r="U1072" s="1463"/>
      <c r="V1072" s="1463"/>
      <c r="W1072" s="1463"/>
      <c r="X1072" s="1463"/>
      <c r="Y1072" s="1463"/>
    </row>
    <row r="1073" spans="1:25">
      <c r="A1073" s="2263"/>
      <c r="B1073" s="2263"/>
      <c r="C1073" s="2263"/>
      <c r="D1073" s="2263"/>
      <c r="E1073" s="1462"/>
      <c r="R1073" s="1463"/>
      <c r="S1073" s="1463"/>
      <c r="T1073" s="1463"/>
      <c r="U1073" s="1463"/>
      <c r="V1073" s="1463"/>
      <c r="W1073" s="1463"/>
      <c r="X1073" s="1463"/>
      <c r="Y1073" s="1463"/>
    </row>
    <row r="1074" spans="1:25">
      <c r="A1074" s="2263"/>
      <c r="B1074" s="2263"/>
      <c r="C1074" s="2263"/>
      <c r="D1074" s="2263"/>
      <c r="E1074" s="1462"/>
      <c r="R1074" s="1463"/>
      <c r="S1074" s="1463"/>
      <c r="T1074" s="1463"/>
      <c r="U1074" s="1463"/>
      <c r="V1074" s="1463"/>
      <c r="W1074" s="1463"/>
      <c r="X1074" s="1463"/>
      <c r="Y1074" s="1463"/>
    </row>
    <row r="1075" spans="1:25">
      <c r="A1075" s="2263"/>
      <c r="B1075" s="2263"/>
      <c r="C1075" s="2263"/>
      <c r="D1075" s="2263"/>
      <c r="E1075" s="1462"/>
      <c r="R1075" s="1463"/>
      <c r="S1075" s="1463"/>
      <c r="T1075" s="1463"/>
      <c r="U1075" s="1463"/>
      <c r="V1075" s="1463"/>
      <c r="W1075" s="1463"/>
      <c r="X1075" s="1463"/>
      <c r="Y1075" s="1463"/>
    </row>
    <row r="1076" spans="1:25">
      <c r="A1076" s="2263"/>
      <c r="B1076" s="2263"/>
      <c r="C1076" s="2263"/>
      <c r="D1076" s="2263"/>
      <c r="E1076" s="1462"/>
      <c r="R1076" s="1463"/>
      <c r="S1076" s="1463"/>
      <c r="T1076" s="1463"/>
      <c r="U1076" s="1463"/>
      <c r="V1076" s="1463"/>
      <c r="W1076" s="1463"/>
      <c r="X1076" s="1463"/>
      <c r="Y1076" s="1463"/>
    </row>
    <row r="1077" spans="1:25">
      <c r="A1077" s="2263"/>
      <c r="B1077" s="2263"/>
      <c r="C1077" s="2263"/>
      <c r="D1077" s="2263"/>
      <c r="E1077" s="1462"/>
      <c r="R1077" s="1463"/>
      <c r="S1077" s="1463"/>
      <c r="T1077" s="1463"/>
      <c r="U1077" s="1463"/>
      <c r="V1077" s="1463"/>
      <c r="W1077" s="1463"/>
      <c r="X1077" s="1463"/>
      <c r="Y1077" s="1463"/>
    </row>
    <row r="1078" spans="1:25">
      <c r="A1078" s="2263"/>
      <c r="B1078" s="2263"/>
      <c r="C1078" s="2263"/>
      <c r="D1078" s="2263"/>
      <c r="E1078" s="1462"/>
      <c r="R1078" s="1463"/>
      <c r="S1078" s="1463"/>
      <c r="T1078" s="1463"/>
      <c r="U1078" s="1463"/>
      <c r="V1078" s="1463"/>
      <c r="W1078" s="1463"/>
      <c r="X1078" s="1463"/>
      <c r="Y1078" s="1463"/>
    </row>
    <row r="1079" spans="1:25">
      <c r="A1079" s="2263"/>
      <c r="B1079" s="2263"/>
      <c r="C1079" s="2263"/>
      <c r="D1079" s="2263"/>
      <c r="E1079" s="1462"/>
      <c r="R1079" s="1463"/>
      <c r="S1079" s="1463"/>
      <c r="T1079" s="1463"/>
      <c r="U1079" s="1463"/>
      <c r="V1079" s="1463"/>
      <c r="W1079" s="1463"/>
      <c r="X1079" s="1463"/>
      <c r="Y1079" s="1463"/>
    </row>
    <row r="1080" spans="1:25">
      <c r="A1080" s="2263"/>
      <c r="B1080" s="2263"/>
      <c r="C1080" s="2263"/>
      <c r="D1080" s="2263"/>
      <c r="E1080" s="1462"/>
      <c r="R1080" s="1463"/>
      <c r="S1080" s="1463"/>
      <c r="T1080" s="1463"/>
      <c r="U1080" s="1463"/>
      <c r="V1080" s="1463"/>
      <c r="W1080" s="1463"/>
      <c r="X1080" s="1463"/>
      <c r="Y1080" s="1463"/>
    </row>
    <row r="1081" spans="1:25">
      <c r="A1081" s="2263"/>
      <c r="B1081" s="2263"/>
      <c r="C1081" s="2263"/>
      <c r="D1081" s="2263"/>
      <c r="E1081" s="1462"/>
      <c r="R1081" s="1463"/>
      <c r="S1081" s="1463"/>
      <c r="T1081" s="1463"/>
      <c r="U1081" s="1463"/>
      <c r="V1081" s="1463"/>
      <c r="W1081" s="1463"/>
      <c r="X1081" s="1463"/>
      <c r="Y1081" s="1463"/>
    </row>
    <row r="1082" spans="1:25">
      <c r="A1082" s="2263"/>
      <c r="B1082" s="2263"/>
      <c r="C1082" s="2263"/>
      <c r="D1082" s="2263"/>
      <c r="E1082" s="1462"/>
      <c r="R1082" s="1463"/>
      <c r="S1082" s="1463"/>
      <c r="T1082" s="1463"/>
      <c r="U1082" s="1463"/>
      <c r="V1082" s="1463"/>
      <c r="W1082" s="1463"/>
      <c r="X1082" s="1463"/>
      <c r="Y1082" s="1463"/>
    </row>
    <row r="1083" spans="1:25">
      <c r="A1083" s="2263"/>
      <c r="B1083" s="2263"/>
      <c r="C1083" s="2263"/>
      <c r="D1083" s="2263"/>
      <c r="E1083" s="1462"/>
      <c r="R1083" s="1463"/>
      <c r="S1083" s="1463"/>
      <c r="T1083" s="1463"/>
      <c r="U1083" s="1463"/>
      <c r="V1083" s="1463"/>
      <c r="W1083" s="1463"/>
      <c r="X1083" s="1463"/>
      <c r="Y1083" s="1463"/>
    </row>
    <row r="1084" spans="1:25">
      <c r="A1084" s="2263"/>
      <c r="B1084" s="2263"/>
      <c r="C1084" s="2263"/>
      <c r="D1084" s="2263"/>
      <c r="E1084" s="1462"/>
      <c r="R1084" s="1463"/>
      <c r="S1084" s="1463"/>
      <c r="T1084" s="1463"/>
      <c r="U1084" s="1463"/>
      <c r="V1084" s="1463"/>
      <c r="W1084" s="1463"/>
      <c r="X1084" s="1463"/>
      <c r="Y1084" s="1463"/>
    </row>
    <row r="1085" spans="1:25">
      <c r="A1085" s="2263"/>
      <c r="B1085" s="2263"/>
      <c r="C1085" s="2263"/>
      <c r="D1085" s="2263"/>
      <c r="E1085" s="1462"/>
      <c r="R1085" s="1463"/>
      <c r="S1085" s="1463"/>
      <c r="T1085" s="1463"/>
      <c r="U1085" s="1463"/>
      <c r="V1085" s="1463"/>
      <c r="W1085" s="1463"/>
      <c r="X1085" s="1463"/>
      <c r="Y1085" s="1463"/>
    </row>
    <row r="1086" spans="1:25">
      <c r="A1086" s="2263"/>
      <c r="B1086" s="2263"/>
      <c r="C1086" s="2263"/>
      <c r="D1086" s="2263"/>
      <c r="E1086" s="1462"/>
      <c r="R1086" s="1463"/>
      <c r="S1086" s="1463"/>
      <c r="T1086" s="1463"/>
      <c r="U1086" s="1463"/>
      <c r="V1086" s="1463"/>
      <c r="W1086" s="1463"/>
      <c r="X1086" s="1463"/>
      <c r="Y1086" s="1463"/>
    </row>
    <row r="1087" spans="1:25">
      <c r="A1087" s="2263"/>
      <c r="B1087" s="2263"/>
      <c r="C1087" s="2263"/>
      <c r="D1087" s="2263"/>
      <c r="E1087" s="1462"/>
      <c r="R1087" s="1463"/>
      <c r="S1087" s="1463"/>
      <c r="T1087" s="1463"/>
      <c r="U1087" s="1463"/>
      <c r="V1087" s="1463"/>
      <c r="W1087" s="1463"/>
      <c r="X1087" s="1463"/>
      <c r="Y1087" s="1463"/>
    </row>
    <row r="1088" spans="1:25">
      <c r="A1088" s="2263"/>
      <c r="B1088" s="2263"/>
      <c r="C1088" s="2263"/>
      <c r="D1088" s="2263"/>
      <c r="E1088" s="1462"/>
      <c r="R1088" s="1463"/>
      <c r="S1088" s="1463"/>
      <c r="T1088" s="1463"/>
      <c r="U1088" s="1463"/>
      <c r="V1088" s="1463"/>
      <c r="W1088" s="1463"/>
      <c r="X1088" s="1463"/>
      <c r="Y1088" s="1463"/>
    </row>
    <row r="1089" spans="1:25">
      <c r="A1089" s="2263"/>
      <c r="B1089" s="2263"/>
      <c r="C1089" s="2263"/>
      <c r="D1089" s="2263"/>
      <c r="E1089" s="1462"/>
      <c r="R1089" s="1463"/>
      <c r="S1089" s="1463"/>
      <c r="T1089" s="1463"/>
      <c r="U1089" s="1463"/>
      <c r="V1089" s="1463"/>
      <c r="W1089" s="1463"/>
      <c r="X1089" s="1463"/>
      <c r="Y1089" s="1463"/>
    </row>
    <row r="1090" spans="1:25">
      <c r="A1090" s="2263"/>
      <c r="B1090" s="2263"/>
      <c r="C1090" s="2263"/>
      <c r="D1090" s="2263"/>
      <c r="E1090" s="1462"/>
      <c r="R1090" s="1463"/>
      <c r="S1090" s="1463"/>
      <c r="T1090" s="1463"/>
      <c r="U1090" s="1463"/>
      <c r="V1090" s="1463"/>
      <c r="W1090" s="1463"/>
      <c r="X1090" s="1463"/>
      <c r="Y1090" s="1463"/>
    </row>
    <row r="1091" spans="1:25">
      <c r="A1091" s="2263"/>
      <c r="B1091" s="2263"/>
      <c r="C1091" s="2263"/>
      <c r="D1091" s="2263"/>
      <c r="E1091" s="1462"/>
      <c r="R1091" s="1463"/>
      <c r="S1091" s="1463"/>
      <c r="T1091" s="1463"/>
      <c r="U1091" s="1463"/>
      <c r="V1091" s="1463"/>
      <c r="W1091" s="1463"/>
      <c r="X1091" s="1463"/>
      <c r="Y1091" s="1463"/>
    </row>
    <row r="1092" spans="1:25">
      <c r="A1092" s="2263"/>
      <c r="B1092" s="2263"/>
      <c r="C1092" s="2263"/>
      <c r="D1092" s="2263"/>
      <c r="E1092" s="1462"/>
      <c r="R1092" s="1463"/>
      <c r="S1092" s="1463"/>
      <c r="T1092" s="1463"/>
      <c r="U1092" s="1463"/>
      <c r="V1092" s="1463"/>
      <c r="W1092" s="1463"/>
      <c r="X1092" s="1463"/>
      <c r="Y1092" s="1463"/>
    </row>
    <row r="1093" spans="1:25">
      <c r="A1093" s="2263"/>
      <c r="B1093" s="2263"/>
      <c r="C1093" s="2263"/>
      <c r="D1093" s="2263"/>
      <c r="E1093" s="1462"/>
      <c r="R1093" s="1463"/>
      <c r="S1093" s="1463"/>
      <c r="T1093" s="1463"/>
      <c r="U1093" s="1463"/>
      <c r="V1093" s="1463"/>
      <c r="W1093" s="1463"/>
      <c r="X1093" s="1463"/>
      <c r="Y1093" s="1463"/>
    </row>
    <row r="1094" spans="1:25">
      <c r="A1094" s="2263"/>
      <c r="B1094" s="2263"/>
      <c r="C1094" s="2263"/>
      <c r="D1094" s="2263"/>
      <c r="E1094" s="1462"/>
      <c r="R1094" s="1463"/>
      <c r="S1094" s="1463"/>
      <c r="T1094" s="1463"/>
      <c r="U1094" s="1463"/>
      <c r="V1094" s="1463"/>
      <c r="W1094" s="1463"/>
      <c r="X1094" s="1463"/>
      <c r="Y1094" s="1463"/>
    </row>
    <row r="1095" spans="1:25">
      <c r="A1095" s="2263"/>
      <c r="B1095" s="2263"/>
      <c r="C1095" s="2263"/>
      <c r="D1095" s="2263"/>
      <c r="E1095" s="1462"/>
      <c r="R1095" s="1463"/>
      <c r="S1095" s="1463"/>
      <c r="T1095" s="1463"/>
      <c r="U1095" s="1463"/>
      <c r="V1095" s="1463"/>
      <c r="W1095" s="1463"/>
      <c r="X1095" s="1463"/>
      <c r="Y1095" s="1463"/>
    </row>
    <row r="1096" spans="1:25">
      <c r="A1096" s="2263"/>
      <c r="B1096" s="2263"/>
      <c r="C1096" s="2263"/>
      <c r="D1096" s="2263"/>
      <c r="E1096" s="1462"/>
      <c r="R1096" s="1463"/>
      <c r="S1096" s="1463"/>
      <c r="T1096" s="1463"/>
      <c r="U1096" s="1463"/>
      <c r="V1096" s="1463"/>
      <c r="W1096" s="1463"/>
      <c r="X1096" s="1463"/>
      <c r="Y1096" s="1463"/>
    </row>
    <row r="1097" spans="1:25">
      <c r="A1097" s="2263"/>
      <c r="B1097" s="2263"/>
      <c r="C1097" s="2263"/>
      <c r="D1097" s="2263"/>
      <c r="E1097" s="1462"/>
      <c r="R1097" s="1463"/>
      <c r="S1097" s="1463"/>
      <c r="T1097" s="1463"/>
      <c r="U1097" s="1463"/>
      <c r="V1097" s="1463"/>
      <c r="W1097" s="1463"/>
      <c r="X1097" s="1463"/>
      <c r="Y1097" s="1463"/>
    </row>
    <row r="1098" spans="1:25">
      <c r="A1098" s="2263"/>
      <c r="B1098" s="2263"/>
      <c r="C1098" s="2263"/>
      <c r="D1098" s="2263"/>
      <c r="E1098" s="1462"/>
      <c r="R1098" s="1463"/>
      <c r="S1098" s="1463"/>
      <c r="T1098" s="1463"/>
      <c r="U1098" s="1463"/>
      <c r="V1098" s="1463"/>
      <c r="W1098" s="1463"/>
      <c r="X1098" s="1463"/>
      <c r="Y1098" s="1463"/>
    </row>
    <row r="1099" spans="1:25">
      <c r="A1099" s="2263"/>
      <c r="B1099" s="2263"/>
      <c r="C1099" s="2263"/>
      <c r="D1099" s="2263"/>
      <c r="E1099" s="1462"/>
      <c r="R1099" s="1463"/>
      <c r="S1099" s="1463"/>
      <c r="T1099" s="1463"/>
      <c r="U1099" s="1463"/>
      <c r="V1099" s="1463"/>
      <c r="W1099" s="1463"/>
      <c r="X1099" s="1463"/>
      <c r="Y1099" s="1463"/>
    </row>
    <row r="1100" spans="1:25">
      <c r="A1100" s="2263"/>
      <c r="B1100" s="2263"/>
      <c r="C1100" s="2263"/>
      <c r="D1100" s="2263"/>
      <c r="E1100" s="1462"/>
      <c r="R1100" s="1463"/>
      <c r="S1100" s="1463"/>
      <c r="T1100" s="1463"/>
      <c r="U1100" s="1463"/>
      <c r="V1100" s="1463"/>
      <c r="W1100" s="1463"/>
      <c r="X1100" s="1463"/>
      <c r="Y1100" s="1463"/>
    </row>
    <row r="1101" spans="1:25">
      <c r="A1101" s="2263"/>
      <c r="B1101" s="2263"/>
      <c r="C1101" s="2263"/>
      <c r="D1101" s="2263"/>
      <c r="E1101" s="1462"/>
      <c r="R1101" s="1463"/>
      <c r="S1101" s="1463"/>
      <c r="T1101" s="1463"/>
      <c r="U1101" s="1463"/>
      <c r="V1101" s="1463"/>
      <c r="W1101" s="1463"/>
      <c r="X1101" s="1463"/>
      <c r="Y1101" s="1463"/>
    </row>
    <row r="1102" spans="1:25">
      <c r="A1102" s="2263"/>
      <c r="B1102" s="2263"/>
      <c r="C1102" s="2263"/>
      <c r="D1102" s="2263"/>
      <c r="E1102" s="1462"/>
      <c r="R1102" s="1463"/>
      <c r="S1102" s="1463"/>
      <c r="T1102" s="1463"/>
      <c r="U1102" s="1463"/>
      <c r="V1102" s="1463"/>
      <c r="W1102" s="1463"/>
      <c r="X1102" s="1463"/>
      <c r="Y1102" s="1463"/>
    </row>
    <row r="1103" spans="1:25">
      <c r="A1103" s="2263"/>
      <c r="B1103" s="2263"/>
      <c r="C1103" s="2263"/>
      <c r="D1103" s="2263"/>
      <c r="E1103" s="1462"/>
      <c r="R1103" s="1463"/>
      <c r="S1103" s="1463"/>
      <c r="T1103" s="1463"/>
      <c r="U1103" s="1463"/>
      <c r="V1103" s="1463"/>
      <c r="W1103" s="1463"/>
      <c r="X1103" s="1463"/>
      <c r="Y1103" s="1463"/>
    </row>
    <row r="1104" spans="1:25">
      <c r="A1104" s="2263"/>
      <c r="B1104" s="2263"/>
      <c r="C1104" s="2263"/>
      <c r="D1104" s="2263"/>
      <c r="E1104" s="1462"/>
      <c r="R1104" s="1463"/>
      <c r="S1104" s="1463"/>
      <c r="T1104" s="1463"/>
      <c r="U1104" s="1463"/>
      <c r="V1104" s="1463"/>
      <c r="W1104" s="1463"/>
      <c r="X1104" s="1463"/>
      <c r="Y1104" s="1463"/>
    </row>
    <row r="1105" spans="1:25">
      <c r="A1105" s="2263"/>
      <c r="B1105" s="2263"/>
      <c r="C1105" s="2263"/>
      <c r="D1105" s="2263"/>
      <c r="E1105" s="1462"/>
      <c r="R1105" s="1463"/>
      <c r="S1105" s="1463"/>
      <c r="T1105" s="1463"/>
      <c r="U1105" s="1463"/>
      <c r="V1105" s="1463"/>
      <c r="W1105" s="1463"/>
      <c r="X1105" s="1463"/>
      <c r="Y1105" s="1463"/>
    </row>
    <row r="1106" spans="1:25">
      <c r="A1106" s="2263"/>
      <c r="B1106" s="2263"/>
      <c r="C1106" s="2263"/>
      <c r="D1106" s="2263"/>
      <c r="E1106" s="1462"/>
      <c r="R1106" s="1463"/>
      <c r="S1106" s="1463"/>
      <c r="T1106" s="1463"/>
      <c r="U1106" s="1463"/>
      <c r="V1106" s="1463"/>
      <c r="W1106" s="1463"/>
      <c r="X1106" s="1463"/>
      <c r="Y1106" s="1463"/>
    </row>
    <row r="1107" spans="1:25">
      <c r="A1107" s="2263"/>
      <c r="B1107" s="2263"/>
      <c r="C1107" s="2263"/>
      <c r="D1107" s="2263"/>
      <c r="E1107" s="1462"/>
      <c r="R1107" s="1463"/>
      <c r="S1107" s="1463"/>
      <c r="T1107" s="1463"/>
      <c r="U1107" s="1463"/>
      <c r="V1107" s="1463"/>
      <c r="W1107" s="1463"/>
      <c r="X1107" s="1463"/>
      <c r="Y1107" s="1463"/>
    </row>
    <row r="1108" spans="1:25">
      <c r="A1108" s="2263"/>
      <c r="B1108" s="2263"/>
      <c r="C1108" s="2263"/>
      <c r="D1108" s="2263"/>
      <c r="E1108" s="1462"/>
      <c r="R1108" s="1463"/>
      <c r="S1108" s="1463"/>
      <c r="T1108" s="1463"/>
      <c r="U1108" s="1463"/>
      <c r="V1108" s="1463"/>
      <c r="W1108" s="1463"/>
      <c r="X1108" s="1463"/>
      <c r="Y1108" s="1463"/>
    </row>
    <row r="1109" spans="1:25">
      <c r="A1109" s="2263"/>
      <c r="B1109" s="2263"/>
      <c r="C1109" s="2263"/>
      <c r="D1109" s="2263"/>
      <c r="E1109" s="1462"/>
      <c r="R1109" s="1463"/>
      <c r="S1109" s="1463"/>
      <c r="T1109" s="1463"/>
      <c r="U1109" s="1463"/>
      <c r="V1109" s="1463"/>
      <c r="W1109" s="1463"/>
      <c r="X1109" s="1463"/>
      <c r="Y1109" s="1463"/>
    </row>
    <row r="1110" spans="1:25">
      <c r="A1110" s="2263"/>
      <c r="B1110" s="2263"/>
      <c r="C1110" s="2263"/>
      <c r="D1110" s="2263"/>
      <c r="E1110" s="1462"/>
      <c r="R1110" s="1463"/>
      <c r="S1110" s="1463"/>
      <c r="T1110" s="1463"/>
      <c r="U1110" s="1463"/>
      <c r="V1110" s="1463"/>
      <c r="W1110" s="1463"/>
      <c r="X1110" s="1463"/>
      <c r="Y1110" s="1463"/>
    </row>
    <row r="1111" spans="1:25">
      <c r="A1111" s="2263"/>
      <c r="B1111" s="2263"/>
      <c r="C1111" s="2263"/>
      <c r="D1111" s="2263"/>
      <c r="E1111" s="1462"/>
      <c r="R1111" s="1463"/>
      <c r="S1111" s="1463"/>
      <c r="T1111" s="1463"/>
      <c r="U1111" s="1463"/>
      <c r="V1111" s="1463"/>
      <c r="W1111" s="1463"/>
      <c r="X1111" s="1463"/>
      <c r="Y1111" s="1463"/>
    </row>
    <row r="1112" spans="1:25">
      <c r="A1112" s="2263"/>
      <c r="B1112" s="2263"/>
      <c r="C1112" s="2263"/>
      <c r="D1112" s="2263"/>
      <c r="E1112" s="1462"/>
      <c r="R1112" s="1463"/>
      <c r="S1112" s="1463"/>
      <c r="T1112" s="1463"/>
      <c r="U1112" s="1463"/>
      <c r="V1112" s="1463"/>
      <c r="W1112" s="1463"/>
      <c r="X1112" s="1463"/>
      <c r="Y1112" s="1463"/>
    </row>
    <row r="1113" spans="1:25">
      <c r="A1113" s="2263"/>
      <c r="B1113" s="2263"/>
      <c r="C1113" s="2263"/>
      <c r="D1113" s="2263"/>
      <c r="E1113" s="1462"/>
      <c r="R1113" s="1463"/>
      <c r="S1113" s="1463"/>
      <c r="T1113" s="1463"/>
      <c r="U1113" s="1463"/>
      <c r="V1113" s="1463"/>
      <c r="W1113" s="1463"/>
      <c r="X1113" s="1463"/>
      <c r="Y1113" s="1463"/>
    </row>
    <row r="1114" spans="1:25">
      <c r="A1114" s="2263"/>
      <c r="B1114" s="2263"/>
      <c r="C1114" s="2263"/>
      <c r="D1114" s="2263"/>
      <c r="E1114" s="1462"/>
      <c r="R1114" s="1463"/>
      <c r="S1114" s="1463"/>
      <c r="T1114" s="1463"/>
      <c r="U1114" s="1463"/>
      <c r="V1114" s="1463"/>
      <c r="W1114" s="1463"/>
      <c r="X1114" s="1463"/>
      <c r="Y1114" s="1463"/>
    </row>
    <row r="1115" spans="1:25">
      <c r="A1115" s="2263"/>
      <c r="B1115" s="2263"/>
      <c r="C1115" s="2263"/>
      <c r="D1115" s="2263"/>
      <c r="E1115" s="1462"/>
      <c r="R1115" s="1463"/>
      <c r="S1115" s="1463"/>
      <c r="T1115" s="1463"/>
      <c r="U1115" s="1463"/>
      <c r="V1115" s="1463"/>
      <c r="W1115" s="1463"/>
      <c r="X1115" s="1463"/>
      <c r="Y1115" s="1463"/>
    </row>
    <row r="1116" spans="1:25">
      <c r="A1116" s="2263"/>
      <c r="B1116" s="2263"/>
      <c r="C1116" s="2263"/>
      <c r="D1116" s="2263"/>
      <c r="E1116" s="1462"/>
      <c r="R1116" s="1463"/>
      <c r="S1116" s="1463"/>
      <c r="T1116" s="1463"/>
      <c r="U1116" s="1463"/>
      <c r="V1116" s="1463"/>
      <c r="W1116" s="1463"/>
      <c r="X1116" s="1463"/>
      <c r="Y1116" s="1463"/>
    </row>
    <row r="1117" spans="1:25">
      <c r="A1117" s="2263"/>
      <c r="B1117" s="2263"/>
      <c r="C1117" s="2263"/>
      <c r="D1117" s="2263"/>
      <c r="E1117" s="1462"/>
      <c r="R1117" s="1463"/>
      <c r="S1117" s="1463"/>
      <c r="T1117" s="1463"/>
      <c r="U1117" s="1463"/>
      <c r="V1117" s="1463"/>
      <c r="W1117" s="1463"/>
      <c r="X1117" s="1463"/>
      <c r="Y1117" s="1463"/>
    </row>
    <row r="1118" spans="1:25">
      <c r="A1118" s="2263"/>
      <c r="B1118" s="2263"/>
      <c r="C1118" s="2263"/>
      <c r="D1118" s="2263"/>
      <c r="E1118" s="1462"/>
      <c r="R1118" s="1463"/>
      <c r="S1118" s="1463"/>
      <c r="T1118" s="1463"/>
      <c r="U1118" s="1463"/>
      <c r="V1118" s="1463"/>
      <c r="W1118" s="1463"/>
      <c r="X1118" s="1463"/>
      <c r="Y1118" s="1463"/>
    </row>
    <row r="1119" spans="1:25">
      <c r="A1119" s="2263"/>
      <c r="B1119" s="2263"/>
      <c r="C1119" s="2263"/>
      <c r="D1119" s="2263"/>
      <c r="E1119" s="1462"/>
      <c r="R1119" s="1463"/>
      <c r="S1119" s="1463"/>
      <c r="T1119" s="1463"/>
      <c r="U1119" s="1463"/>
      <c r="V1119" s="1463"/>
      <c r="W1119" s="1463"/>
      <c r="X1119" s="1463"/>
      <c r="Y1119" s="1463"/>
    </row>
    <row r="1120" spans="1:25">
      <c r="A1120" s="2263"/>
      <c r="B1120" s="2263"/>
      <c r="C1120" s="2263"/>
      <c r="D1120" s="2263"/>
      <c r="E1120" s="1462"/>
      <c r="R1120" s="1463"/>
      <c r="S1120" s="1463"/>
      <c r="T1120" s="1463"/>
      <c r="U1120" s="1463"/>
      <c r="V1120" s="1463"/>
      <c r="W1120" s="1463"/>
      <c r="X1120" s="1463"/>
      <c r="Y1120" s="1463"/>
    </row>
    <row r="1121" spans="1:25">
      <c r="A1121" s="2263"/>
      <c r="B1121" s="2263"/>
      <c r="C1121" s="2263"/>
      <c r="D1121" s="2263"/>
      <c r="E1121" s="1462"/>
      <c r="R1121" s="1463"/>
      <c r="S1121" s="1463"/>
      <c r="T1121" s="1463"/>
      <c r="U1121" s="1463"/>
      <c r="V1121" s="1463"/>
      <c r="W1121" s="1463"/>
      <c r="X1121" s="1463"/>
      <c r="Y1121" s="1463"/>
    </row>
    <row r="1122" spans="1:25">
      <c r="A1122" s="2263"/>
      <c r="B1122" s="2263"/>
      <c r="C1122" s="2263"/>
      <c r="D1122" s="2263"/>
      <c r="E1122" s="1462"/>
      <c r="R1122" s="1463"/>
      <c r="S1122" s="1463"/>
      <c r="T1122" s="1463"/>
      <c r="U1122" s="1463"/>
      <c r="V1122" s="1463"/>
      <c r="W1122" s="1463"/>
      <c r="X1122" s="1463"/>
      <c r="Y1122" s="1463"/>
    </row>
    <row r="1123" spans="1:25">
      <c r="A1123" s="2263"/>
      <c r="B1123" s="2263"/>
      <c r="C1123" s="2263"/>
      <c r="D1123" s="2263"/>
      <c r="E1123" s="1462"/>
      <c r="R1123" s="1463"/>
      <c r="S1123" s="1463"/>
      <c r="T1123" s="1463"/>
      <c r="U1123" s="1463"/>
      <c r="V1123" s="1463"/>
      <c r="W1123" s="1463"/>
      <c r="X1123" s="1463"/>
      <c r="Y1123" s="1463"/>
    </row>
    <row r="1124" spans="1:25">
      <c r="A1124" s="2263"/>
      <c r="B1124" s="2263"/>
      <c r="C1124" s="2263"/>
      <c r="D1124" s="2263"/>
      <c r="E1124" s="1462"/>
      <c r="R1124" s="1463"/>
      <c r="S1124" s="1463"/>
      <c r="T1124" s="1463"/>
      <c r="U1124" s="1463"/>
      <c r="V1124" s="1463"/>
      <c r="W1124" s="1463"/>
      <c r="X1124" s="1463"/>
      <c r="Y1124" s="1463"/>
    </row>
    <row r="1125" spans="1:25">
      <c r="A1125" s="2263"/>
      <c r="B1125" s="2263"/>
      <c r="C1125" s="2263"/>
      <c r="D1125" s="2263"/>
      <c r="E1125" s="1462"/>
      <c r="R1125" s="1463"/>
      <c r="S1125" s="1463"/>
      <c r="T1125" s="1463"/>
      <c r="U1125" s="1463"/>
      <c r="V1125" s="1463"/>
      <c r="W1125" s="1463"/>
      <c r="X1125" s="1463"/>
      <c r="Y1125" s="1463"/>
    </row>
    <row r="1126" spans="1:25">
      <c r="A1126" s="2263"/>
      <c r="B1126" s="2263"/>
      <c r="C1126" s="2263"/>
      <c r="D1126" s="2263"/>
      <c r="E1126" s="1462"/>
      <c r="R1126" s="1463"/>
      <c r="S1126" s="1463"/>
      <c r="T1126" s="1463"/>
      <c r="U1126" s="1463"/>
      <c r="V1126" s="1463"/>
      <c r="W1126" s="1463"/>
      <c r="X1126" s="1463"/>
      <c r="Y1126" s="1463"/>
    </row>
    <row r="1127" spans="1:25">
      <c r="A1127" s="2263"/>
      <c r="B1127" s="2263"/>
      <c r="C1127" s="2263"/>
      <c r="D1127" s="2263"/>
      <c r="E1127" s="1462"/>
      <c r="R1127" s="1463"/>
      <c r="S1127" s="1463"/>
      <c r="T1127" s="1463"/>
      <c r="U1127" s="1463"/>
      <c r="V1127" s="1463"/>
      <c r="W1127" s="1463"/>
      <c r="X1127" s="1463"/>
      <c r="Y1127" s="1463"/>
    </row>
    <row r="1128" spans="1:25">
      <c r="A1128" s="2263"/>
      <c r="B1128" s="2263"/>
      <c r="C1128" s="2263"/>
      <c r="D1128" s="2263"/>
      <c r="E1128" s="1462"/>
      <c r="R1128" s="1463"/>
      <c r="S1128" s="1463"/>
      <c r="T1128" s="1463"/>
      <c r="U1128" s="1463"/>
      <c r="V1128" s="1463"/>
      <c r="W1128" s="1463"/>
      <c r="X1128" s="1463"/>
      <c r="Y1128" s="1463"/>
    </row>
    <row r="1129" spans="1:25">
      <c r="A1129" s="2263"/>
      <c r="B1129" s="2263"/>
      <c r="C1129" s="2263"/>
      <c r="D1129" s="2263"/>
      <c r="E1129" s="1462"/>
      <c r="R1129" s="1463"/>
      <c r="S1129" s="1463"/>
      <c r="T1129" s="1463"/>
      <c r="U1129" s="1463"/>
      <c r="V1129" s="1463"/>
      <c r="W1129" s="1463"/>
      <c r="X1129" s="1463"/>
      <c r="Y1129" s="1463"/>
    </row>
    <row r="1130" spans="1:25">
      <c r="A1130" s="2263"/>
      <c r="B1130" s="2263"/>
      <c r="C1130" s="2263"/>
      <c r="D1130" s="2263"/>
      <c r="E1130" s="1462"/>
      <c r="R1130" s="1463"/>
      <c r="S1130" s="1463"/>
      <c r="T1130" s="1463"/>
      <c r="U1130" s="1463"/>
      <c r="V1130" s="1463"/>
      <c r="W1130" s="1463"/>
      <c r="X1130" s="1463"/>
      <c r="Y1130" s="1463"/>
    </row>
    <row r="1131" spans="1:25">
      <c r="A1131" s="2263"/>
      <c r="B1131" s="2263"/>
      <c r="C1131" s="2263"/>
      <c r="D1131" s="2263"/>
      <c r="E1131" s="1462"/>
      <c r="R1131" s="1463"/>
      <c r="S1131" s="1463"/>
      <c r="T1131" s="1463"/>
      <c r="U1131" s="1463"/>
      <c r="V1131" s="1463"/>
      <c r="W1131" s="1463"/>
      <c r="X1131" s="1463"/>
      <c r="Y1131" s="1463"/>
    </row>
    <row r="1132" spans="1:25">
      <c r="A1132" s="2263"/>
      <c r="B1132" s="2263"/>
      <c r="C1132" s="2263"/>
      <c r="D1132" s="2263"/>
      <c r="E1132" s="1462"/>
      <c r="R1132" s="1463"/>
      <c r="S1132" s="1463"/>
      <c r="T1132" s="1463"/>
      <c r="U1132" s="1463"/>
      <c r="V1132" s="1463"/>
      <c r="W1132" s="1463"/>
      <c r="X1132" s="1463"/>
      <c r="Y1132" s="1463"/>
    </row>
    <row r="1133" spans="1:25">
      <c r="A1133" s="2263"/>
      <c r="B1133" s="2263"/>
      <c r="C1133" s="2263"/>
      <c r="D1133" s="2263"/>
      <c r="E1133" s="1462"/>
      <c r="R1133" s="1463"/>
      <c r="S1133" s="1463"/>
      <c r="T1133" s="1463"/>
      <c r="U1133" s="1463"/>
      <c r="V1133" s="1463"/>
      <c r="W1133" s="1463"/>
      <c r="X1133" s="1463"/>
      <c r="Y1133" s="1463"/>
    </row>
    <row r="1134" spans="1:25">
      <c r="A1134" s="2263"/>
      <c r="B1134" s="2263"/>
      <c r="C1134" s="2263"/>
      <c r="D1134" s="2263"/>
      <c r="E1134" s="1462"/>
      <c r="R1134" s="1463"/>
      <c r="S1134" s="1463"/>
      <c r="T1134" s="1463"/>
      <c r="U1134" s="1463"/>
      <c r="V1134" s="1463"/>
      <c r="W1134" s="1463"/>
      <c r="X1134" s="1463"/>
      <c r="Y1134" s="1463"/>
    </row>
    <row r="1135" spans="1:25">
      <c r="A1135" s="2263"/>
      <c r="B1135" s="2263"/>
      <c r="C1135" s="2263"/>
      <c r="D1135" s="2263"/>
      <c r="E1135" s="1462"/>
      <c r="R1135" s="1463"/>
      <c r="S1135" s="1463"/>
      <c r="T1135" s="1463"/>
      <c r="U1135" s="1463"/>
      <c r="V1135" s="1463"/>
      <c r="W1135" s="1463"/>
      <c r="X1135" s="1463"/>
      <c r="Y1135" s="1463"/>
    </row>
    <row r="1136" spans="1:25">
      <c r="A1136" s="2263"/>
      <c r="B1136" s="2263"/>
      <c r="C1136" s="2263"/>
      <c r="D1136" s="2263"/>
      <c r="E1136" s="1462"/>
      <c r="R1136" s="1463"/>
      <c r="S1136" s="1463"/>
      <c r="T1136" s="1463"/>
      <c r="U1136" s="1463"/>
      <c r="V1136" s="1463"/>
      <c r="W1136" s="1463"/>
      <c r="X1136" s="1463"/>
      <c r="Y1136" s="1463"/>
    </row>
    <row r="1137" spans="1:25">
      <c r="A1137" s="2263"/>
      <c r="B1137" s="2263"/>
      <c r="C1137" s="2263"/>
      <c r="D1137" s="2263"/>
      <c r="E1137" s="1462"/>
      <c r="R1137" s="1463"/>
      <c r="S1137" s="1463"/>
      <c r="T1137" s="1463"/>
      <c r="U1137" s="1463"/>
      <c r="V1137" s="1463"/>
      <c r="W1137" s="1463"/>
      <c r="X1137" s="1463"/>
      <c r="Y1137" s="1463"/>
    </row>
    <row r="1138" spans="1:25">
      <c r="A1138" s="2263"/>
      <c r="B1138" s="2263"/>
      <c r="C1138" s="2263"/>
      <c r="D1138" s="2263"/>
      <c r="E1138" s="1462"/>
      <c r="R1138" s="1463"/>
      <c r="S1138" s="1463"/>
      <c r="T1138" s="1463"/>
      <c r="U1138" s="1463"/>
      <c r="V1138" s="1463"/>
      <c r="W1138" s="1463"/>
      <c r="X1138" s="1463"/>
      <c r="Y1138" s="1463"/>
    </row>
    <row r="1139" spans="1:25">
      <c r="A1139" s="2263"/>
      <c r="B1139" s="2263"/>
      <c r="C1139" s="2263"/>
      <c r="D1139" s="2263"/>
      <c r="E1139" s="1462"/>
      <c r="R1139" s="1463"/>
      <c r="S1139" s="1463"/>
      <c r="T1139" s="1463"/>
      <c r="U1139" s="1463"/>
      <c r="V1139" s="1463"/>
      <c r="W1139" s="1463"/>
      <c r="X1139" s="1463"/>
      <c r="Y1139" s="1463"/>
    </row>
    <row r="1140" spans="1:25">
      <c r="A1140" s="2263"/>
      <c r="B1140" s="2263"/>
      <c r="C1140" s="2263"/>
      <c r="D1140" s="2263"/>
      <c r="E1140" s="1462"/>
      <c r="R1140" s="1463"/>
      <c r="S1140" s="1463"/>
      <c r="T1140" s="1463"/>
      <c r="U1140" s="1463"/>
      <c r="V1140" s="1463"/>
      <c r="W1140" s="1463"/>
      <c r="X1140" s="1463"/>
      <c r="Y1140" s="1463"/>
    </row>
    <row r="1141" spans="1:25">
      <c r="A1141" s="2263"/>
      <c r="B1141" s="2263"/>
      <c r="C1141" s="2263"/>
      <c r="D1141" s="2263"/>
      <c r="E1141" s="1462"/>
      <c r="R1141" s="1463"/>
      <c r="S1141" s="1463"/>
      <c r="T1141" s="1463"/>
      <c r="U1141" s="1463"/>
      <c r="V1141" s="1463"/>
      <c r="W1141" s="1463"/>
      <c r="X1141" s="1463"/>
      <c r="Y1141" s="1463"/>
    </row>
    <row r="1142" spans="1:25">
      <c r="A1142" s="2263"/>
      <c r="B1142" s="2263"/>
      <c r="C1142" s="2263"/>
      <c r="D1142" s="2263"/>
      <c r="E1142" s="1462"/>
      <c r="R1142" s="1463"/>
      <c r="S1142" s="1463"/>
      <c r="T1142" s="1463"/>
      <c r="U1142" s="1463"/>
      <c r="V1142" s="1463"/>
      <c r="W1142" s="1463"/>
      <c r="X1142" s="1463"/>
      <c r="Y1142" s="1463"/>
    </row>
    <row r="1143" spans="1:25">
      <c r="A1143" s="2263"/>
      <c r="B1143" s="2263"/>
      <c r="C1143" s="2263"/>
      <c r="D1143" s="2263"/>
      <c r="E1143" s="1462"/>
      <c r="R1143" s="1463"/>
      <c r="S1143" s="1463"/>
      <c r="T1143" s="1463"/>
      <c r="U1143" s="1463"/>
      <c r="V1143" s="1463"/>
      <c r="W1143" s="1463"/>
      <c r="X1143" s="1463"/>
      <c r="Y1143" s="1463"/>
    </row>
    <row r="1144" spans="1:25">
      <c r="A1144" s="2263"/>
      <c r="B1144" s="2263"/>
      <c r="C1144" s="2263"/>
      <c r="D1144" s="2263"/>
      <c r="E1144" s="1462"/>
      <c r="R1144" s="1463"/>
      <c r="S1144" s="1463"/>
      <c r="T1144" s="1463"/>
      <c r="U1144" s="1463"/>
      <c r="V1144" s="1463"/>
      <c r="W1144" s="1463"/>
      <c r="X1144" s="1463"/>
      <c r="Y1144" s="1463"/>
    </row>
    <row r="1145" spans="1:25">
      <c r="A1145" s="2263"/>
      <c r="B1145" s="2263"/>
      <c r="C1145" s="2263"/>
      <c r="D1145" s="2263"/>
      <c r="E1145" s="1462"/>
      <c r="R1145" s="1463"/>
      <c r="S1145" s="1463"/>
      <c r="T1145" s="1463"/>
      <c r="U1145" s="1463"/>
      <c r="V1145" s="1463"/>
      <c r="W1145" s="1463"/>
      <c r="X1145" s="1463"/>
      <c r="Y1145" s="1463"/>
    </row>
    <row r="1146" spans="1:25">
      <c r="A1146" s="2263"/>
      <c r="B1146" s="2263"/>
      <c r="C1146" s="2263"/>
      <c r="D1146" s="2263"/>
      <c r="E1146" s="1462"/>
      <c r="R1146" s="1463"/>
      <c r="S1146" s="1463"/>
      <c r="T1146" s="1463"/>
      <c r="U1146" s="1463"/>
      <c r="V1146" s="1463"/>
      <c r="W1146" s="1463"/>
      <c r="X1146" s="1463"/>
      <c r="Y1146" s="1463"/>
    </row>
    <row r="1147" spans="1:25">
      <c r="A1147" s="2263"/>
      <c r="B1147" s="2263"/>
      <c r="C1147" s="2263"/>
      <c r="D1147" s="2263"/>
      <c r="E1147" s="1462"/>
      <c r="R1147" s="1463"/>
      <c r="S1147" s="1463"/>
      <c r="T1147" s="1463"/>
      <c r="U1147" s="1463"/>
      <c r="V1147" s="1463"/>
      <c r="W1147" s="1463"/>
      <c r="X1147" s="1463"/>
      <c r="Y1147" s="1463"/>
    </row>
    <row r="1148" spans="1:25">
      <c r="A1148" s="2263"/>
      <c r="B1148" s="2263"/>
      <c r="C1148" s="2263"/>
      <c r="D1148" s="2263"/>
      <c r="E1148" s="1462"/>
      <c r="R1148" s="1463"/>
      <c r="S1148" s="1463"/>
      <c r="T1148" s="1463"/>
      <c r="U1148" s="1463"/>
      <c r="V1148" s="1463"/>
      <c r="W1148" s="1463"/>
      <c r="X1148" s="1463"/>
      <c r="Y1148" s="1463"/>
    </row>
    <row r="1149" spans="1:25">
      <c r="A1149" s="2263"/>
      <c r="B1149" s="2263"/>
      <c r="C1149" s="2263"/>
      <c r="D1149" s="2263"/>
      <c r="E1149" s="1462"/>
      <c r="R1149" s="1463"/>
      <c r="S1149" s="1463"/>
      <c r="T1149" s="1463"/>
      <c r="U1149" s="1463"/>
      <c r="V1149" s="1463"/>
      <c r="W1149" s="1463"/>
      <c r="X1149" s="1463"/>
      <c r="Y1149" s="1463"/>
    </row>
    <row r="1150" spans="1:25">
      <c r="A1150" s="2263"/>
      <c r="B1150" s="2263"/>
      <c r="C1150" s="2263"/>
      <c r="D1150" s="2263"/>
      <c r="E1150" s="1462"/>
      <c r="R1150" s="1463"/>
      <c r="S1150" s="1463"/>
      <c r="T1150" s="1463"/>
      <c r="U1150" s="1463"/>
      <c r="V1150" s="1463"/>
      <c r="W1150" s="1463"/>
      <c r="X1150" s="1463"/>
      <c r="Y1150" s="1463"/>
    </row>
    <row r="1151" spans="1:25">
      <c r="A1151" s="2263"/>
      <c r="B1151" s="2263"/>
      <c r="C1151" s="2263"/>
      <c r="D1151" s="2263"/>
      <c r="E1151" s="1462"/>
      <c r="R1151" s="1463"/>
      <c r="S1151" s="1463"/>
      <c r="T1151" s="1463"/>
      <c r="U1151" s="1463"/>
      <c r="V1151" s="1463"/>
      <c r="W1151" s="1463"/>
      <c r="X1151" s="1463"/>
      <c r="Y1151" s="1463"/>
    </row>
    <row r="1152" spans="1:25">
      <c r="A1152" s="2263"/>
      <c r="B1152" s="2263"/>
      <c r="C1152" s="2263"/>
      <c r="D1152" s="2263"/>
      <c r="E1152" s="1462"/>
      <c r="R1152" s="1463"/>
      <c r="S1152" s="1463"/>
      <c r="T1152" s="1463"/>
      <c r="U1152" s="1463"/>
      <c r="V1152" s="1463"/>
      <c r="W1152" s="1463"/>
      <c r="X1152" s="1463"/>
      <c r="Y1152" s="1463"/>
    </row>
    <row r="1153" spans="1:25">
      <c r="A1153" s="2263"/>
      <c r="B1153" s="2263"/>
      <c r="C1153" s="2263"/>
      <c r="D1153" s="2263"/>
      <c r="E1153" s="1462"/>
      <c r="R1153" s="1463"/>
      <c r="S1153" s="1463"/>
      <c r="T1153" s="1463"/>
      <c r="U1153" s="1463"/>
      <c r="V1153" s="1463"/>
      <c r="W1153" s="1463"/>
      <c r="X1153" s="1463"/>
      <c r="Y1153" s="1463"/>
    </row>
    <row r="1154" spans="1:25">
      <c r="A1154" s="2263"/>
      <c r="B1154" s="2263"/>
      <c r="C1154" s="2263"/>
      <c r="D1154" s="2263"/>
      <c r="E1154" s="1462"/>
      <c r="R1154" s="1463"/>
      <c r="S1154" s="1463"/>
      <c r="T1154" s="1463"/>
      <c r="U1154" s="1463"/>
      <c r="V1154" s="1463"/>
      <c r="W1154" s="1463"/>
      <c r="X1154" s="1463"/>
      <c r="Y1154" s="1463"/>
    </row>
    <row r="1155" spans="1:25">
      <c r="A1155" s="2263"/>
      <c r="B1155" s="2263"/>
      <c r="C1155" s="2263"/>
      <c r="D1155" s="2263"/>
      <c r="E1155" s="1462"/>
      <c r="R1155" s="1463"/>
      <c r="S1155" s="1463"/>
      <c r="T1155" s="1463"/>
      <c r="U1155" s="1463"/>
      <c r="V1155" s="1463"/>
      <c r="W1155" s="1463"/>
      <c r="X1155" s="1463"/>
      <c r="Y1155" s="1463"/>
    </row>
    <row r="1156" spans="1:25">
      <c r="A1156" s="2263"/>
      <c r="B1156" s="2263"/>
      <c r="C1156" s="2263"/>
      <c r="D1156" s="2263"/>
      <c r="E1156" s="1462"/>
      <c r="R1156" s="1463"/>
      <c r="S1156" s="1463"/>
      <c r="T1156" s="1463"/>
      <c r="U1156" s="1463"/>
      <c r="V1156" s="1463"/>
      <c r="W1156" s="1463"/>
      <c r="X1156" s="1463"/>
      <c r="Y1156" s="1463"/>
    </row>
    <row r="1157" spans="1:25">
      <c r="A1157" s="2263"/>
      <c r="B1157" s="2263"/>
      <c r="C1157" s="2263"/>
      <c r="D1157" s="2263"/>
      <c r="E1157" s="1462"/>
      <c r="R1157" s="1463"/>
      <c r="S1157" s="1463"/>
      <c r="T1157" s="1463"/>
      <c r="U1157" s="1463"/>
      <c r="V1157" s="1463"/>
      <c r="W1157" s="1463"/>
      <c r="X1157" s="1463"/>
      <c r="Y1157" s="1463"/>
    </row>
    <row r="1158" spans="1:25">
      <c r="A1158" s="2263"/>
      <c r="B1158" s="2263"/>
      <c r="C1158" s="2263"/>
      <c r="D1158" s="2263"/>
      <c r="E1158" s="1462"/>
      <c r="R1158" s="1463"/>
      <c r="S1158" s="1463"/>
      <c r="T1158" s="1463"/>
      <c r="U1158" s="1463"/>
      <c r="V1158" s="1463"/>
      <c r="W1158" s="1463"/>
      <c r="X1158" s="1463"/>
      <c r="Y1158" s="1463"/>
    </row>
    <row r="1159" spans="1:25">
      <c r="A1159" s="2263"/>
      <c r="B1159" s="2263"/>
      <c r="C1159" s="2263"/>
      <c r="D1159" s="2263"/>
      <c r="E1159" s="1462"/>
      <c r="R1159" s="1463"/>
      <c r="S1159" s="1463"/>
      <c r="T1159" s="1463"/>
      <c r="U1159" s="1463"/>
      <c r="V1159" s="1463"/>
      <c r="W1159" s="1463"/>
      <c r="X1159" s="1463"/>
      <c r="Y1159" s="1463"/>
    </row>
    <row r="1160" spans="1:25">
      <c r="A1160" s="2263"/>
      <c r="B1160" s="2263"/>
      <c r="C1160" s="2263"/>
      <c r="D1160" s="2263"/>
      <c r="E1160" s="1462"/>
      <c r="R1160" s="1463"/>
      <c r="S1160" s="1463"/>
      <c r="T1160" s="1463"/>
      <c r="U1160" s="1463"/>
      <c r="V1160" s="1463"/>
      <c r="W1160" s="1463"/>
      <c r="X1160" s="1463"/>
      <c r="Y1160" s="1463"/>
    </row>
    <row r="1161" spans="1:25">
      <c r="A1161" s="2263"/>
      <c r="B1161" s="2263"/>
      <c r="C1161" s="2263"/>
      <c r="D1161" s="2263"/>
      <c r="E1161" s="1462"/>
      <c r="R1161" s="1463"/>
      <c r="S1161" s="1463"/>
      <c r="T1161" s="1463"/>
      <c r="U1161" s="1463"/>
      <c r="V1161" s="1463"/>
      <c r="W1161" s="1463"/>
      <c r="X1161" s="1463"/>
      <c r="Y1161" s="1463"/>
    </row>
    <row r="1162" spans="1:25">
      <c r="A1162" s="2263"/>
      <c r="B1162" s="2263"/>
      <c r="C1162" s="2263"/>
      <c r="D1162" s="2263"/>
      <c r="E1162" s="1462"/>
      <c r="R1162" s="1463"/>
      <c r="S1162" s="1463"/>
      <c r="T1162" s="1463"/>
      <c r="U1162" s="1463"/>
      <c r="V1162" s="1463"/>
      <c r="W1162" s="1463"/>
      <c r="X1162" s="1463"/>
      <c r="Y1162" s="1463"/>
    </row>
    <row r="1163" spans="1:25">
      <c r="A1163" s="2263"/>
      <c r="B1163" s="2263"/>
      <c r="C1163" s="2263"/>
      <c r="D1163" s="2263"/>
      <c r="E1163" s="1462"/>
      <c r="R1163" s="1463"/>
      <c r="S1163" s="1463"/>
      <c r="T1163" s="1463"/>
      <c r="U1163" s="1463"/>
      <c r="V1163" s="1463"/>
      <c r="W1163" s="1463"/>
      <c r="X1163" s="1463"/>
      <c r="Y1163" s="1463"/>
    </row>
    <row r="1164" spans="1:25">
      <c r="A1164" s="2263"/>
      <c r="B1164" s="2263"/>
      <c r="C1164" s="2263"/>
      <c r="D1164" s="2263"/>
      <c r="E1164" s="1462"/>
      <c r="R1164" s="1463"/>
      <c r="S1164" s="1463"/>
      <c r="T1164" s="1463"/>
      <c r="U1164" s="1463"/>
      <c r="V1164" s="1463"/>
      <c r="W1164" s="1463"/>
      <c r="X1164" s="1463"/>
      <c r="Y1164" s="1463"/>
    </row>
    <row r="1165" spans="1:25">
      <c r="A1165" s="2263"/>
      <c r="B1165" s="2263"/>
      <c r="C1165" s="2263"/>
      <c r="D1165" s="2263"/>
      <c r="E1165" s="1462"/>
      <c r="R1165" s="1463"/>
      <c r="S1165" s="1463"/>
      <c r="T1165" s="1463"/>
      <c r="U1165" s="1463"/>
      <c r="V1165" s="1463"/>
      <c r="W1165" s="1463"/>
      <c r="X1165" s="1463"/>
      <c r="Y1165" s="1463"/>
    </row>
    <row r="1166" spans="1:25">
      <c r="A1166" s="2263"/>
      <c r="B1166" s="2263"/>
      <c r="C1166" s="2263"/>
      <c r="D1166" s="2263"/>
      <c r="E1166" s="1462"/>
      <c r="R1166" s="1463"/>
      <c r="S1166" s="1463"/>
      <c r="T1166" s="1463"/>
      <c r="U1166" s="1463"/>
      <c r="V1166" s="1463"/>
      <c r="W1166" s="1463"/>
      <c r="X1166" s="1463"/>
      <c r="Y1166" s="1463"/>
    </row>
    <row r="1167" spans="1:25">
      <c r="A1167" s="2263"/>
      <c r="B1167" s="2263"/>
      <c r="C1167" s="2263"/>
      <c r="D1167" s="2263"/>
      <c r="E1167" s="1462"/>
      <c r="R1167" s="1463"/>
      <c r="S1167" s="1463"/>
      <c r="T1167" s="1463"/>
      <c r="U1167" s="1463"/>
      <c r="V1167" s="1463"/>
      <c r="W1167" s="1463"/>
      <c r="X1167" s="1463"/>
      <c r="Y1167" s="1463"/>
    </row>
    <row r="1168" spans="1:25">
      <c r="A1168" s="2263"/>
      <c r="B1168" s="2263"/>
      <c r="C1168" s="2263"/>
      <c r="D1168" s="2263"/>
      <c r="E1168" s="1462"/>
      <c r="R1168" s="1463"/>
      <c r="S1168" s="1463"/>
      <c r="T1168" s="1463"/>
      <c r="U1168" s="1463"/>
      <c r="V1168" s="1463"/>
      <c r="W1168" s="1463"/>
      <c r="X1168" s="1463"/>
      <c r="Y1168" s="1463"/>
    </row>
    <row r="1169" spans="1:25">
      <c r="A1169" s="2263"/>
      <c r="B1169" s="2263"/>
      <c r="C1169" s="2263"/>
      <c r="D1169" s="2263"/>
      <c r="E1169" s="1462"/>
      <c r="R1169" s="1463"/>
      <c r="S1169" s="1463"/>
      <c r="T1169" s="1463"/>
      <c r="U1169" s="1463"/>
      <c r="V1169" s="1463"/>
      <c r="W1169" s="1463"/>
      <c r="X1169" s="1463"/>
      <c r="Y1169" s="1463"/>
    </row>
    <row r="1170" spans="1:25">
      <c r="A1170" s="2263"/>
      <c r="B1170" s="2263"/>
      <c r="C1170" s="2263"/>
      <c r="D1170" s="2263"/>
      <c r="E1170" s="1462"/>
      <c r="R1170" s="1463"/>
      <c r="S1170" s="1463"/>
      <c r="T1170" s="1463"/>
      <c r="U1170" s="1463"/>
      <c r="V1170" s="1463"/>
      <c r="W1170" s="1463"/>
      <c r="X1170" s="1463"/>
      <c r="Y1170" s="1463"/>
    </row>
    <row r="1171" spans="1:25">
      <c r="A1171" s="2263"/>
      <c r="B1171" s="2263"/>
      <c r="C1171" s="2263"/>
      <c r="D1171" s="2263"/>
      <c r="E1171" s="1462"/>
      <c r="R1171" s="1463"/>
      <c r="S1171" s="1463"/>
      <c r="T1171" s="1463"/>
      <c r="U1171" s="1463"/>
      <c r="V1171" s="1463"/>
      <c r="W1171" s="1463"/>
      <c r="X1171" s="1463"/>
      <c r="Y1171" s="1463"/>
    </row>
    <row r="1172" spans="1:25">
      <c r="A1172" s="2263"/>
      <c r="B1172" s="2263"/>
      <c r="C1172" s="2263"/>
      <c r="D1172" s="2263"/>
      <c r="E1172" s="1462"/>
      <c r="R1172" s="1463"/>
      <c r="S1172" s="1463"/>
      <c r="T1172" s="1463"/>
      <c r="U1172" s="1463"/>
      <c r="V1172" s="1463"/>
      <c r="W1172" s="1463"/>
      <c r="X1172" s="1463"/>
      <c r="Y1172" s="1463"/>
    </row>
    <row r="1173" spans="1:25">
      <c r="A1173" s="2263"/>
      <c r="B1173" s="2263"/>
      <c r="C1173" s="2263"/>
      <c r="D1173" s="2263"/>
      <c r="E1173" s="1462"/>
      <c r="R1173" s="1463"/>
      <c r="S1173" s="1463"/>
      <c r="T1173" s="1463"/>
      <c r="U1173" s="1463"/>
      <c r="V1173" s="1463"/>
      <c r="W1173" s="1463"/>
      <c r="X1173" s="1463"/>
      <c r="Y1173" s="1463"/>
    </row>
    <row r="1174" spans="1:25">
      <c r="A1174" s="2263"/>
      <c r="B1174" s="2263"/>
      <c r="C1174" s="2263"/>
      <c r="D1174" s="2263"/>
      <c r="E1174" s="1462"/>
      <c r="R1174" s="1463"/>
      <c r="S1174" s="1463"/>
      <c r="T1174" s="1463"/>
      <c r="U1174" s="1463"/>
      <c r="V1174" s="1463"/>
      <c r="W1174" s="1463"/>
      <c r="X1174" s="1463"/>
      <c r="Y1174" s="1463"/>
    </row>
    <row r="1175" spans="1:25">
      <c r="A1175" s="2263"/>
      <c r="B1175" s="2263"/>
      <c r="C1175" s="2263"/>
      <c r="D1175" s="2263"/>
      <c r="E1175" s="1462"/>
      <c r="R1175" s="1463"/>
      <c r="S1175" s="1463"/>
      <c r="T1175" s="1463"/>
      <c r="U1175" s="1463"/>
      <c r="V1175" s="1463"/>
      <c r="W1175" s="1463"/>
      <c r="X1175" s="1463"/>
      <c r="Y1175" s="1463"/>
    </row>
    <row r="1176" spans="1:25">
      <c r="A1176" s="2263"/>
      <c r="B1176" s="2263"/>
      <c r="C1176" s="2263"/>
      <c r="D1176" s="2263"/>
      <c r="E1176" s="1462"/>
      <c r="R1176" s="1463"/>
      <c r="S1176" s="1463"/>
      <c r="T1176" s="1463"/>
      <c r="U1176" s="1463"/>
      <c r="V1176" s="1463"/>
      <c r="W1176" s="1463"/>
      <c r="X1176" s="1463"/>
      <c r="Y1176" s="1463"/>
    </row>
    <row r="1177" spans="1:25">
      <c r="A1177" s="2263"/>
      <c r="B1177" s="2263"/>
      <c r="C1177" s="2263"/>
      <c r="D1177" s="2263"/>
      <c r="E1177" s="1462"/>
      <c r="R1177" s="1463"/>
      <c r="S1177" s="1463"/>
      <c r="T1177" s="1463"/>
      <c r="U1177" s="1463"/>
      <c r="V1177" s="1463"/>
      <c r="W1177" s="1463"/>
      <c r="X1177" s="1463"/>
      <c r="Y1177" s="1463"/>
    </row>
    <row r="1178" spans="1:25">
      <c r="A1178" s="2263"/>
      <c r="B1178" s="2263"/>
      <c r="C1178" s="2263"/>
      <c r="D1178" s="2263"/>
      <c r="E1178" s="1462"/>
      <c r="R1178" s="1463"/>
      <c r="S1178" s="1463"/>
      <c r="T1178" s="1463"/>
      <c r="U1178" s="1463"/>
      <c r="V1178" s="1463"/>
      <c r="W1178" s="1463"/>
      <c r="X1178" s="1463"/>
      <c r="Y1178" s="1463"/>
    </row>
    <row r="1179" spans="1:25">
      <c r="A1179" s="2263"/>
      <c r="B1179" s="2263"/>
      <c r="C1179" s="2263"/>
      <c r="D1179" s="2263"/>
      <c r="E1179" s="1462"/>
      <c r="R1179" s="1463"/>
      <c r="S1179" s="1463"/>
      <c r="T1179" s="1463"/>
      <c r="U1179" s="1463"/>
      <c r="V1179" s="1463"/>
      <c r="W1179" s="1463"/>
      <c r="X1179" s="1463"/>
      <c r="Y1179" s="1463"/>
    </row>
    <row r="1180" spans="1:25">
      <c r="A1180" s="2263"/>
      <c r="B1180" s="2263"/>
      <c r="C1180" s="2263"/>
      <c r="D1180" s="2263"/>
      <c r="E1180" s="1462"/>
      <c r="R1180" s="1463"/>
      <c r="S1180" s="1463"/>
      <c r="T1180" s="1463"/>
      <c r="U1180" s="1463"/>
      <c r="V1180" s="1463"/>
      <c r="W1180" s="1463"/>
      <c r="X1180" s="1463"/>
      <c r="Y1180" s="1463"/>
    </row>
    <row r="1181" spans="1:25">
      <c r="A1181" s="2263"/>
      <c r="B1181" s="2263"/>
      <c r="C1181" s="2263"/>
      <c r="D1181" s="2263"/>
      <c r="E1181" s="1462"/>
      <c r="R1181" s="1463"/>
      <c r="S1181" s="1463"/>
      <c r="T1181" s="1463"/>
      <c r="U1181" s="1463"/>
      <c r="V1181" s="1463"/>
      <c r="W1181" s="1463"/>
      <c r="X1181" s="1463"/>
      <c r="Y1181" s="1463"/>
    </row>
    <row r="1182" spans="1:25">
      <c r="A1182" s="2263"/>
      <c r="B1182" s="2263"/>
      <c r="C1182" s="2263"/>
      <c r="D1182" s="2263"/>
      <c r="E1182" s="1462"/>
      <c r="R1182" s="1463"/>
      <c r="S1182" s="1463"/>
      <c r="T1182" s="1463"/>
      <c r="U1182" s="1463"/>
      <c r="V1182" s="1463"/>
      <c r="W1182" s="1463"/>
      <c r="X1182" s="1463"/>
      <c r="Y1182" s="1463"/>
    </row>
    <row r="1183" spans="1:25">
      <c r="A1183" s="2263"/>
      <c r="B1183" s="2263"/>
      <c r="C1183" s="2263"/>
      <c r="D1183" s="2263"/>
      <c r="E1183" s="1462"/>
      <c r="R1183" s="1463"/>
      <c r="S1183" s="1463"/>
      <c r="T1183" s="1463"/>
      <c r="U1183" s="1463"/>
      <c r="V1183" s="1463"/>
      <c r="W1183" s="1463"/>
      <c r="X1183" s="1463"/>
      <c r="Y1183" s="1463"/>
    </row>
    <row r="1184" spans="1:25">
      <c r="A1184" s="2263"/>
      <c r="B1184" s="2263"/>
      <c r="C1184" s="2263"/>
      <c r="D1184" s="2263"/>
      <c r="E1184" s="1462"/>
      <c r="R1184" s="1463"/>
      <c r="S1184" s="1463"/>
      <c r="T1184" s="1463"/>
      <c r="U1184" s="1463"/>
      <c r="V1184" s="1463"/>
      <c r="W1184" s="1463"/>
      <c r="X1184" s="1463"/>
      <c r="Y1184" s="1463"/>
    </row>
    <row r="1185" spans="1:25">
      <c r="A1185" s="2263"/>
      <c r="B1185" s="2263"/>
      <c r="C1185" s="2263"/>
      <c r="D1185" s="2263"/>
      <c r="E1185" s="1462"/>
      <c r="R1185" s="1463"/>
      <c r="S1185" s="1463"/>
      <c r="T1185" s="1463"/>
      <c r="U1185" s="1463"/>
      <c r="V1185" s="1463"/>
      <c r="W1185" s="1463"/>
      <c r="X1185" s="1463"/>
      <c r="Y1185" s="1463"/>
    </row>
    <row r="1186" spans="1:25">
      <c r="A1186" s="2263"/>
      <c r="B1186" s="2263"/>
      <c r="C1186" s="2263"/>
      <c r="D1186" s="2263"/>
      <c r="E1186" s="1462"/>
      <c r="R1186" s="1463"/>
      <c r="S1186" s="1463"/>
      <c r="T1186" s="1463"/>
      <c r="U1186" s="1463"/>
      <c r="V1186" s="1463"/>
      <c r="W1186" s="1463"/>
      <c r="X1186" s="1463"/>
      <c r="Y1186" s="1463"/>
    </row>
    <row r="1187" spans="1:25">
      <c r="A1187" s="2263"/>
      <c r="B1187" s="2263"/>
      <c r="C1187" s="2263"/>
      <c r="D1187" s="2263"/>
      <c r="E1187" s="1462"/>
      <c r="R1187" s="1463"/>
      <c r="S1187" s="1463"/>
      <c r="T1187" s="1463"/>
      <c r="U1187" s="1463"/>
      <c r="V1187" s="1463"/>
      <c r="W1187" s="1463"/>
      <c r="X1187" s="1463"/>
      <c r="Y1187" s="1463"/>
    </row>
    <row r="1188" spans="1:25">
      <c r="A1188" s="2263"/>
      <c r="B1188" s="2263"/>
      <c r="C1188" s="2263"/>
      <c r="D1188" s="2263"/>
      <c r="E1188" s="1462"/>
      <c r="R1188" s="1463"/>
      <c r="S1188" s="1463"/>
      <c r="T1188" s="1463"/>
      <c r="U1188" s="1463"/>
      <c r="V1188" s="1463"/>
      <c r="W1188" s="1463"/>
      <c r="X1188" s="1463"/>
      <c r="Y1188" s="1463"/>
    </row>
    <row r="1189" spans="1:25">
      <c r="A1189" s="2263"/>
      <c r="B1189" s="2263"/>
      <c r="C1189" s="2263"/>
      <c r="D1189" s="2263"/>
      <c r="E1189" s="1462"/>
      <c r="R1189" s="1463"/>
      <c r="S1189" s="1463"/>
      <c r="T1189" s="1463"/>
      <c r="U1189" s="1463"/>
      <c r="V1189" s="1463"/>
      <c r="W1189" s="1463"/>
      <c r="X1189" s="1463"/>
      <c r="Y1189" s="1463"/>
    </row>
    <row r="1190" spans="1:25">
      <c r="A1190" s="2263"/>
      <c r="B1190" s="2263"/>
      <c r="C1190" s="2263"/>
      <c r="D1190" s="2263"/>
      <c r="E1190" s="1462"/>
      <c r="R1190" s="1463"/>
      <c r="S1190" s="1463"/>
      <c r="T1190" s="1463"/>
      <c r="U1190" s="1463"/>
      <c r="V1190" s="1463"/>
      <c r="W1190" s="1463"/>
      <c r="X1190" s="1463"/>
      <c r="Y1190" s="1463"/>
    </row>
    <row r="1191" spans="1:25">
      <c r="A1191" s="2263"/>
      <c r="B1191" s="2263"/>
      <c r="C1191" s="2263"/>
      <c r="D1191" s="2263"/>
      <c r="E1191" s="1462"/>
      <c r="R1191" s="1463"/>
      <c r="S1191" s="1463"/>
      <c r="T1191" s="1463"/>
      <c r="U1191" s="1463"/>
      <c r="V1191" s="1463"/>
      <c r="W1191" s="1463"/>
      <c r="X1191" s="1463"/>
      <c r="Y1191" s="1463"/>
    </row>
    <row r="1192" spans="1:25">
      <c r="A1192" s="2263"/>
      <c r="B1192" s="2263"/>
      <c r="C1192" s="2263"/>
      <c r="D1192" s="2263"/>
      <c r="E1192" s="1462"/>
      <c r="R1192" s="1463"/>
      <c r="S1192" s="1463"/>
      <c r="T1192" s="1463"/>
      <c r="U1192" s="1463"/>
      <c r="V1192" s="1463"/>
      <c r="W1192" s="1463"/>
      <c r="X1192" s="1463"/>
      <c r="Y1192" s="1463"/>
    </row>
    <row r="1193" spans="1:25">
      <c r="A1193" s="2263"/>
      <c r="B1193" s="2263"/>
      <c r="C1193" s="2263"/>
      <c r="D1193" s="2263"/>
      <c r="E1193" s="1462"/>
      <c r="R1193" s="1463"/>
      <c r="S1193" s="1463"/>
      <c r="T1193" s="1463"/>
      <c r="U1193" s="1463"/>
      <c r="V1193" s="1463"/>
      <c r="W1193" s="1463"/>
      <c r="X1193" s="1463"/>
      <c r="Y1193" s="1463"/>
    </row>
    <row r="1194" spans="1:25">
      <c r="A1194" s="2263"/>
      <c r="B1194" s="2263"/>
      <c r="C1194" s="2263"/>
      <c r="D1194" s="2263"/>
      <c r="E1194" s="1462"/>
      <c r="R1194" s="1463"/>
      <c r="S1194" s="1463"/>
      <c r="T1194" s="1463"/>
      <c r="U1194" s="1463"/>
      <c r="V1194" s="1463"/>
      <c r="W1194" s="1463"/>
      <c r="X1194" s="1463"/>
      <c r="Y1194" s="1463"/>
    </row>
    <row r="1195" spans="1:25">
      <c r="A1195" s="2263"/>
      <c r="B1195" s="2263"/>
      <c r="C1195" s="2263"/>
      <c r="D1195" s="2263"/>
      <c r="E1195" s="1462"/>
      <c r="R1195" s="1463"/>
      <c r="S1195" s="1463"/>
      <c r="T1195" s="1463"/>
      <c r="U1195" s="1463"/>
      <c r="V1195" s="1463"/>
      <c r="W1195" s="1463"/>
      <c r="X1195" s="1463"/>
      <c r="Y1195" s="1463"/>
    </row>
    <row r="1196" spans="1:25">
      <c r="A1196" s="2263"/>
      <c r="B1196" s="2263"/>
      <c r="C1196" s="2263"/>
      <c r="D1196" s="2263"/>
      <c r="E1196" s="1462"/>
      <c r="R1196" s="1463"/>
      <c r="S1196" s="1463"/>
      <c r="T1196" s="1463"/>
      <c r="U1196" s="1463"/>
      <c r="V1196" s="1463"/>
      <c r="W1196" s="1463"/>
      <c r="X1196" s="1463"/>
      <c r="Y1196" s="1463"/>
    </row>
    <row r="1197" spans="1:25">
      <c r="A1197" s="2263"/>
      <c r="B1197" s="2263"/>
      <c r="C1197" s="2263"/>
      <c r="D1197" s="2263"/>
      <c r="E1197" s="1462"/>
      <c r="R1197" s="1463"/>
      <c r="S1197" s="1463"/>
      <c r="T1197" s="1463"/>
      <c r="U1197" s="1463"/>
      <c r="V1197" s="1463"/>
      <c r="W1197" s="1463"/>
      <c r="X1197" s="1463"/>
      <c r="Y1197" s="1463"/>
    </row>
    <row r="1198" spans="1:25">
      <c r="A1198" s="2263"/>
      <c r="B1198" s="2263"/>
      <c r="C1198" s="2263"/>
      <c r="D1198" s="2263"/>
      <c r="E1198" s="1462"/>
      <c r="R1198" s="1463"/>
      <c r="S1198" s="1463"/>
      <c r="T1198" s="1463"/>
      <c r="U1198" s="1463"/>
      <c r="V1198" s="1463"/>
      <c r="W1198" s="1463"/>
      <c r="X1198" s="1463"/>
      <c r="Y1198" s="1463"/>
    </row>
    <row r="1199" spans="1:25">
      <c r="A1199" s="2263"/>
      <c r="B1199" s="2263"/>
      <c r="C1199" s="2263"/>
      <c r="D1199" s="2263"/>
      <c r="E1199" s="1462"/>
      <c r="R1199" s="1463"/>
      <c r="S1199" s="1463"/>
      <c r="T1199" s="1463"/>
      <c r="U1199" s="1463"/>
      <c r="V1199" s="1463"/>
      <c r="W1199" s="1463"/>
      <c r="X1199" s="1463"/>
      <c r="Y1199" s="1463"/>
    </row>
    <row r="1200" spans="1:25">
      <c r="A1200" s="2263"/>
      <c r="B1200" s="2263"/>
      <c r="C1200" s="2263"/>
      <c r="D1200" s="2263"/>
      <c r="E1200" s="1462"/>
      <c r="R1200" s="1463"/>
      <c r="S1200" s="1463"/>
      <c r="T1200" s="1463"/>
      <c r="U1200" s="1463"/>
      <c r="V1200" s="1463"/>
      <c r="W1200" s="1463"/>
      <c r="X1200" s="1463"/>
      <c r="Y1200" s="1463"/>
    </row>
    <row r="1201" spans="1:25">
      <c r="A1201" s="2263"/>
      <c r="B1201" s="2263"/>
      <c r="C1201" s="2263"/>
      <c r="D1201" s="2263"/>
      <c r="E1201" s="1462"/>
      <c r="R1201" s="1463"/>
      <c r="S1201" s="1463"/>
      <c r="T1201" s="1463"/>
      <c r="U1201" s="1463"/>
      <c r="V1201" s="1463"/>
      <c r="W1201" s="1463"/>
      <c r="X1201" s="1463"/>
      <c r="Y1201" s="1463"/>
    </row>
    <row r="1202" spans="1:25">
      <c r="A1202" s="2263"/>
      <c r="B1202" s="2263"/>
      <c r="C1202" s="2263"/>
      <c r="D1202" s="2263"/>
      <c r="E1202" s="1462"/>
      <c r="R1202" s="1463"/>
      <c r="S1202" s="1463"/>
      <c r="T1202" s="1463"/>
      <c r="U1202" s="1463"/>
      <c r="V1202" s="1463"/>
      <c r="W1202" s="1463"/>
      <c r="X1202" s="1463"/>
      <c r="Y1202" s="1463"/>
    </row>
    <row r="1203" spans="1:25">
      <c r="A1203" s="2263"/>
      <c r="B1203" s="2263"/>
      <c r="C1203" s="2263"/>
      <c r="D1203" s="2263"/>
      <c r="E1203" s="1462"/>
      <c r="R1203" s="1463"/>
      <c r="S1203" s="1463"/>
      <c r="T1203" s="1463"/>
      <c r="U1203" s="1463"/>
      <c r="V1203" s="1463"/>
      <c r="W1203" s="1463"/>
      <c r="X1203" s="1463"/>
      <c r="Y1203" s="1463"/>
    </row>
    <row r="1204" spans="1:25">
      <c r="A1204" s="2263"/>
      <c r="B1204" s="2263"/>
      <c r="C1204" s="2263"/>
      <c r="D1204" s="2263"/>
      <c r="E1204" s="1462"/>
      <c r="R1204" s="1463"/>
      <c r="S1204" s="1463"/>
      <c r="T1204" s="1463"/>
      <c r="U1204" s="1463"/>
      <c r="V1204" s="1463"/>
      <c r="W1204" s="1463"/>
      <c r="X1204" s="1463"/>
      <c r="Y1204" s="1463"/>
    </row>
    <row r="1205" spans="1:25">
      <c r="A1205" s="2263"/>
      <c r="B1205" s="2263"/>
      <c r="C1205" s="2263"/>
      <c r="D1205" s="2263"/>
      <c r="E1205" s="1462"/>
      <c r="R1205" s="1463"/>
      <c r="S1205" s="1463"/>
      <c r="T1205" s="1463"/>
      <c r="U1205" s="1463"/>
      <c r="V1205" s="1463"/>
      <c r="W1205" s="1463"/>
      <c r="X1205" s="1463"/>
      <c r="Y1205" s="1463"/>
    </row>
    <row r="1206" spans="1:25">
      <c r="A1206" s="2263"/>
      <c r="B1206" s="2263"/>
      <c r="C1206" s="2263"/>
      <c r="D1206" s="2263"/>
      <c r="E1206" s="1462"/>
      <c r="R1206" s="1463"/>
      <c r="S1206" s="1463"/>
      <c r="T1206" s="1463"/>
      <c r="U1206" s="1463"/>
      <c r="V1206" s="1463"/>
      <c r="W1206" s="1463"/>
      <c r="X1206" s="1463"/>
      <c r="Y1206" s="1463"/>
    </row>
    <row r="1207" spans="1:25">
      <c r="A1207" s="2263"/>
      <c r="B1207" s="2263"/>
      <c r="C1207" s="2263"/>
      <c r="D1207" s="2263"/>
      <c r="E1207" s="1462"/>
      <c r="R1207" s="1463"/>
      <c r="S1207" s="1463"/>
      <c r="T1207" s="1463"/>
      <c r="U1207" s="1463"/>
      <c r="V1207" s="1463"/>
      <c r="W1207" s="1463"/>
      <c r="X1207" s="1463"/>
      <c r="Y1207" s="1463"/>
    </row>
    <row r="1208" spans="1:25">
      <c r="A1208" s="2263"/>
      <c r="B1208" s="2263"/>
      <c r="C1208" s="2263"/>
      <c r="D1208" s="2263"/>
      <c r="E1208" s="1462"/>
      <c r="R1208" s="1463"/>
      <c r="S1208" s="1463"/>
      <c r="T1208" s="1463"/>
      <c r="U1208" s="1463"/>
      <c r="V1208" s="1463"/>
      <c r="W1208" s="1463"/>
      <c r="X1208" s="1463"/>
      <c r="Y1208" s="1463"/>
    </row>
    <row r="1209" spans="1:25">
      <c r="A1209" s="2263"/>
      <c r="B1209" s="2263"/>
      <c r="C1209" s="2263"/>
      <c r="D1209" s="2263"/>
      <c r="E1209" s="1462"/>
      <c r="R1209" s="1463"/>
      <c r="S1209" s="1463"/>
      <c r="T1209" s="1463"/>
      <c r="U1209" s="1463"/>
      <c r="V1209" s="1463"/>
      <c r="W1209" s="1463"/>
      <c r="X1209" s="1463"/>
      <c r="Y1209" s="1463"/>
    </row>
    <row r="1210" spans="1:25">
      <c r="A1210" s="2263"/>
      <c r="B1210" s="2263"/>
      <c r="C1210" s="2263"/>
      <c r="D1210" s="2263"/>
      <c r="E1210" s="1462"/>
      <c r="R1210" s="1463"/>
      <c r="S1210" s="1463"/>
      <c r="T1210" s="1463"/>
      <c r="U1210" s="1463"/>
      <c r="V1210" s="1463"/>
      <c r="W1210" s="1463"/>
      <c r="X1210" s="1463"/>
      <c r="Y1210" s="1463"/>
    </row>
    <row r="1211" spans="1:25">
      <c r="A1211" s="2263"/>
      <c r="B1211" s="2263"/>
      <c r="C1211" s="2263"/>
      <c r="D1211" s="2263"/>
      <c r="E1211" s="1462"/>
      <c r="R1211" s="1463"/>
      <c r="S1211" s="1463"/>
      <c r="T1211" s="1463"/>
      <c r="U1211" s="1463"/>
      <c r="V1211" s="1463"/>
      <c r="W1211" s="1463"/>
      <c r="X1211" s="1463"/>
      <c r="Y1211" s="1463"/>
    </row>
    <row r="1212" spans="1:25">
      <c r="A1212" s="2263"/>
      <c r="B1212" s="2263"/>
      <c r="C1212" s="2263"/>
      <c r="D1212" s="2263"/>
      <c r="E1212" s="1462"/>
      <c r="R1212" s="1463"/>
      <c r="S1212" s="1463"/>
      <c r="T1212" s="1463"/>
      <c r="U1212" s="1463"/>
      <c r="V1212" s="1463"/>
      <c r="W1212" s="1463"/>
      <c r="X1212" s="1463"/>
      <c r="Y1212" s="1463"/>
    </row>
    <row r="1213" spans="1:25">
      <c r="A1213" s="2263"/>
      <c r="B1213" s="2263"/>
      <c r="C1213" s="2263"/>
      <c r="D1213" s="2263"/>
      <c r="E1213" s="1462"/>
      <c r="R1213" s="1463"/>
      <c r="S1213" s="1463"/>
      <c r="T1213" s="1463"/>
      <c r="U1213" s="1463"/>
      <c r="V1213" s="1463"/>
      <c r="W1213" s="1463"/>
      <c r="X1213" s="1463"/>
      <c r="Y1213" s="1463"/>
    </row>
    <row r="1214" spans="1:25">
      <c r="A1214" s="2263"/>
      <c r="B1214" s="2263"/>
      <c r="C1214" s="2263"/>
      <c r="D1214" s="2263"/>
      <c r="E1214" s="1462"/>
      <c r="R1214" s="1463"/>
      <c r="S1214" s="1463"/>
      <c r="T1214" s="1463"/>
      <c r="U1214" s="1463"/>
      <c r="V1214" s="1463"/>
      <c r="W1214" s="1463"/>
      <c r="X1214" s="1463"/>
      <c r="Y1214" s="1463"/>
    </row>
    <row r="1215" spans="1:25">
      <c r="A1215" s="2263"/>
      <c r="B1215" s="2263"/>
      <c r="C1215" s="2263"/>
      <c r="D1215" s="2263"/>
      <c r="E1215" s="1462"/>
      <c r="R1215" s="1463"/>
      <c r="S1215" s="1463"/>
      <c r="T1215" s="1463"/>
      <c r="U1215" s="1463"/>
      <c r="V1215" s="1463"/>
      <c r="W1215" s="1463"/>
      <c r="X1215" s="1463"/>
      <c r="Y1215" s="1463"/>
    </row>
    <row r="1216" spans="1:25">
      <c r="A1216" s="2263"/>
      <c r="B1216" s="2263"/>
      <c r="C1216" s="2263"/>
      <c r="D1216" s="2263"/>
      <c r="E1216" s="1462"/>
      <c r="R1216" s="1463"/>
      <c r="S1216" s="1463"/>
      <c r="T1216" s="1463"/>
      <c r="U1216" s="1463"/>
      <c r="V1216" s="1463"/>
      <c r="W1216" s="1463"/>
      <c r="X1216" s="1463"/>
      <c r="Y1216" s="1463"/>
    </row>
    <row r="1217" spans="1:25">
      <c r="A1217" s="2263"/>
      <c r="B1217" s="2263"/>
      <c r="C1217" s="2263"/>
      <c r="D1217" s="2263"/>
      <c r="E1217" s="1462"/>
      <c r="R1217" s="1463"/>
      <c r="S1217" s="1463"/>
      <c r="T1217" s="1463"/>
      <c r="U1217" s="1463"/>
      <c r="V1217" s="1463"/>
      <c r="W1217" s="1463"/>
      <c r="X1217" s="1463"/>
      <c r="Y1217" s="1463"/>
    </row>
    <row r="1218" spans="1:25">
      <c r="A1218" s="2263"/>
      <c r="B1218" s="2263"/>
      <c r="C1218" s="2263"/>
      <c r="D1218" s="2263"/>
      <c r="E1218" s="1462"/>
      <c r="R1218" s="1463"/>
      <c r="S1218" s="1463"/>
      <c r="T1218" s="1463"/>
      <c r="U1218" s="1463"/>
      <c r="V1218" s="1463"/>
      <c r="W1218" s="1463"/>
      <c r="X1218" s="1463"/>
      <c r="Y1218" s="1463"/>
    </row>
    <row r="1219" spans="1:25">
      <c r="A1219" s="2263"/>
      <c r="B1219" s="2263"/>
      <c r="C1219" s="2263"/>
      <c r="D1219" s="2263"/>
      <c r="E1219" s="1462"/>
      <c r="R1219" s="1463"/>
      <c r="S1219" s="1463"/>
      <c r="T1219" s="1463"/>
      <c r="U1219" s="1463"/>
      <c r="V1219" s="1463"/>
      <c r="W1219" s="1463"/>
      <c r="X1219" s="1463"/>
      <c r="Y1219" s="1463"/>
    </row>
    <row r="1220" spans="1:25">
      <c r="A1220" s="2263"/>
      <c r="B1220" s="2263"/>
      <c r="C1220" s="2263"/>
      <c r="D1220" s="2263"/>
      <c r="E1220" s="1462"/>
      <c r="R1220" s="1463"/>
      <c r="S1220" s="1463"/>
      <c r="T1220" s="1463"/>
      <c r="U1220" s="1463"/>
      <c r="V1220" s="1463"/>
      <c r="W1220" s="1463"/>
      <c r="X1220" s="1463"/>
      <c r="Y1220" s="1463"/>
    </row>
    <row r="1221" spans="1:25">
      <c r="A1221" s="2263"/>
      <c r="B1221" s="2263"/>
      <c r="C1221" s="2263"/>
      <c r="D1221" s="2263"/>
      <c r="E1221" s="1462"/>
      <c r="R1221" s="1463"/>
      <c r="S1221" s="1463"/>
      <c r="T1221" s="1463"/>
      <c r="U1221" s="1463"/>
      <c r="V1221" s="1463"/>
      <c r="W1221" s="1463"/>
      <c r="X1221" s="1463"/>
      <c r="Y1221" s="1463"/>
    </row>
    <row r="1222" spans="1:25">
      <c r="A1222" s="2263"/>
      <c r="B1222" s="2263"/>
      <c r="C1222" s="2263"/>
      <c r="D1222" s="2263"/>
      <c r="E1222" s="1462"/>
      <c r="R1222" s="1463"/>
      <c r="S1222" s="1463"/>
      <c r="T1222" s="1463"/>
      <c r="U1222" s="1463"/>
      <c r="V1222" s="1463"/>
      <c r="W1222" s="1463"/>
      <c r="X1222" s="1463"/>
      <c r="Y1222" s="1463"/>
    </row>
    <row r="1223" spans="1:25">
      <c r="A1223" s="2263"/>
      <c r="B1223" s="2263"/>
      <c r="C1223" s="2263"/>
      <c r="D1223" s="2263"/>
      <c r="E1223" s="1462"/>
      <c r="R1223" s="1463"/>
      <c r="S1223" s="1463"/>
      <c r="T1223" s="1463"/>
      <c r="U1223" s="1463"/>
      <c r="V1223" s="1463"/>
      <c r="W1223" s="1463"/>
      <c r="X1223" s="1463"/>
      <c r="Y1223" s="1463"/>
    </row>
    <row r="1224" spans="1:25">
      <c r="A1224" s="2263"/>
      <c r="B1224" s="2263"/>
      <c r="C1224" s="2263"/>
      <c r="D1224" s="2263"/>
      <c r="E1224" s="1462"/>
      <c r="R1224" s="1463"/>
      <c r="S1224" s="1463"/>
      <c r="T1224" s="1463"/>
      <c r="U1224" s="1463"/>
      <c r="V1224" s="1463"/>
      <c r="W1224" s="1463"/>
      <c r="X1224" s="1463"/>
      <c r="Y1224" s="1463"/>
    </row>
    <row r="1225" spans="1:25">
      <c r="A1225" s="2263"/>
      <c r="B1225" s="2263"/>
      <c r="C1225" s="2263"/>
      <c r="D1225" s="2263"/>
      <c r="E1225" s="1462"/>
      <c r="R1225" s="1463"/>
      <c r="S1225" s="1463"/>
      <c r="T1225" s="1463"/>
      <c r="U1225" s="1463"/>
      <c r="V1225" s="1463"/>
      <c r="W1225" s="1463"/>
      <c r="X1225" s="1463"/>
      <c r="Y1225" s="1463"/>
    </row>
    <row r="1226" spans="1:25">
      <c r="A1226" s="2263"/>
      <c r="B1226" s="2263"/>
      <c r="C1226" s="2263"/>
      <c r="D1226" s="2263"/>
      <c r="E1226" s="1462"/>
      <c r="R1226" s="1463"/>
      <c r="S1226" s="1463"/>
      <c r="T1226" s="1463"/>
      <c r="U1226" s="1463"/>
      <c r="V1226" s="1463"/>
      <c r="W1226" s="1463"/>
      <c r="X1226" s="1463"/>
      <c r="Y1226" s="1463"/>
    </row>
    <row r="1227" spans="1:25">
      <c r="A1227" s="2263"/>
      <c r="B1227" s="2263"/>
      <c r="C1227" s="2263"/>
      <c r="D1227" s="2263"/>
      <c r="E1227" s="1462"/>
      <c r="R1227" s="1463"/>
      <c r="S1227" s="1463"/>
      <c r="T1227" s="1463"/>
      <c r="U1227" s="1463"/>
      <c r="V1227" s="1463"/>
      <c r="W1227" s="1463"/>
      <c r="X1227" s="1463"/>
      <c r="Y1227" s="1463"/>
    </row>
    <row r="1228" spans="1:25">
      <c r="A1228" s="2263"/>
      <c r="B1228" s="2263"/>
      <c r="C1228" s="2263"/>
      <c r="D1228" s="2263"/>
      <c r="E1228" s="1462"/>
      <c r="R1228" s="1463"/>
      <c r="S1228" s="1463"/>
      <c r="T1228" s="1463"/>
      <c r="U1228" s="1463"/>
      <c r="V1228" s="1463"/>
      <c r="W1228" s="1463"/>
      <c r="X1228" s="1463"/>
      <c r="Y1228" s="1463"/>
    </row>
    <row r="1229" spans="1:25">
      <c r="A1229" s="2263"/>
      <c r="B1229" s="2263"/>
      <c r="C1229" s="2263"/>
      <c r="D1229" s="2263"/>
      <c r="E1229" s="1462"/>
      <c r="R1229" s="1463"/>
      <c r="S1229" s="1463"/>
      <c r="T1229" s="1463"/>
      <c r="U1229" s="1463"/>
      <c r="V1229" s="1463"/>
      <c r="W1229" s="1463"/>
      <c r="X1229" s="1463"/>
      <c r="Y1229" s="1463"/>
    </row>
    <row r="1230" spans="1:25">
      <c r="A1230" s="2263"/>
      <c r="B1230" s="2263"/>
      <c r="C1230" s="2263"/>
      <c r="D1230" s="2263"/>
      <c r="E1230" s="1462"/>
      <c r="R1230" s="1463"/>
      <c r="S1230" s="1463"/>
      <c r="T1230" s="1463"/>
      <c r="U1230" s="1463"/>
      <c r="V1230" s="1463"/>
      <c r="W1230" s="1463"/>
      <c r="X1230" s="1463"/>
      <c r="Y1230" s="1463"/>
    </row>
    <row r="1231" spans="1:25">
      <c r="A1231" s="2263"/>
      <c r="B1231" s="2263"/>
      <c r="C1231" s="2263"/>
      <c r="D1231" s="2263"/>
      <c r="E1231" s="1462"/>
      <c r="R1231" s="1463"/>
      <c r="S1231" s="1463"/>
      <c r="T1231" s="1463"/>
      <c r="U1231" s="1463"/>
      <c r="V1231" s="1463"/>
      <c r="W1231" s="1463"/>
      <c r="X1231" s="1463"/>
      <c r="Y1231" s="1463"/>
    </row>
    <row r="1232" spans="1:25">
      <c r="A1232" s="2263"/>
      <c r="B1232" s="2263"/>
      <c r="C1232" s="2263"/>
      <c r="D1232" s="2263"/>
      <c r="E1232" s="1462"/>
      <c r="R1232" s="1463"/>
      <c r="S1232" s="1463"/>
      <c r="T1232" s="1463"/>
      <c r="U1232" s="1463"/>
      <c r="V1232" s="1463"/>
      <c r="W1232" s="1463"/>
      <c r="X1232" s="1463"/>
      <c r="Y1232" s="1463"/>
    </row>
    <row r="1233" spans="1:25">
      <c r="A1233" s="2263"/>
      <c r="B1233" s="2263"/>
      <c r="C1233" s="2263"/>
      <c r="D1233" s="2263"/>
      <c r="E1233" s="1462"/>
      <c r="R1233" s="1463"/>
      <c r="S1233" s="1463"/>
      <c r="T1233" s="1463"/>
      <c r="U1233" s="1463"/>
      <c r="V1233" s="1463"/>
      <c r="W1233" s="1463"/>
      <c r="X1233" s="1463"/>
      <c r="Y1233" s="1463"/>
    </row>
    <row r="1234" spans="1:25">
      <c r="A1234" s="2263"/>
      <c r="B1234" s="2263"/>
      <c r="C1234" s="2263"/>
      <c r="D1234" s="2263"/>
      <c r="E1234" s="1462"/>
      <c r="R1234" s="1463"/>
      <c r="S1234" s="1463"/>
      <c r="T1234" s="1463"/>
      <c r="U1234" s="1463"/>
      <c r="V1234" s="1463"/>
      <c r="W1234" s="1463"/>
      <c r="X1234" s="1463"/>
      <c r="Y1234" s="1463"/>
    </row>
    <row r="1235" spans="1:25">
      <c r="A1235" s="2263"/>
      <c r="B1235" s="2263"/>
      <c r="C1235" s="2263"/>
      <c r="D1235" s="2263"/>
      <c r="E1235" s="1462"/>
      <c r="R1235" s="1463"/>
      <c r="S1235" s="1463"/>
      <c r="T1235" s="1463"/>
      <c r="U1235" s="1463"/>
      <c r="V1235" s="1463"/>
      <c r="W1235" s="1463"/>
      <c r="X1235" s="1463"/>
      <c r="Y1235" s="1463"/>
    </row>
    <row r="1236" spans="1:25">
      <c r="A1236" s="2263"/>
      <c r="B1236" s="2263"/>
      <c r="C1236" s="2263"/>
      <c r="D1236" s="2263"/>
      <c r="E1236" s="1462"/>
      <c r="R1236" s="1463"/>
      <c r="S1236" s="1463"/>
      <c r="T1236" s="1463"/>
      <c r="U1236" s="1463"/>
      <c r="V1236" s="1463"/>
      <c r="W1236" s="1463"/>
      <c r="X1236" s="1463"/>
      <c r="Y1236" s="1463"/>
    </row>
    <row r="1237" spans="1:25">
      <c r="A1237" s="2263"/>
      <c r="B1237" s="2263"/>
      <c r="C1237" s="2263"/>
      <c r="D1237" s="2263"/>
      <c r="E1237" s="1462"/>
      <c r="R1237" s="1463"/>
      <c r="S1237" s="1463"/>
      <c r="T1237" s="1463"/>
      <c r="U1237" s="1463"/>
      <c r="V1237" s="1463"/>
      <c r="W1237" s="1463"/>
      <c r="X1237" s="1463"/>
      <c r="Y1237" s="1463"/>
    </row>
    <row r="1238" spans="1:25">
      <c r="A1238" s="2263"/>
      <c r="B1238" s="2263"/>
      <c r="C1238" s="2263"/>
      <c r="D1238" s="2263"/>
      <c r="E1238" s="1462"/>
      <c r="R1238" s="1463"/>
      <c r="S1238" s="1463"/>
      <c r="T1238" s="1463"/>
      <c r="U1238" s="1463"/>
      <c r="V1238" s="1463"/>
      <c r="W1238" s="1463"/>
      <c r="X1238" s="1463"/>
      <c r="Y1238" s="1463"/>
    </row>
    <row r="1239" spans="1:25">
      <c r="A1239" s="2263"/>
      <c r="B1239" s="2263"/>
      <c r="C1239" s="2263"/>
      <c r="D1239" s="2263"/>
      <c r="E1239" s="1462"/>
      <c r="R1239" s="1463"/>
      <c r="S1239" s="1463"/>
      <c r="T1239" s="1463"/>
      <c r="U1239" s="1463"/>
      <c r="V1239" s="1463"/>
      <c r="W1239" s="1463"/>
      <c r="X1239" s="1463"/>
      <c r="Y1239" s="1463"/>
    </row>
    <row r="1240" spans="1:25">
      <c r="A1240" s="2263"/>
      <c r="B1240" s="2263"/>
      <c r="C1240" s="2263"/>
      <c r="D1240" s="2263"/>
      <c r="E1240" s="1462"/>
      <c r="R1240" s="1463"/>
      <c r="S1240" s="1463"/>
      <c r="T1240" s="1463"/>
      <c r="U1240" s="1463"/>
      <c r="V1240" s="1463"/>
      <c r="W1240" s="1463"/>
      <c r="X1240" s="1463"/>
      <c r="Y1240" s="1463"/>
    </row>
    <row r="1241" spans="1:25">
      <c r="A1241" s="2263"/>
      <c r="B1241" s="2263"/>
      <c r="C1241" s="2263"/>
      <c r="D1241" s="2263"/>
      <c r="E1241" s="1462"/>
      <c r="R1241" s="1463"/>
      <c r="S1241" s="1463"/>
      <c r="T1241" s="1463"/>
      <c r="U1241" s="1463"/>
      <c r="V1241" s="1463"/>
      <c r="W1241" s="1463"/>
      <c r="X1241" s="1463"/>
      <c r="Y1241" s="1463"/>
    </row>
    <row r="1242" spans="1:25">
      <c r="A1242" s="2263"/>
      <c r="B1242" s="2263"/>
      <c r="C1242" s="2263"/>
      <c r="D1242" s="2263"/>
      <c r="E1242" s="1462"/>
      <c r="R1242" s="1463"/>
      <c r="S1242" s="1463"/>
      <c r="T1242" s="1463"/>
      <c r="U1242" s="1463"/>
      <c r="V1242" s="1463"/>
      <c r="W1242" s="1463"/>
      <c r="X1242" s="1463"/>
      <c r="Y1242" s="1463"/>
    </row>
    <row r="1243" spans="1:25">
      <c r="A1243" s="2263"/>
      <c r="B1243" s="2263"/>
      <c r="C1243" s="2263"/>
      <c r="D1243" s="2263"/>
      <c r="E1243" s="1462"/>
      <c r="R1243" s="1463"/>
      <c r="S1243" s="1463"/>
      <c r="T1243" s="1463"/>
      <c r="U1243" s="1463"/>
      <c r="V1243" s="1463"/>
      <c r="W1243" s="1463"/>
      <c r="X1243" s="1463"/>
      <c r="Y1243" s="1463"/>
    </row>
    <row r="1244" spans="1:25">
      <c r="A1244" s="2263"/>
      <c r="B1244" s="2263"/>
      <c r="C1244" s="2263"/>
      <c r="D1244" s="2263"/>
      <c r="E1244" s="1462"/>
      <c r="R1244" s="1463"/>
      <c r="S1244" s="1463"/>
      <c r="T1244" s="1463"/>
      <c r="U1244" s="1463"/>
      <c r="V1244" s="1463"/>
      <c r="W1244" s="1463"/>
      <c r="X1244" s="1463"/>
      <c r="Y1244" s="1463"/>
    </row>
    <row r="1245" spans="1:25">
      <c r="A1245" s="2263"/>
      <c r="B1245" s="2263"/>
      <c r="C1245" s="2263"/>
      <c r="D1245" s="2263"/>
      <c r="E1245" s="1462"/>
      <c r="R1245" s="1463"/>
      <c r="S1245" s="1463"/>
      <c r="T1245" s="1463"/>
      <c r="U1245" s="1463"/>
      <c r="V1245" s="1463"/>
      <c r="W1245" s="1463"/>
      <c r="X1245" s="1463"/>
      <c r="Y1245" s="1463"/>
    </row>
    <row r="1246" spans="1:25">
      <c r="A1246" s="2263"/>
      <c r="B1246" s="2263"/>
      <c r="C1246" s="2263"/>
      <c r="D1246" s="2263"/>
      <c r="E1246" s="1462"/>
      <c r="R1246" s="1463"/>
      <c r="S1246" s="1463"/>
      <c r="T1246" s="1463"/>
      <c r="U1246" s="1463"/>
      <c r="V1246" s="1463"/>
      <c r="W1246" s="1463"/>
      <c r="X1246" s="1463"/>
      <c r="Y1246" s="1463"/>
    </row>
    <row r="1247" spans="1:25">
      <c r="A1247" s="2263"/>
      <c r="B1247" s="2263"/>
      <c r="C1247" s="2263"/>
      <c r="D1247" s="2263"/>
      <c r="E1247" s="1462"/>
      <c r="R1247" s="1463"/>
      <c r="S1247" s="1463"/>
      <c r="T1247" s="1463"/>
      <c r="U1247" s="1463"/>
      <c r="V1247" s="1463"/>
      <c r="W1247" s="1463"/>
      <c r="X1247" s="1463"/>
      <c r="Y1247" s="1463"/>
    </row>
    <row r="1248" spans="1:25">
      <c r="A1248" s="2263"/>
      <c r="B1248" s="2263"/>
      <c r="C1248" s="2263"/>
      <c r="D1248" s="2263"/>
      <c r="E1248" s="1462"/>
      <c r="R1248" s="1463"/>
      <c r="S1248" s="1463"/>
      <c r="T1248" s="1463"/>
      <c r="U1248" s="1463"/>
      <c r="V1248" s="1463"/>
      <c r="W1248" s="1463"/>
      <c r="X1248" s="1463"/>
      <c r="Y1248" s="1463"/>
    </row>
    <row r="1249" spans="1:25">
      <c r="A1249" s="2263"/>
      <c r="B1249" s="2263"/>
      <c r="C1249" s="2263"/>
      <c r="D1249" s="2263"/>
      <c r="E1249" s="1462"/>
      <c r="R1249" s="1463"/>
      <c r="S1249" s="1463"/>
      <c r="T1249" s="1463"/>
      <c r="U1249" s="1463"/>
      <c r="V1249" s="1463"/>
      <c r="W1249" s="1463"/>
      <c r="X1249" s="1463"/>
      <c r="Y1249" s="1463"/>
    </row>
    <row r="1250" spans="1:25">
      <c r="A1250" s="2263"/>
      <c r="B1250" s="2263"/>
      <c r="C1250" s="2263"/>
      <c r="D1250" s="2263"/>
      <c r="E1250" s="1462"/>
      <c r="R1250" s="1463"/>
      <c r="S1250" s="1463"/>
      <c r="T1250" s="1463"/>
      <c r="U1250" s="1463"/>
      <c r="V1250" s="1463"/>
      <c r="W1250" s="1463"/>
      <c r="X1250" s="1463"/>
      <c r="Y1250" s="1463"/>
    </row>
    <row r="1251" spans="1:25">
      <c r="A1251" s="2263"/>
      <c r="B1251" s="2263"/>
      <c r="C1251" s="2263"/>
      <c r="D1251" s="2263"/>
      <c r="E1251" s="1462"/>
      <c r="R1251" s="1463"/>
      <c r="S1251" s="1463"/>
      <c r="T1251" s="1463"/>
      <c r="U1251" s="1463"/>
      <c r="V1251" s="1463"/>
      <c r="W1251" s="1463"/>
      <c r="X1251" s="1463"/>
      <c r="Y1251" s="1463"/>
    </row>
    <row r="1252" spans="1:25">
      <c r="A1252" s="2263"/>
      <c r="B1252" s="2263"/>
      <c r="C1252" s="2263"/>
      <c r="D1252" s="2263"/>
      <c r="E1252" s="1462"/>
      <c r="R1252" s="1463"/>
      <c r="S1252" s="1463"/>
      <c r="T1252" s="1463"/>
      <c r="U1252" s="1463"/>
      <c r="V1252" s="1463"/>
      <c r="W1252" s="1463"/>
      <c r="X1252" s="1463"/>
      <c r="Y1252" s="1463"/>
    </row>
    <row r="1253" spans="1:25">
      <c r="A1253" s="2263"/>
      <c r="B1253" s="2263"/>
      <c r="C1253" s="2263"/>
      <c r="D1253" s="2263"/>
      <c r="E1253" s="1462"/>
      <c r="R1253" s="1463"/>
      <c r="S1253" s="1463"/>
      <c r="T1253" s="1463"/>
      <c r="U1253" s="1463"/>
      <c r="V1253" s="1463"/>
      <c r="W1253" s="1463"/>
      <c r="X1253" s="1463"/>
      <c r="Y1253" s="1463"/>
    </row>
    <row r="1254" spans="1:25">
      <c r="A1254" s="2263"/>
      <c r="B1254" s="2263"/>
      <c r="C1254" s="2263"/>
      <c r="D1254" s="2263"/>
      <c r="E1254" s="1462"/>
      <c r="R1254" s="1463"/>
      <c r="S1254" s="1463"/>
      <c r="T1254" s="1463"/>
      <c r="U1254" s="1463"/>
      <c r="V1254" s="1463"/>
      <c r="W1254" s="1463"/>
      <c r="X1254" s="1463"/>
      <c r="Y1254" s="1463"/>
    </row>
    <row r="1255" spans="1:25">
      <c r="A1255" s="2263"/>
      <c r="B1255" s="2263"/>
      <c r="C1255" s="2263"/>
      <c r="D1255" s="2263"/>
      <c r="E1255" s="1462"/>
      <c r="R1255" s="1463"/>
      <c r="S1255" s="1463"/>
      <c r="T1255" s="1463"/>
      <c r="U1255" s="1463"/>
      <c r="V1255" s="1463"/>
      <c r="W1255" s="1463"/>
      <c r="X1255" s="1463"/>
      <c r="Y1255" s="1463"/>
    </row>
    <row r="1256" spans="1:25">
      <c r="A1256" s="2263"/>
      <c r="B1256" s="2263"/>
      <c r="C1256" s="2263"/>
      <c r="D1256" s="2263"/>
      <c r="E1256" s="1462"/>
      <c r="R1256" s="1463"/>
      <c r="S1256" s="1463"/>
      <c r="T1256" s="1463"/>
      <c r="U1256" s="1463"/>
      <c r="V1256" s="1463"/>
      <c r="W1256" s="1463"/>
      <c r="X1256" s="1463"/>
      <c r="Y1256" s="1463"/>
    </row>
    <row r="1257" spans="1:25">
      <c r="A1257" s="2263"/>
      <c r="B1257" s="2263"/>
      <c r="C1257" s="2263"/>
      <c r="D1257" s="2263"/>
      <c r="E1257" s="1462"/>
      <c r="R1257" s="1463"/>
      <c r="S1257" s="1463"/>
      <c r="T1257" s="1463"/>
      <c r="U1257" s="1463"/>
      <c r="V1257" s="1463"/>
      <c r="W1257" s="1463"/>
      <c r="X1257" s="1463"/>
      <c r="Y1257" s="1463"/>
    </row>
    <row r="1258" spans="1:25">
      <c r="A1258" s="2263"/>
      <c r="B1258" s="2263"/>
      <c r="C1258" s="2263"/>
      <c r="D1258" s="2263"/>
      <c r="E1258" s="1462"/>
      <c r="R1258" s="1463"/>
      <c r="S1258" s="1463"/>
      <c r="T1258" s="1463"/>
      <c r="U1258" s="1463"/>
      <c r="V1258" s="1463"/>
      <c r="W1258" s="1463"/>
      <c r="X1258" s="1463"/>
      <c r="Y1258" s="1463"/>
    </row>
    <row r="1259" spans="1:25">
      <c r="A1259" s="2263"/>
      <c r="B1259" s="2263"/>
      <c r="C1259" s="2263"/>
      <c r="D1259" s="2263"/>
      <c r="E1259" s="1462"/>
      <c r="R1259" s="1463"/>
      <c r="S1259" s="1463"/>
      <c r="T1259" s="1463"/>
      <c r="U1259" s="1463"/>
      <c r="V1259" s="1463"/>
      <c r="W1259" s="1463"/>
      <c r="X1259" s="1463"/>
      <c r="Y1259" s="1463"/>
    </row>
    <row r="1260" spans="1:25">
      <c r="A1260" s="2263"/>
      <c r="B1260" s="2263"/>
      <c r="C1260" s="2263"/>
      <c r="D1260" s="2263"/>
      <c r="E1260" s="1462"/>
      <c r="R1260" s="1463"/>
      <c r="S1260" s="1463"/>
      <c r="T1260" s="1463"/>
      <c r="U1260" s="1463"/>
      <c r="V1260" s="1463"/>
      <c r="W1260" s="1463"/>
      <c r="X1260" s="1463"/>
      <c r="Y1260" s="1463"/>
    </row>
    <row r="1261" spans="1:25">
      <c r="A1261" s="2263"/>
      <c r="B1261" s="2263"/>
      <c r="C1261" s="2263"/>
      <c r="D1261" s="2263"/>
      <c r="E1261" s="1462"/>
      <c r="R1261" s="1463"/>
      <c r="S1261" s="1463"/>
      <c r="T1261" s="1463"/>
      <c r="U1261" s="1463"/>
      <c r="V1261" s="1463"/>
      <c r="W1261" s="1463"/>
      <c r="X1261" s="1463"/>
      <c r="Y1261" s="1463"/>
    </row>
    <row r="1262" spans="1:25">
      <c r="A1262" s="2263"/>
      <c r="B1262" s="2263"/>
      <c r="C1262" s="2263"/>
      <c r="D1262" s="2263"/>
      <c r="E1262" s="1462"/>
      <c r="R1262" s="1463"/>
      <c r="S1262" s="1463"/>
      <c r="T1262" s="1463"/>
      <c r="U1262" s="1463"/>
      <c r="V1262" s="1463"/>
      <c r="W1262" s="1463"/>
      <c r="X1262" s="1463"/>
      <c r="Y1262" s="1463"/>
    </row>
    <row r="1263" spans="1:25">
      <c r="A1263" s="2263"/>
      <c r="B1263" s="2263"/>
      <c r="C1263" s="2263"/>
      <c r="D1263" s="2263"/>
      <c r="E1263" s="1462"/>
      <c r="R1263" s="1463"/>
      <c r="S1263" s="1463"/>
      <c r="T1263" s="1463"/>
      <c r="U1263" s="1463"/>
      <c r="V1263" s="1463"/>
      <c r="W1263" s="1463"/>
      <c r="X1263" s="1463"/>
      <c r="Y1263" s="1463"/>
    </row>
    <row r="1264" spans="1:25">
      <c r="A1264" s="2263"/>
      <c r="B1264" s="2263"/>
      <c r="C1264" s="2263"/>
      <c r="D1264" s="2263"/>
      <c r="E1264" s="1462"/>
      <c r="R1264" s="1463"/>
      <c r="S1264" s="1463"/>
      <c r="T1264" s="1463"/>
      <c r="U1264" s="1463"/>
      <c r="V1264" s="1463"/>
      <c r="W1264" s="1463"/>
      <c r="X1264" s="1463"/>
      <c r="Y1264" s="1463"/>
    </row>
    <row r="1265" spans="1:25">
      <c r="A1265" s="2263"/>
      <c r="B1265" s="2263"/>
      <c r="C1265" s="2263"/>
      <c r="D1265" s="2263"/>
      <c r="E1265" s="1462"/>
      <c r="R1265" s="1463"/>
      <c r="S1265" s="1463"/>
      <c r="T1265" s="1463"/>
      <c r="U1265" s="1463"/>
      <c r="V1265" s="1463"/>
      <c r="W1265" s="1463"/>
      <c r="X1265" s="1463"/>
      <c r="Y1265" s="1463"/>
    </row>
    <row r="1266" spans="1:25">
      <c r="A1266" s="2263"/>
      <c r="B1266" s="2263"/>
      <c r="C1266" s="2263"/>
      <c r="D1266" s="2263"/>
      <c r="E1266" s="1462"/>
      <c r="R1266" s="1463"/>
      <c r="S1266" s="1463"/>
      <c r="T1266" s="1463"/>
      <c r="U1266" s="1463"/>
      <c r="V1266" s="1463"/>
      <c r="W1266" s="1463"/>
      <c r="X1266" s="1463"/>
      <c r="Y1266" s="1463"/>
    </row>
    <row r="1267" spans="1:25">
      <c r="A1267" s="2263"/>
      <c r="B1267" s="2263"/>
      <c r="C1267" s="2263"/>
      <c r="D1267" s="2263"/>
      <c r="E1267" s="1462"/>
      <c r="R1267" s="1463"/>
      <c r="S1267" s="1463"/>
      <c r="T1267" s="1463"/>
      <c r="U1267" s="1463"/>
      <c r="V1267" s="1463"/>
      <c r="W1267" s="1463"/>
      <c r="X1267" s="1463"/>
      <c r="Y1267" s="1463"/>
    </row>
    <row r="1268" spans="1:25">
      <c r="A1268" s="2263"/>
      <c r="B1268" s="2263"/>
      <c r="C1268" s="2263"/>
      <c r="D1268" s="2263"/>
      <c r="E1268" s="1462"/>
      <c r="R1268" s="1463"/>
      <c r="S1268" s="1463"/>
      <c r="T1268" s="1463"/>
      <c r="U1268" s="1463"/>
      <c r="V1268" s="1463"/>
      <c r="W1268" s="1463"/>
      <c r="X1268" s="1463"/>
      <c r="Y1268" s="1463"/>
    </row>
    <row r="1269" spans="1:25">
      <c r="A1269" s="2263"/>
      <c r="B1269" s="2263"/>
      <c r="C1269" s="2263"/>
      <c r="D1269" s="2263"/>
      <c r="E1269" s="1462"/>
      <c r="R1269" s="1463"/>
      <c r="S1269" s="1463"/>
      <c r="T1269" s="1463"/>
      <c r="U1269" s="1463"/>
      <c r="V1269" s="1463"/>
      <c r="W1269" s="1463"/>
      <c r="X1269" s="1463"/>
      <c r="Y1269" s="1463"/>
    </row>
    <row r="1270" spans="1:25">
      <c r="A1270" s="2263"/>
      <c r="B1270" s="2263"/>
      <c r="C1270" s="2263"/>
      <c r="D1270" s="2263"/>
      <c r="E1270" s="1462"/>
      <c r="R1270" s="1463"/>
      <c r="S1270" s="1463"/>
      <c r="T1270" s="1463"/>
      <c r="U1270" s="1463"/>
      <c r="V1270" s="1463"/>
      <c r="W1270" s="1463"/>
      <c r="X1270" s="1463"/>
      <c r="Y1270" s="1463"/>
    </row>
    <row r="1271" spans="1:25">
      <c r="A1271" s="2263"/>
      <c r="B1271" s="2263"/>
      <c r="C1271" s="2263"/>
      <c r="D1271" s="2263"/>
      <c r="E1271" s="1462"/>
      <c r="R1271" s="1463"/>
      <c r="S1271" s="1463"/>
      <c r="T1271" s="1463"/>
      <c r="U1271" s="1463"/>
      <c r="V1271" s="1463"/>
      <c r="W1271" s="1463"/>
      <c r="X1271" s="1463"/>
      <c r="Y1271" s="1463"/>
    </row>
    <row r="1272" spans="1:25">
      <c r="A1272" s="2263"/>
      <c r="B1272" s="2263"/>
      <c r="C1272" s="2263"/>
      <c r="D1272" s="2263"/>
      <c r="E1272" s="1462"/>
      <c r="R1272" s="1463"/>
      <c r="S1272" s="1463"/>
      <c r="T1272" s="1463"/>
      <c r="U1272" s="1463"/>
      <c r="V1272" s="1463"/>
      <c r="W1272" s="1463"/>
      <c r="X1272" s="1463"/>
      <c r="Y1272" s="1463"/>
    </row>
    <row r="1273" spans="1:25">
      <c r="A1273" s="2263"/>
      <c r="B1273" s="2263"/>
      <c r="C1273" s="2263"/>
      <c r="D1273" s="2263"/>
      <c r="E1273" s="1462"/>
      <c r="R1273" s="1463"/>
      <c r="S1273" s="1463"/>
      <c r="T1273" s="1463"/>
      <c r="U1273" s="1463"/>
      <c r="V1273" s="1463"/>
      <c r="W1273" s="1463"/>
      <c r="X1273" s="1463"/>
      <c r="Y1273" s="1463"/>
    </row>
    <row r="1274" spans="1:25">
      <c r="A1274" s="2263"/>
      <c r="B1274" s="2263"/>
      <c r="C1274" s="2263"/>
      <c r="D1274" s="2263"/>
      <c r="E1274" s="1462"/>
      <c r="R1274" s="1463"/>
      <c r="S1274" s="1463"/>
      <c r="T1274" s="1463"/>
      <c r="U1274" s="1463"/>
      <c r="V1274" s="1463"/>
      <c r="W1274" s="1463"/>
      <c r="X1274" s="1463"/>
      <c r="Y1274" s="1463"/>
    </row>
    <row r="1275" spans="1:25">
      <c r="A1275" s="2263"/>
      <c r="B1275" s="2263"/>
      <c r="C1275" s="2263"/>
      <c r="D1275" s="2263"/>
      <c r="E1275" s="1462"/>
      <c r="R1275" s="1463"/>
      <c r="S1275" s="1463"/>
      <c r="T1275" s="1463"/>
      <c r="U1275" s="1463"/>
      <c r="V1275" s="1463"/>
      <c r="W1275" s="1463"/>
      <c r="X1275" s="1463"/>
      <c r="Y1275" s="1463"/>
    </row>
    <row r="1276" spans="1:25">
      <c r="A1276" s="2263"/>
      <c r="B1276" s="2263"/>
      <c r="C1276" s="2263"/>
      <c r="D1276" s="2263"/>
      <c r="E1276" s="1462"/>
      <c r="R1276" s="1463"/>
      <c r="S1276" s="1463"/>
      <c r="T1276" s="1463"/>
      <c r="U1276" s="1463"/>
      <c r="V1276" s="1463"/>
      <c r="W1276" s="1463"/>
      <c r="X1276" s="1463"/>
      <c r="Y1276" s="1463"/>
    </row>
    <row r="1277" spans="1:25">
      <c r="A1277" s="2263"/>
      <c r="B1277" s="2263"/>
      <c r="C1277" s="2263"/>
      <c r="D1277" s="2263"/>
      <c r="E1277" s="1462"/>
      <c r="R1277" s="1463"/>
      <c r="S1277" s="1463"/>
      <c r="T1277" s="1463"/>
      <c r="U1277" s="1463"/>
      <c r="V1277" s="1463"/>
      <c r="W1277" s="1463"/>
      <c r="X1277" s="1463"/>
      <c r="Y1277" s="1463"/>
    </row>
    <row r="1278" spans="1:25">
      <c r="A1278" s="2263"/>
      <c r="B1278" s="2263"/>
      <c r="C1278" s="2263"/>
      <c r="D1278" s="2263"/>
      <c r="E1278" s="1462"/>
      <c r="R1278" s="1463"/>
      <c r="S1278" s="1463"/>
      <c r="T1278" s="1463"/>
      <c r="U1278" s="1463"/>
      <c r="V1278" s="1463"/>
      <c r="W1278" s="1463"/>
      <c r="X1278" s="1463"/>
      <c r="Y1278" s="1463"/>
    </row>
    <row r="1279" spans="1:25">
      <c r="A1279" s="2263"/>
      <c r="B1279" s="2263"/>
      <c r="C1279" s="2263"/>
      <c r="D1279" s="2263"/>
      <c r="E1279" s="1462"/>
      <c r="R1279" s="1463"/>
      <c r="S1279" s="1463"/>
      <c r="T1279" s="1463"/>
      <c r="U1279" s="1463"/>
      <c r="V1279" s="1463"/>
      <c r="W1279" s="1463"/>
      <c r="X1279" s="1463"/>
      <c r="Y1279" s="1463"/>
    </row>
    <row r="1280" spans="1:25">
      <c r="A1280" s="2263"/>
      <c r="B1280" s="2263"/>
      <c r="C1280" s="2263"/>
      <c r="D1280" s="2263"/>
      <c r="E1280" s="1462"/>
      <c r="R1280" s="1463"/>
      <c r="S1280" s="1463"/>
      <c r="T1280" s="1463"/>
      <c r="U1280" s="1463"/>
      <c r="V1280" s="1463"/>
      <c r="W1280" s="1463"/>
      <c r="X1280" s="1463"/>
      <c r="Y1280" s="1463"/>
    </row>
    <row r="1281" spans="1:25">
      <c r="A1281" s="2263"/>
      <c r="B1281" s="2263"/>
      <c r="C1281" s="2263"/>
      <c r="D1281" s="2263"/>
      <c r="E1281" s="1462"/>
      <c r="R1281" s="1463"/>
      <c r="S1281" s="1463"/>
      <c r="T1281" s="1463"/>
      <c r="U1281" s="1463"/>
      <c r="V1281" s="1463"/>
      <c r="W1281" s="1463"/>
      <c r="X1281" s="1463"/>
      <c r="Y1281" s="1463"/>
    </row>
    <row r="1282" spans="1:25">
      <c r="A1282" s="2263"/>
      <c r="B1282" s="2263"/>
      <c r="C1282" s="2263"/>
      <c r="D1282" s="2263"/>
      <c r="E1282" s="1462"/>
      <c r="R1282" s="1463"/>
      <c r="S1282" s="1463"/>
      <c r="T1282" s="1463"/>
      <c r="U1282" s="1463"/>
      <c r="V1282" s="1463"/>
      <c r="W1282" s="1463"/>
      <c r="X1282" s="1463"/>
      <c r="Y1282" s="1463"/>
    </row>
    <row r="1283" spans="1:25">
      <c r="A1283" s="2263"/>
      <c r="B1283" s="2263"/>
      <c r="C1283" s="2263"/>
      <c r="D1283" s="2263"/>
      <c r="E1283" s="1462"/>
      <c r="R1283" s="1463"/>
      <c r="S1283" s="1463"/>
      <c r="T1283" s="1463"/>
      <c r="U1283" s="1463"/>
      <c r="V1283" s="1463"/>
      <c r="W1283" s="1463"/>
      <c r="X1283" s="1463"/>
      <c r="Y1283" s="1463"/>
    </row>
    <row r="1284" spans="1:25">
      <c r="A1284" s="2263"/>
      <c r="B1284" s="2263"/>
      <c r="C1284" s="2263"/>
      <c r="D1284" s="2263"/>
      <c r="E1284" s="1462"/>
      <c r="R1284" s="1463"/>
      <c r="S1284" s="1463"/>
      <c r="T1284" s="1463"/>
      <c r="U1284" s="1463"/>
      <c r="V1284" s="1463"/>
      <c r="W1284" s="1463"/>
      <c r="X1284" s="1463"/>
      <c r="Y1284" s="1463"/>
    </row>
    <row r="1285" spans="1:25">
      <c r="A1285" s="2263"/>
      <c r="B1285" s="2263"/>
      <c r="C1285" s="2263"/>
      <c r="D1285" s="2263"/>
      <c r="E1285" s="1462"/>
      <c r="R1285" s="1463"/>
      <c r="S1285" s="1463"/>
      <c r="T1285" s="1463"/>
      <c r="U1285" s="1463"/>
      <c r="V1285" s="1463"/>
      <c r="W1285" s="1463"/>
      <c r="X1285" s="1463"/>
      <c r="Y1285" s="1463"/>
    </row>
    <row r="1286" spans="1:25">
      <c r="A1286" s="2263"/>
      <c r="B1286" s="2263"/>
      <c r="C1286" s="2263"/>
      <c r="D1286" s="2263"/>
      <c r="E1286" s="1462"/>
      <c r="R1286" s="1463"/>
      <c r="S1286" s="1463"/>
      <c r="T1286" s="1463"/>
      <c r="U1286" s="1463"/>
      <c r="V1286" s="1463"/>
      <c r="W1286" s="1463"/>
      <c r="X1286" s="1463"/>
      <c r="Y1286" s="1463"/>
    </row>
    <row r="1287" spans="1:25">
      <c r="A1287" s="2263"/>
      <c r="B1287" s="2263"/>
      <c r="C1287" s="2263"/>
      <c r="D1287" s="2263"/>
      <c r="E1287" s="1462"/>
      <c r="R1287" s="1463"/>
      <c r="S1287" s="1463"/>
      <c r="T1287" s="1463"/>
      <c r="U1287" s="1463"/>
      <c r="V1287" s="1463"/>
      <c r="W1287" s="1463"/>
      <c r="X1287" s="1463"/>
      <c r="Y1287" s="1463"/>
    </row>
    <row r="1288" spans="1:25">
      <c r="A1288" s="2263"/>
      <c r="B1288" s="2263"/>
      <c r="C1288" s="2263"/>
      <c r="D1288" s="2263"/>
      <c r="E1288" s="1462"/>
      <c r="R1288" s="1463"/>
      <c r="S1288" s="1463"/>
      <c r="T1288" s="1463"/>
      <c r="U1288" s="1463"/>
      <c r="V1288" s="1463"/>
      <c r="W1288" s="1463"/>
      <c r="X1288" s="1463"/>
      <c r="Y1288" s="1463"/>
    </row>
    <row r="1289" spans="1:25">
      <c r="A1289" s="2263"/>
      <c r="B1289" s="2263"/>
      <c r="C1289" s="2263"/>
      <c r="D1289" s="2263"/>
      <c r="E1289" s="1462"/>
      <c r="R1289" s="1463"/>
      <c r="S1289" s="1463"/>
      <c r="T1289" s="1463"/>
      <c r="U1289" s="1463"/>
      <c r="V1289" s="1463"/>
      <c r="W1289" s="1463"/>
      <c r="X1289" s="1463"/>
      <c r="Y1289" s="1463"/>
    </row>
    <row r="1290" spans="1:25">
      <c r="A1290" s="2263"/>
      <c r="B1290" s="2263"/>
      <c r="C1290" s="2263"/>
      <c r="D1290" s="2263"/>
      <c r="E1290" s="1462"/>
      <c r="R1290" s="1463"/>
      <c r="S1290" s="1463"/>
      <c r="T1290" s="1463"/>
      <c r="U1290" s="1463"/>
      <c r="V1290" s="1463"/>
      <c r="W1290" s="1463"/>
      <c r="X1290" s="1463"/>
      <c r="Y1290" s="1463"/>
    </row>
    <row r="1291" spans="1:25">
      <c r="A1291" s="2263"/>
      <c r="B1291" s="2263"/>
      <c r="C1291" s="2263"/>
      <c r="D1291" s="2263"/>
      <c r="E1291" s="1462"/>
      <c r="R1291" s="1463"/>
      <c r="S1291" s="1463"/>
      <c r="T1291" s="1463"/>
      <c r="U1291" s="1463"/>
      <c r="V1291" s="1463"/>
      <c r="W1291" s="1463"/>
      <c r="X1291" s="1463"/>
      <c r="Y1291" s="1463"/>
    </row>
    <row r="1292" spans="1:25">
      <c r="A1292" s="2263"/>
      <c r="B1292" s="2263"/>
      <c r="C1292" s="2263"/>
      <c r="D1292" s="2263"/>
      <c r="E1292" s="1462"/>
      <c r="R1292" s="1463"/>
      <c r="S1292" s="1463"/>
      <c r="T1292" s="1463"/>
      <c r="U1292" s="1463"/>
      <c r="V1292" s="1463"/>
      <c r="W1292" s="1463"/>
      <c r="X1292" s="1463"/>
      <c r="Y1292" s="1463"/>
    </row>
    <row r="1293" spans="1:25">
      <c r="A1293" s="2263"/>
      <c r="B1293" s="2263"/>
      <c r="C1293" s="2263"/>
      <c r="D1293" s="2263"/>
      <c r="E1293" s="1462"/>
      <c r="R1293" s="1463"/>
      <c r="S1293" s="1463"/>
      <c r="T1293" s="1463"/>
      <c r="U1293" s="1463"/>
      <c r="V1293" s="1463"/>
      <c r="W1293" s="1463"/>
      <c r="X1293" s="1463"/>
      <c r="Y1293" s="1463"/>
    </row>
    <row r="1294" spans="1:25">
      <c r="A1294" s="2263"/>
      <c r="B1294" s="2263"/>
      <c r="C1294" s="2263"/>
      <c r="D1294" s="2263"/>
      <c r="E1294" s="1462"/>
      <c r="R1294" s="1463"/>
      <c r="S1294" s="1463"/>
      <c r="T1294" s="1463"/>
      <c r="U1294" s="1463"/>
      <c r="V1294" s="1463"/>
      <c r="W1294" s="1463"/>
      <c r="X1294" s="1463"/>
      <c r="Y1294" s="1463"/>
    </row>
    <row r="1295" spans="1:25">
      <c r="A1295" s="2263"/>
      <c r="B1295" s="2263"/>
      <c r="C1295" s="2263"/>
      <c r="D1295" s="2263"/>
      <c r="E1295" s="1462"/>
      <c r="R1295" s="1463"/>
      <c r="S1295" s="1463"/>
      <c r="T1295" s="1463"/>
      <c r="U1295" s="1463"/>
      <c r="V1295" s="1463"/>
      <c r="W1295" s="1463"/>
      <c r="X1295" s="1463"/>
      <c r="Y1295" s="1463"/>
    </row>
    <row r="1296" spans="1:25">
      <c r="A1296" s="2263"/>
      <c r="B1296" s="2263"/>
      <c r="C1296" s="2263"/>
      <c r="D1296" s="2263"/>
      <c r="E1296" s="1462"/>
      <c r="R1296" s="1463"/>
      <c r="S1296" s="1463"/>
      <c r="T1296" s="1463"/>
      <c r="U1296" s="1463"/>
      <c r="V1296" s="1463"/>
      <c r="W1296" s="1463"/>
      <c r="X1296" s="1463"/>
      <c r="Y1296" s="1463"/>
    </row>
    <row r="1297" spans="1:25">
      <c r="A1297" s="2263"/>
      <c r="B1297" s="2263"/>
      <c r="C1297" s="2263"/>
      <c r="D1297" s="2263"/>
      <c r="E1297" s="1462"/>
      <c r="R1297" s="1463"/>
      <c r="S1297" s="1463"/>
      <c r="T1297" s="1463"/>
      <c r="U1297" s="1463"/>
      <c r="V1297" s="1463"/>
      <c r="W1297" s="1463"/>
      <c r="X1297" s="1463"/>
      <c r="Y1297" s="1463"/>
    </row>
    <row r="1298" spans="1:25">
      <c r="A1298" s="2263"/>
      <c r="B1298" s="2263"/>
      <c r="C1298" s="2263"/>
      <c r="D1298" s="2263"/>
      <c r="E1298" s="1462"/>
      <c r="R1298" s="1463"/>
      <c r="S1298" s="1463"/>
      <c r="T1298" s="1463"/>
      <c r="U1298" s="1463"/>
      <c r="V1298" s="1463"/>
      <c r="W1298" s="1463"/>
      <c r="X1298" s="1463"/>
      <c r="Y1298" s="1463"/>
    </row>
    <row r="1299" spans="1:25">
      <c r="A1299" s="2263"/>
      <c r="B1299" s="2263"/>
      <c r="C1299" s="2263"/>
      <c r="D1299" s="2263"/>
      <c r="E1299" s="1462"/>
      <c r="R1299" s="1463"/>
      <c r="S1299" s="1463"/>
      <c r="T1299" s="1463"/>
      <c r="U1299" s="1463"/>
      <c r="V1299" s="1463"/>
      <c r="W1299" s="1463"/>
      <c r="X1299" s="1463"/>
      <c r="Y1299" s="1463"/>
    </row>
    <row r="1300" spans="1:25">
      <c r="A1300" s="2263"/>
      <c r="B1300" s="2263"/>
      <c r="C1300" s="2263"/>
      <c r="D1300" s="2263"/>
      <c r="E1300" s="1462"/>
      <c r="R1300" s="1463"/>
      <c r="S1300" s="1463"/>
      <c r="T1300" s="1463"/>
      <c r="U1300" s="1463"/>
      <c r="V1300" s="1463"/>
      <c r="W1300" s="1463"/>
      <c r="X1300" s="1463"/>
      <c r="Y1300" s="1463"/>
    </row>
    <row r="1301" spans="1:25">
      <c r="A1301" s="2263"/>
      <c r="B1301" s="2263"/>
      <c r="C1301" s="2263"/>
      <c r="D1301" s="2263"/>
      <c r="E1301" s="1462"/>
      <c r="R1301" s="1463"/>
      <c r="S1301" s="1463"/>
      <c r="T1301" s="1463"/>
      <c r="U1301" s="1463"/>
      <c r="V1301" s="1463"/>
      <c r="W1301" s="1463"/>
      <c r="X1301" s="1463"/>
      <c r="Y1301" s="1463"/>
    </row>
    <row r="1302" spans="1:25">
      <c r="A1302" s="2263"/>
      <c r="B1302" s="2263"/>
      <c r="C1302" s="2263"/>
      <c r="D1302" s="2263"/>
      <c r="E1302" s="1462"/>
      <c r="R1302" s="1463"/>
      <c r="S1302" s="1463"/>
      <c r="T1302" s="1463"/>
      <c r="U1302" s="1463"/>
      <c r="V1302" s="1463"/>
      <c r="W1302" s="1463"/>
      <c r="X1302" s="1463"/>
      <c r="Y1302" s="1463"/>
    </row>
    <row r="1303" spans="1:25">
      <c r="A1303" s="2263"/>
      <c r="B1303" s="2263"/>
      <c r="C1303" s="2263"/>
      <c r="D1303" s="2263"/>
      <c r="E1303" s="1462"/>
      <c r="R1303" s="1463"/>
      <c r="S1303" s="1463"/>
      <c r="T1303" s="1463"/>
      <c r="U1303" s="1463"/>
      <c r="V1303" s="1463"/>
      <c r="W1303" s="1463"/>
      <c r="X1303" s="1463"/>
      <c r="Y1303" s="1463"/>
    </row>
    <row r="1304" spans="1:25">
      <c r="A1304" s="2263"/>
      <c r="B1304" s="2263"/>
      <c r="C1304" s="2263"/>
      <c r="D1304" s="2263"/>
      <c r="E1304" s="1462"/>
      <c r="R1304" s="1463"/>
      <c r="S1304" s="1463"/>
      <c r="T1304" s="1463"/>
      <c r="U1304" s="1463"/>
      <c r="V1304" s="1463"/>
      <c r="W1304" s="1463"/>
      <c r="X1304" s="1463"/>
      <c r="Y1304" s="1463"/>
    </row>
    <row r="1305" spans="1:25">
      <c r="A1305" s="2263"/>
      <c r="B1305" s="2263"/>
      <c r="C1305" s="2263"/>
      <c r="D1305" s="2263"/>
      <c r="E1305" s="1462"/>
      <c r="R1305" s="1463"/>
      <c r="S1305" s="1463"/>
      <c r="T1305" s="1463"/>
      <c r="U1305" s="1463"/>
      <c r="V1305" s="1463"/>
      <c r="W1305" s="1463"/>
      <c r="X1305" s="1463"/>
      <c r="Y1305" s="1463"/>
    </row>
    <row r="1306" spans="1:25">
      <c r="A1306" s="2263"/>
      <c r="B1306" s="2263"/>
      <c r="C1306" s="2263"/>
      <c r="D1306" s="2263"/>
      <c r="E1306" s="1462"/>
      <c r="R1306" s="1463"/>
      <c r="S1306" s="1463"/>
      <c r="T1306" s="1463"/>
      <c r="U1306" s="1463"/>
      <c r="V1306" s="1463"/>
      <c r="W1306" s="1463"/>
      <c r="X1306" s="1463"/>
      <c r="Y1306" s="1463"/>
    </row>
    <row r="1307" spans="1:25">
      <c r="A1307" s="2263"/>
      <c r="B1307" s="2263"/>
      <c r="C1307" s="2263"/>
      <c r="D1307" s="2263"/>
      <c r="E1307" s="1462"/>
      <c r="R1307" s="1463"/>
      <c r="S1307" s="1463"/>
      <c r="T1307" s="1463"/>
      <c r="U1307" s="1463"/>
      <c r="V1307" s="1463"/>
      <c r="W1307" s="1463"/>
      <c r="X1307" s="1463"/>
      <c r="Y1307" s="1463"/>
    </row>
    <row r="1308" spans="1:25">
      <c r="A1308" s="2263"/>
      <c r="B1308" s="2263"/>
      <c r="C1308" s="2263"/>
      <c r="D1308" s="2263"/>
      <c r="E1308" s="1462"/>
      <c r="R1308" s="1463"/>
      <c r="S1308" s="1463"/>
      <c r="T1308" s="1463"/>
      <c r="U1308" s="1463"/>
      <c r="V1308" s="1463"/>
      <c r="W1308" s="1463"/>
      <c r="X1308" s="1463"/>
      <c r="Y1308" s="1463"/>
    </row>
    <row r="1309" spans="1:25">
      <c r="A1309" s="2263"/>
      <c r="B1309" s="2263"/>
      <c r="C1309" s="2263"/>
      <c r="D1309" s="2263"/>
      <c r="E1309" s="1462"/>
      <c r="R1309" s="1463"/>
      <c r="S1309" s="1463"/>
      <c r="T1309" s="1463"/>
      <c r="U1309" s="1463"/>
      <c r="V1309" s="1463"/>
      <c r="W1309" s="1463"/>
      <c r="X1309" s="1463"/>
      <c r="Y1309" s="1463"/>
    </row>
    <row r="1310" spans="1:25">
      <c r="A1310" s="2263"/>
      <c r="B1310" s="2263"/>
      <c r="C1310" s="2263"/>
      <c r="D1310" s="2263"/>
      <c r="E1310" s="1462"/>
      <c r="R1310" s="1463"/>
      <c r="S1310" s="1463"/>
      <c r="T1310" s="1463"/>
      <c r="U1310" s="1463"/>
      <c r="V1310" s="1463"/>
      <c r="W1310" s="1463"/>
      <c r="X1310" s="1463"/>
      <c r="Y1310" s="1463"/>
    </row>
    <row r="1311" spans="1:25">
      <c r="A1311" s="2263"/>
      <c r="B1311" s="2263"/>
      <c r="C1311" s="2263"/>
      <c r="D1311" s="2263"/>
      <c r="E1311" s="1462"/>
      <c r="R1311" s="1463"/>
      <c r="S1311" s="1463"/>
      <c r="T1311" s="1463"/>
      <c r="U1311" s="1463"/>
      <c r="V1311" s="1463"/>
      <c r="W1311" s="1463"/>
      <c r="X1311" s="1463"/>
      <c r="Y1311" s="1463"/>
    </row>
    <row r="1312" spans="1:25">
      <c r="A1312" s="2263"/>
      <c r="B1312" s="2263"/>
      <c r="C1312" s="2263"/>
      <c r="D1312" s="2263"/>
      <c r="E1312" s="1462"/>
      <c r="R1312" s="1463"/>
      <c r="S1312" s="1463"/>
      <c r="T1312" s="1463"/>
      <c r="U1312" s="1463"/>
      <c r="V1312" s="1463"/>
      <c r="W1312" s="1463"/>
      <c r="X1312" s="1463"/>
      <c r="Y1312" s="1463"/>
    </row>
    <row r="1313" spans="1:25">
      <c r="A1313" s="2263"/>
      <c r="B1313" s="2263"/>
      <c r="C1313" s="2263"/>
      <c r="D1313" s="2263"/>
      <c r="E1313" s="1462"/>
      <c r="R1313" s="1463"/>
      <c r="S1313" s="1463"/>
      <c r="T1313" s="1463"/>
      <c r="U1313" s="1463"/>
      <c r="V1313" s="1463"/>
      <c r="W1313" s="1463"/>
      <c r="X1313" s="1463"/>
      <c r="Y1313" s="1463"/>
    </row>
    <row r="1314" spans="1:25">
      <c r="A1314" s="2263"/>
      <c r="B1314" s="2263"/>
      <c r="C1314" s="2263"/>
      <c r="D1314" s="2263"/>
      <c r="E1314" s="1462"/>
      <c r="R1314" s="1463"/>
      <c r="S1314" s="1463"/>
      <c r="T1314" s="1463"/>
      <c r="U1314" s="1463"/>
      <c r="V1314" s="1463"/>
      <c r="W1314" s="1463"/>
      <c r="X1314" s="1463"/>
      <c r="Y1314" s="1463"/>
    </row>
    <row r="1315" spans="1:25">
      <c r="A1315" s="2263"/>
      <c r="B1315" s="2263"/>
      <c r="C1315" s="2263"/>
      <c r="D1315" s="2263"/>
      <c r="E1315" s="1462"/>
      <c r="R1315" s="1463"/>
      <c r="S1315" s="1463"/>
      <c r="T1315" s="1463"/>
      <c r="U1315" s="1463"/>
      <c r="V1315" s="1463"/>
      <c r="W1315" s="1463"/>
      <c r="X1315" s="1463"/>
      <c r="Y1315" s="1463"/>
    </row>
    <row r="1316" spans="1:25">
      <c r="A1316" s="2263"/>
      <c r="B1316" s="2263"/>
      <c r="C1316" s="2263"/>
      <c r="D1316" s="2263"/>
      <c r="E1316" s="1462"/>
      <c r="R1316" s="1463"/>
      <c r="S1316" s="1463"/>
      <c r="T1316" s="1463"/>
      <c r="U1316" s="1463"/>
      <c r="V1316" s="1463"/>
      <c r="W1316" s="1463"/>
      <c r="X1316" s="1463"/>
      <c r="Y1316" s="1463"/>
    </row>
    <row r="1317" spans="1:25">
      <c r="A1317" s="2263"/>
      <c r="B1317" s="2263"/>
      <c r="C1317" s="2263"/>
      <c r="D1317" s="2263"/>
      <c r="E1317" s="1462"/>
      <c r="R1317" s="1463"/>
      <c r="S1317" s="1463"/>
      <c r="T1317" s="1463"/>
      <c r="U1317" s="1463"/>
      <c r="V1317" s="1463"/>
      <c r="W1317" s="1463"/>
      <c r="X1317" s="1463"/>
      <c r="Y1317" s="1463"/>
    </row>
    <row r="1318" spans="1:25">
      <c r="A1318" s="2263"/>
      <c r="B1318" s="2263"/>
      <c r="C1318" s="2263"/>
      <c r="D1318" s="2263"/>
      <c r="E1318" s="1462"/>
      <c r="R1318" s="1463"/>
      <c r="S1318" s="1463"/>
      <c r="T1318" s="1463"/>
      <c r="U1318" s="1463"/>
      <c r="V1318" s="1463"/>
      <c r="W1318" s="1463"/>
      <c r="X1318" s="1463"/>
      <c r="Y1318" s="1463"/>
    </row>
    <row r="1319" spans="1:25">
      <c r="A1319" s="2263"/>
      <c r="B1319" s="2263"/>
      <c r="C1319" s="2263"/>
      <c r="D1319" s="2263"/>
      <c r="E1319" s="1462"/>
      <c r="R1319" s="1463"/>
      <c r="S1319" s="1463"/>
      <c r="T1319" s="1463"/>
      <c r="U1319" s="1463"/>
      <c r="V1319" s="1463"/>
      <c r="W1319" s="1463"/>
      <c r="X1319" s="1463"/>
      <c r="Y1319" s="1463"/>
    </row>
    <row r="1320" spans="1:25">
      <c r="A1320" s="2263"/>
      <c r="B1320" s="2263"/>
      <c r="C1320" s="2263"/>
      <c r="D1320" s="2263"/>
      <c r="E1320" s="1462"/>
      <c r="R1320" s="1463"/>
      <c r="S1320" s="1463"/>
      <c r="T1320" s="1463"/>
      <c r="U1320" s="1463"/>
      <c r="V1320" s="1463"/>
      <c r="W1320" s="1463"/>
      <c r="X1320" s="1463"/>
      <c r="Y1320" s="1463"/>
    </row>
    <row r="1321" spans="1:25">
      <c r="A1321" s="2263"/>
      <c r="B1321" s="2263"/>
      <c r="C1321" s="2263"/>
      <c r="D1321" s="2263"/>
      <c r="E1321" s="1462"/>
      <c r="R1321" s="1463"/>
      <c r="S1321" s="1463"/>
      <c r="T1321" s="1463"/>
      <c r="U1321" s="1463"/>
      <c r="V1321" s="1463"/>
      <c r="W1321" s="1463"/>
      <c r="X1321" s="1463"/>
      <c r="Y1321" s="1463"/>
    </row>
    <row r="1322" spans="1:25">
      <c r="A1322" s="2263"/>
      <c r="B1322" s="2263"/>
      <c r="C1322" s="2263"/>
      <c r="D1322" s="2263"/>
      <c r="E1322" s="1462"/>
      <c r="R1322" s="1463"/>
      <c r="S1322" s="1463"/>
      <c r="T1322" s="1463"/>
      <c r="U1322" s="1463"/>
      <c r="V1322" s="1463"/>
      <c r="W1322" s="1463"/>
      <c r="X1322" s="1463"/>
      <c r="Y1322" s="1463"/>
    </row>
    <row r="1323" spans="1:25">
      <c r="A1323" s="2263"/>
      <c r="B1323" s="2263"/>
      <c r="C1323" s="2263"/>
      <c r="D1323" s="2263"/>
      <c r="E1323" s="1462"/>
      <c r="R1323" s="1463"/>
      <c r="S1323" s="1463"/>
      <c r="T1323" s="1463"/>
      <c r="U1323" s="1463"/>
      <c r="V1323" s="1463"/>
      <c r="W1323" s="1463"/>
      <c r="X1323" s="1463"/>
      <c r="Y1323" s="1463"/>
    </row>
    <row r="1324" spans="1:25">
      <c r="A1324" s="2263"/>
      <c r="B1324" s="2263"/>
      <c r="C1324" s="2263"/>
      <c r="D1324" s="2263"/>
      <c r="E1324" s="1462"/>
      <c r="R1324" s="1463"/>
      <c r="S1324" s="1463"/>
      <c r="T1324" s="1463"/>
      <c r="U1324" s="1463"/>
      <c r="V1324" s="1463"/>
      <c r="W1324" s="1463"/>
      <c r="X1324" s="1463"/>
      <c r="Y1324" s="1463"/>
    </row>
    <row r="1325" spans="1:25">
      <c r="A1325" s="2263"/>
      <c r="B1325" s="2263"/>
      <c r="C1325" s="2263"/>
      <c r="D1325" s="2263"/>
      <c r="E1325" s="1462"/>
      <c r="R1325" s="1463"/>
      <c r="S1325" s="1463"/>
      <c r="T1325" s="1463"/>
      <c r="U1325" s="1463"/>
      <c r="V1325" s="1463"/>
      <c r="W1325" s="1463"/>
      <c r="X1325" s="1463"/>
      <c r="Y1325" s="1463"/>
    </row>
    <row r="1326" spans="1:25">
      <c r="A1326" s="2263"/>
      <c r="B1326" s="2263"/>
      <c r="C1326" s="2263"/>
      <c r="D1326" s="2263"/>
      <c r="E1326" s="1462"/>
      <c r="R1326" s="1463"/>
      <c r="S1326" s="1463"/>
      <c r="T1326" s="1463"/>
      <c r="U1326" s="1463"/>
      <c r="V1326" s="1463"/>
      <c r="W1326" s="1463"/>
      <c r="X1326" s="1463"/>
      <c r="Y1326" s="1463"/>
    </row>
    <row r="1327" spans="1:25">
      <c r="A1327" s="2263"/>
      <c r="B1327" s="2263"/>
      <c r="C1327" s="2263"/>
      <c r="D1327" s="2263"/>
      <c r="E1327" s="1462"/>
      <c r="R1327" s="1463"/>
      <c r="S1327" s="1463"/>
      <c r="T1327" s="1463"/>
      <c r="U1327" s="1463"/>
      <c r="V1327" s="1463"/>
      <c r="W1327" s="1463"/>
      <c r="X1327" s="1463"/>
      <c r="Y1327" s="1463"/>
    </row>
    <row r="1328" spans="1:25">
      <c r="A1328" s="2263"/>
      <c r="B1328" s="2263"/>
      <c r="C1328" s="2263"/>
      <c r="D1328" s="2263"/>
      <c r="E1328" s="1462"/>
      <c r="R1328" s="1463"/>
      <c r="S1328" s="1463"/>
      <c r="T1328" s="1463"/>
      <c r="U1328" s="1463"/>
      <c r="V1328" s="1463"/>
      <c r="W1328" s="1463"/>
      <c r="X1328" s="1463"/>
      <c r="Y1328" s="1463"/>
    </row>
    <row r="1329" spans="1:25">
      <c r="A1329" s="2263"/>
      <c r="B1329" s="2263"/>
      <c r="C1329" s="2263"/>
      <c r="D1329" s="2263"/>
      <c r="E1329" s="1462"/>
      <c r="R1329" s="1463"/>
      <c r="S1329" s="1463"/>
      <c r="T1329" s="1463"/>
      <c r="U1329" s="1463"/>
      <c r="V1329" s="1463"/>
      <c r="W1329" s="1463"/>
      <c r="X1329" s="1463"/>
      <c r="Y1329" s="1463"/>
    </row>
    <row r="1330" spans="1:25">
      <c r="A1330" s="2263"/>
      <c r="B1330" s="2263"/>
      <c r="C1330" s="2263"/>
      <c r="D1330" s="2263"/>
      <c r="E1330" s="1462"/>
      <c r="R1330" s="1463"/>
      <c r="S1330" s="1463"/>
      <c r="T1330" s="1463"/>
      <c r="U1330" s="1463"/>
      <c r="V1330" s="1463"/>
      <c r="W1330" s="1463"/>
      <c r="X1330" s="1463"/>
      <c r="Y1330" s="1463"/>
    </row>
    <row r="1331" spans="1:25">
      <c r="A1331" s="2263"/>
      <c r="B1331" s="2263"/>
      <c r="C1331" s="2263"/>
      <c r="D1331" s="2263"/>
      <c r="E1331" s="1462"/>
      <c r="R1331" s="1463"/>
      <c r="S1331" s="1463"/>
      <c r="T1331" s="1463"/>
      <c r="U1331" s="1463"/>
      <c r="V1331" s="1463"/>
      <c r="W1331" s="1463"/>
      <c r="X1331" s="1463"/>
      <c r="Y1331" s="1463"/>
    </row>
    <row r="1332" spans="1:25">
      <c r="A1332" s="2263"/>
      <c r="B1332" s="2263"/>
      <c r="C1332" s="2263"/>
      <c r="D1332" s="2263"/>
      <c r="E1332" s="1462"/>
      <c r="R1332" s="1463"/>
      <c r="S1332" s="1463"/>
      <c r="T1332" s="1463"/>
      <c r="U1332" s="1463"/>
      <c r="V1332" s="1463"/>
      <c r="W1332" s="1463"/>
      <c r="X1332" s="1463"/>
      <c r="Y1332" s="1463"/>
    </row>
    <row r="1333" spans="1:25">
      <c r="A1333" s="2263"/>
      <c r="B1333" s="2263"/>
      <c r="C1333" s="2263"/>
      <c r="D1333" s="2263"/>
      <c r="E1333" s="1462"/>
      <c r="R1333" s="1463"/>
      <c r="S1333" s="1463"/>
      <c r="T1333" s="1463"/>
      <c r="U1333" s="1463"/>
      <c r="V1333" s="1463"/>
      <c r="W1333" s="1463"/>
      <c r="X1333" s="1463"/>
      <c r="Y1333" s="1463"/>
    </row>
    <row r="1334" spans="1:25">
      <c r="A1334" s="2263"/>
      <c r="B1334" s="2263"/>
      <c r="C1334" s="2263"/>
      <c r="D1334" s="2263"/>
      <c r="E1334" s="1462"/>
      <c r="R1334" s="1463"/>
      <c r="S1334" s="1463"/>
      <c r="T1334" s="1463"/>
      <c r="U1334" s="1463"/>
      <c r="V1334" s="1463"/>
      <c r="W1334" s="1463"/>
      <c r="X1334" s="1463"/>
      <c r="Y1334" s="1463"/>
    </row>
    <row r="1335" spans="1:25">
      <c r="A1335" s="2263"/>
      <c r="B1335" s="2263"/>
      <c r="C1335" s="2263"/>
      <c r="D1335" s="2263"/>
      <c r="E1335" s="1462"/>
      <c r="R1335" s="1463"/>
      <c r="S1335" s="1463"/>
      <c r="T1335" s="1463"/>
      <c r="U1335" s="1463"/>
      <c r="V1335" s="1463"/>
      <c r="W1335" s="1463"/>
      <c r="X1335" s="1463"/>
      <c r="Y1335" s="1463"/>
    </row>
    <row r="1336" spans="1:25">
      <c r="A1336" s="2263"/>
      <c r="B1336" s="2263"/>
      <c r="C1336" s="2263"/>
      <c r="D1336" s="2263"/>
      <c r="E1336" s="1462"/>
      <c r="R1336" s="1463"/>
      <c r="S1336" s="1463"/>
      <c r="T1336" s="1463"/>
      <c r="U1336" s="1463"/>
      <c r="V1336" s="1463"/>
      <c r="W1336" s="1463"/>
      <c r="X1336" s="1463"/>
      <c r="Y1336" s="1463"/>
    </row>
    <row r="1337" spans="1:25">
      <c r="A1337" s="2263"/>
      <c r="B1337" s="2263"/>
      <c r="C1337" s="2263"/>
      <c r="D1337" s="2263"/>
      <c r="E1337" s="1462"/>
      <c r="R1337" s="1463"/>
      <c r="S1337" s="1463"/>
      <c r="T1337" s="1463"/>
      <c r="U1337" s="1463"/>
      <c r="V1337" s="1463"/>
      <c r="W1337" s="1463"/>
      <c r="X1337" s="1463"/>
      <c r="Y1337" s="1463"/>
    </row>
    <row r="1338" spans="1:25">
      <c r="A1338" s="2263"/>
      <c r="B1338" s="2263"/>
      <c r="C1338" s="2263"/>
      <c r="D1338" s="2263"/>
      <c r="E1338" s="1462"/>
      <c r="R1338" s="1463"/>
      <c r="S1338" s="1463"/>
      <c r="T1338" s="1463"/>
      <c r="U1338" s="1463"/>
      <c r="V1338" s="1463"/>
      <c r="W1338" s="1463"/>
      <c r="X1338" s="1463"/>
      <c r="Y1338" s="1463"/>
    </row>
    <row r="1339" spans="1:25">
      <c r="A1339" s="2263"/>
      <c r="B1339" s="2263"/>
      <c r="C1339" s="2263"/>
      <c r="D1339" s="2263"/>
      <c r="E1339" s="1462"/>
      <c r="R1339" s="1463"/>
      <c r="S1339" s="1463"/>
      <c r="T1339" s="1463"/>
      <c r="U1339" s="1463"/>
      <c r="V1339" s="1463"/>
      <c r="W1339" s="1463"/>
      <c r="X1339" s="1463"/>
      <c r="Y1339" s="1463"/>
    </row>
    <row r="1340" spans="1:25">
      <c r="A1340" s="2263"/>
      <c r="B1340" s="2263"/>
      <c r="C1340" s="2263"/>
      <c r="D1340" s="2263"/>
      <c r="E1340" s="1462"/>
      <c r="R1340" s="1463"/>
      <c r="S1340" s="1463"/>
      <c r="T1340" s="1463"/>
      <c r="U1340" s="1463"/>
      <c r="V1340" s="1463"/>
      <c r="W1340" s="1463"/>
      <c r="X1340" s="1463"/>
      <c r="Y1340" s="1463"/>
    </row>
    <row r="1341" spans="1:25">
      <c r="A1341" s="2263"/>
      <c r="B1341" s="2263"/>
      <c r="C1341" s="2263"/>
      <c r="D1341" s="2263"/>
      <c r="E1341" s="1462"/>
      <c r="R1341" s="1463"/>
      <c r="S1341" s="1463"/>
      <c r="T1341" s="1463"/>
      <c r="U1341" s="1463"/>
      <c r="V1341" s="1463"/>
      <c r="W1341" s="1463"/>
      <c r="X1341" s="1463"/>
      <c r="Y1341" s="1463"/>
    </row>
    <row r="1342" spans="1:25">
      <c r="A1342" s="2263"/>
      <c r="B1342" s="2263"/>
      <c r="C1342" s="2263"/>
      <c r="D1342" s="2263"/>
      <c r="E1342" s="1462"/>
      <c r="R1342" s="1463"/>
      <c r="S1342" s="1463"/>
      <c r="T1342" s="1463"/>
      <c r="U1342" s="1463"/>
      <c r="V1342" s="1463"/>
      <c r="W1342" s="1463"/>
      <c r="X1342" s="1463"/>
      <c r="Y1342" s="1463"/>
    </row>
    <row r="1343" spans="1:25">
      <c r="A1343" s="2263"/>
      <c r="B1343" s="2263"/>
      <c r="C1343" s="2263"/>
      <c r="D1343" s="2263"/>
      <c r="E1343" s="1462"/>
      <c r="R1343" s="1463"/>
      <c r="S1343" s="1463"/>
      <c r="T1343" s="1463"/>
      <c r="U1343" s="1463"/>
      <c r="V1343" s="1463"/>
      <c r="W1343" s="1463"/>
      <c r="X1343" s="1463"/>
      <c r="Y1343" s="1463"/>
    </row>
    <row r="1344" spans="1:25">
      <c r="A1344" s="2263"/>
      <c r="B1344" s="2263"/>
      <c r="C1344" s="2263"/>
      <c r="D1344" s="2263"/>
      <c r="E1344" s="1462"/>
      <c r="R1344" s="1463"/>
      <c r="S1344" s="1463"/>
      <c r="T1344" s="1463"/>
      <c r="U1344" s="1463"/>
      <c r="V1344" s="1463"/>
      <c r="W1344" s="1463"/>
      <c r="X1344" s="1463"/>
      <c r="Y1344" s="1463"/>
    </row>
    <row r="1345" spans="1:25">
      <c r="A1345" s="2263"/>
      <c r="B1345" s="2263"/>
      <c r="C1345" s="2263"/>
      <c r="D1345" s="2263"/>
      <c r="E1345" s="1462"/>
      <c r="R1345" s="1463"/>
      <c r="S1345" s="1463"/>
      <c r="T1345" s="1463"/>
      <c r="U1345" s="1463"/>
      <c r="V1345" s="1463"/>
      <c r="W1345" s="1463"/>
      <c r="X1345" s="1463"/>
      <c r="Y1345" s="1463"/>
    </row>
    <row r="1346" spans="1:25">
      <c r="A1346" s="2263"/>
      <c r="B1346" s="2263"/>
      <c r="C1346" s="2263"/>
      <c r="D1346" s="2263"/>
      <c r="E1346" s="1462"/>
      <c r="R1346" s="1463"/>
      <c r="S1346" s="1463"/>
      <c r="T1346" s="1463"/>
      <c r="U1346" s="1463"/>
      <c r="V1346" s="1463"/>
      <c r="W1346" s="1463"/>
      <c r="X1346" s="1463"/>
      <c r="Y1346" s="1463"/>
    </row>
    <row r="1347" spans="1:25">
      <c r="A1347" s="2263"/>
      <c r="B1347" s="2263"/>
      <c r="C1347" s="2263"/>
      <c r="D1347" s="2263"/>
      <c r="E1347" s="1462"/>
      <c r="R1347" s="1463"/>
      <c r="S1347" s="1463"/>
      <c r="T1347" s="1463"/>
      <c r="U1347" s="1463"/>
      <c r="V1347" s="1463"/>
      <c r="W1347" s="1463"/>
      <c r="X1347" s="1463"/>
      <c r="Y1347" s="1463"/>
    </row>
    <row r="1348" spans="1:25">
      <c r="A1348" s="2263"/>
      <c r="B1348" s="2263"/>
      <c r="C1348" s="2263"/>
      <c r="D1348" s="2263"/>
      <c r="E1348" s="1462"/>
      <c r="R1348" s="1463"/>
      <c r="S1348" s="1463"/>
      <c r="T1348" s="1463"/>
      <c r="U1348" s="1463"/>
      <c r="V1348" s="1463"/>
      <c r="W1348" s="1463"/>
      <c r="X1348" s="1463"/>
      <c r="Y1348" s="1463"/>
    </row>
    <row r="1349" spans="1:25">
      <c r="A1349" s="2263"/>
      <c r="B1349" s="2263"/>
      <c r="C1349" s="2263"/>
      <c r="D1349" s="2263"/>
      <c r="E1349" s="1462"/>
      <c r="R1349" s="1463"/>
      <c r="S1349" s="1463"/>
      <c r="T1349" s="1463"/>
      <c r="U1349" s="1463"/>
      <c r="V1349" s="1463"/>
      <c r="W1349" s="1463"/>
      <c r="X1349" s="1463"/>
      <c r="Y1349" s="1463"/>
    </row>
    <row r="1350" spans="1:25">
      <c r="A1350" s="2263"/>
      <c r="B1350" s="2263"/>
      <c r="C1350" s="2263"/>
      <c r="D1350" s="2263"/>
      <c r="E1350" s="1462"/>
      <c r="R1350" s="1463"/>
      <c r="S1350" s="1463"/>
      <c r="T1350" s="1463"/>
      <c r="U1350" s="1463"/>
      <c r="V1350" s="1463"/>
      <c r="W1350" s="1463"/>
      <c r="X1350" s="1463"/>
      <c r="Y1350" s="1463"/>
    </row>
    <row r="1351" spans="1:25">
      <c r="A1351" s="2263"/>
      <c r="B1351" s="2263"/>
      <c r="C1351" s="2263"/>
      <c r="D1351" s="2263"/>
      <c r="E1351" s="1462"/>
      <c r="R1351" s="1463"/>
      <c r="S1351" s="1463"/>
      <c r="T1351" s="1463"/>
      <c r="U1351" s="1463"/>
      <c r="V1351" s="1463"/>
      <c r="W1351" s="1463"/>
      <c r="X1351" s="1463"/>
      <c r="Y1351" s="1463"/>
    </row>
    <row r="1352" spans="1:25">
      <c r="A1352" s="2263"/>
      <c r="B1352" s="2263"/>
      <c r="C1352" s="2263"/>
      <c r="D1352" s="2263"/>
      <c r="E1352" s="1462"/>
      <c r="R1352" s="1463"/>
      <c r="S1352" s="1463"/>
      <c r="T1352" s="1463"/>
      <c r="U1352" s="1463"/>
      <c r="V1352" s="1463"/>
      <c r="W1352" s="1463"/>
      <c r="X1352" s="1463"/>
      <c r="Y1352" s="1463"/>
    </row>
    <row r="1353" spans="1:25">
      <c r="A1353" s="2263"/>
      <c r="B1353" s="2263"/>
      <c r="C1353" s="2263"/>
      <c r="D1353" s="2263"/>
      <c r="E1353" s="1462"/>
      <c r="R1353" s="1463"/>
      <c r="S1353" s="1463"/>
      <c r="T1353" s="1463"/>
      <c r="U1353" s="1463"/>
      <c r="V1353" s="1463"/>
      <c r="W1353" s="1463"/>
      <c r="X1353" s="1463"/>
      <c r="Y1353" s="1463"/>
    </row>
    <row r="1354" spans="1:25">
      <c r="A1354" s="2263"/>
      <c r="B1354" s="2263"/>
      <c r="C1354" s="2263"/>
      <c r="D1354" s="2263"/>
      <c r="E1354" s="1462"/>
      <c r="R1354" s="1463"/>
      <c r="S1354" s="1463"/>
      <c r="T1354" s="1463"/>
      <c r="U1354" s="1463"/>
      <c r="V1354" s="1463"/>
      <c r="W1354" s="1463"/>
      <c r="X1354" s="1463"/>
      <c r="Y1354" s="1463"/>
    </row>
    <row r="1355" spans="1:25">
      <c r="A1355" s="2263"/>
      <c r="B1355" s="2263"/>
      <c r="C1355" s="2263"/>
      <c r="D1355" s="2263"/>
      <c r="E1355" s="1462"/>
      <c r="R1355" s="1463"/>
      <c r="S1355" s="1463"/>
      <c r="T1355" s="1463"/>
      <c r="U1355" s="1463"/>
      <c r="V1355" s="1463"/>
      <c r="W1355" s="1463"/>
      <c r="X1355" s="1463"/>
      <c r="Y1355" s="1463"/>
    </row>
    <row r="1356" spans="1:25">
      <c r="A1356" s="2263"/>
      <c r="B1356" s="2263"/>
      <c r="C1356" s="2263"/>
      <c r="D1356" s="2263"/>
      <c r="E1356" s="1462"/>
      <c r="R1356" s="1463"/>
      <c r="S1356" s="1463"/>
      <c r="T1356" s="1463"/>
      <c r="U1356" s="1463"/>
      <c r="V1356" s="1463"/>
      <c r="W1356" s="1463"/>
      <c r="X1356" s="1463"/>
      <c r="Y1356" s="1463"/>
    </row>
    <row r="1357" spans="1:25">
      <c r="A1357" s="2263"/>
      <c r="B1357" s="2263"/>
      <c r="C1357" s="2263"/>
      <c r="D1357" s="2263"/>
      <c r="E1357" s="1462"/>
      <c r="R1357" s="1463"/>
      <c r="S1357" s="1463"/>
      <c r="T1357" s="1463"/>
      <c r="U1357" s="1463"/>
      <c r="V1357" s="1463"/>
      <c r="W1357" s="1463"/>
      <c r="X1357" s="1463"/>
      <c r="Y1357" s="1463"/>
    </row>
    <row r="1358" spans="1:25">
      <c r="A1358" s="2263"/>
      <c r="B1358" s="2263"/>
      <c r="C1358" s="2263"/>
      <c r="D1358" s="2263"/>
      <c r="E1358" s="1462"/>
      <c r="R1358" s="1463"/>
      <c r="S1358" s="1463"/>
      <c r="T1358" s="1463"/>
      <c r="U1358" s="1463"/>
      <c r="V1358" s="1463"/>
      <c r="W1358" s="1463"/>
      <c r="X1358" s="1463"/>
      <c r="Y1358" s="1463"/>
    </row>
    <row r="1359" spans="1:25">
      <c r="A1359" s="2263"/>
      <c r="B1359" s="2263"/>
      <c r="C1359" s="2263"/>
      <c r="D1359" s="2263"/>
      <c r="E1359" s="1462"/>
      <c r="R1359" s="1463"/>
      <c r="S1359" s="1463"/>
      <c r="T1359" s="1463"/>
      <c r="U1359" s="1463"/>
      <c r="V1359" s="1463"/>
      <c r="W1359" s="1463"/>
      <c r="X1359" s="1463"/>
      <c r="Y1359" s="1463"/>
    </row>
    <row r="1360" spans="1:25">
      <c r="A1360" s="2263"/>
      <c r="B1360" s="2263"/>
      <c r="C1360" s="2263"/>
      <c r="D1360" s="2263"/>
      <c r="E1360" s="1462"/>
      <c r="R1360" s="1463"/>
      <c r="S1360" s="1463"/>
      <c r="T1360" s="1463"/>
      <c r="U1360" s="1463"/>
      <c r="V1360" s="1463"/>
      <c r="W1360" s="1463"/>
      <c r="X1360" s="1463"/>
      <c r="Y1360" s="1463"/>
    </row>
    <row r="1361" spans="1:25">
      <c r="A1361" s="2263"/>
      <c r="B1361" s="2263"/>
      <c r="C1361" s="2263"/>
      <c r="D1361" s="2263"/>
      <c r="E1361" s="1462"/>
      <c r="R1361" s="1463"/>
      <c r="S1361" s="1463"/>
      <c r="T1361" s="1463"/>
      <c r="U1361" s="1463"/>
      <c r="V1361" s="1463"/>
      <c r="W1361" s="1463"/>
      <c r="X1361" s="1463"/>
      <c r="Y1361" s="1463"/>
    </row>
    <row r="1362" spans="1:25">
      <c r="A1362" s="2263"/>
      <c r="B1362" s="2263"/>
      <c r="C1362" s="2263"/>
      <c r="D1362" s="2263"/>
      <c r="E1362" s="1462"/>
      <c r="R1362" s="1463"/>
      <c r="S1362" s="1463"/>
      <c r="T1362" s="1463"/>
      <c r="U1362" s="1463"/>
      <c r="V1362" s="1463"/>
      <c r="W1362" s="1463"/>
      <c r="X1362" s="1463"/>
      <c r="Y1362" s="1463"/>
    </row>
    <row r="1363" spans="1:25">
      <c r="A1363" s="2263"/>
      <c r="B1363" s="2263"/>
      <c r="C1363" s="2263"/>
      <c r="D1363" s="2263"/>
      <c r="E1363" s="1462"/>
      <c r="R1363" s="1463"/>
      <c r="S1363" s="1463"/>
      <c r="T1363" s="1463"/>
      <c r="U1363" s="1463"/>
      <c r="V1363" s="1463"/>
      <c r="W1363" s="1463"/>
      <c r="X1363" s="1463"/>
      <c r="Y1363" s="1463"/>
    </row>
    <row r="1364" spans="1:25">
      <c r="A1364" s="2263"/>
      <c r="B1364" s="2263"/>
      <c r="C1364" s="2263"/>
      <c r="D1364" s="2263"/>
      <c r="E1364" s="1462"/>
      <c r="R1364" s="1463"/>
      <c r="S1364" s="1463"/>
      <c r="T1364" s="1463"/>
      <c r="U1364" s="1463"/>
      <c r="V1364" s="1463"/>
      <c r="W1364" s="1463"/>
      <c r="X1364" s="1463"/>
      <c r="Y1364" s="1463"/>
    </row>
    <row r="1365" spans="1:25">
      <c r="A1365" s="2263"/>
      <c r="B1365" s="2263"/>
      <c r="C1365" s="2263"/>
      <c r="D1365" s="2263"/>
      <c r="E1365" s="1462"/>
      <c r="R1365" s="1463"/>
      <c r="S1365" s="1463"/>
      <c r="T1365" s="1463"/>
      <c r="U1365" s="1463"/>
      <c r="V1365" s="1463"/>
      <c r="W1365" s="1463"/>
      <c r="X1365" s="1463"/>
      <c r="Y1365" s="1463"/>
    </row>
    <row r="1366" spans="1:25">
      <c r="A1366" s="2263"/>
      <c r="B1366" s="2263"/>
      <c r="C1366" s="2263"/>
      <c r="D1366" s="2263"/>
      <c r="E1366" s="1462"/>
      <c r="R1366" s="1463"/>
      <c r="S1366" s="1463"/>
      <c r="T1366" s="1463"/>
      <c r="U1366" s="1463"/>
      <c r="V1366" s="1463"/>
      <c r="W1366" s="1463"/>
      <c r="X1366" s="1463"/>
      <c r="Y1366" s="1463"/>
    </row>
    <row r="1367" spans="1:25">
      <c r="A1367" s="2263"/>
      <c r="B1367" s="2263"/>
      <c r="C1367" s="2263"/>
      <c r="D1367" s="2263"/>
      <c r="E1367" s="1462"/>
      <c r="R1367" s="1463"/>
      <c r="S1367" s="1463"/>
      <c r="T1367" s="1463"/>
      <c r="U1367" s="1463"/>
      <c r="V1367" s="1463"/>
      <c r="W1367" s="1463"/>
      <c r="X1367" s="1463"/>
      <c r="Y1367" s="1463"/>
    </row>
    <row r="1368" spans="1:25">
      <c r="A1368" s="2263"/>
      <c r="B1368" s="2263"/>
      <c r="C1368" s="2263"/>
      <c r="D1368" s="2263"/>
      <c r="E1368" s="1462"/>
      <c r="R1368" s="1463"/>
      <c r="S1368" s="1463"/>
      <c r="T1368" s="1463"/>
      <c r="U1368" s="1463"/>
      <c r="V1368" s="1463"/>
      <c r="W1368" s="1463"/>
      <c r="X1368" s="1463"/>
      <c r="Y1368" s="1463"/>
    </row>
    <row r="1369" spans="1:25">
      <c r="A1369" s="2263"/>
      <c r="B1369" s="2263"/>
      <c r="C1369" s="2263"/>
      <c r="D1369" s="2263"/>
      <c r="E1369" s="1462"/>
      <c r="R1369" s="1463"/>
      <c r="S1369" s="1463"/>
      <c r="T1369" s="1463"/>
      <c r="U1369" s="1463"/>
      <c r="V1369" s="1463"/>
      <c r="W1369" s="1463"/>
      <c r="X1369" s="1463"/>
      <c r="Y1369" s="1463"/>
    </row>
    <row r="1370" spans="1:25">
      <c r="A1370" s="2263"/>
      <c r="B1370" s="2263"/>
      <c r="C1370" s="2263"/>
      <c r="D1370" s="2263"/>
      <c r="E1370" s="1462"/>
      <c r="R1370" s="1463"/>
      <c r="S1370" s="1463"/>
      <c r="T1370" s="1463"/>
      <c r="U1370" s="1463"/>
      <c r="V1370" s="1463"/>
      <c r="W1370" s="1463"/>
      <c r="X1370" s="1463"/>
      <c r="Y1370" s="1463"/>
    </row>
    <row r="1371" spans="1:25">
      <c r="A1371" s="2263"/>
      <c r="B1371" s="2263"/>
      <c r="C1371" s="2263"/>
      <c r="D1371" s="2263"/>
      <c r="E1371" s="1462"/>
      <c r="R1371" s="1463"/>
      <c r="S1371" s="1463"/>
      <c r="T1371" s="1463"/>
      <c r="U1371" s="1463"/>
      <c r="V1371" s="1463"/>
      <c r="W1371" s="1463"/>
      <c r="X1371" s="1463"/>
      <c r="Y1371" s="1463"/>
    </row>
    <row r="1372" spans="1:25">
      <c r="A1372" s="2263"/>
      <c r="B1372" s="2263"/>
      <c r="C1372" s="2263"/>
      <c r="D1372" s="2263"/>
      <c r="E1372" s="1462"/>
      <c r="R1372" s="1463"/>
      <c r="S1372" s="1463"/>
      <c r="T1372" s="1463"/>
      <c r="U1372" s="1463"/>
      <c r="V1372" s="1463"/>
      <c r="W1372" s="1463"/>
      <c r="X1372" s="1463"/>
      <c r="Y1372" s="1463"/>
    </row>
    <row r="1373" spans="1:25">
      <c r="A1373" s="2263"/>
      <c r="B1373" s="2263"/>
      <c r="C1373" s="2263"/>
      <c r="D1373" s="2263"/>
      <c r="E1373" s="1462"/>
      <c r="R1373" s="1463"/>
      <c r="S1373" s="1463"/>
      <c r="T1373" s="1463"/>
      <c r="U1373" s="1463"/>
      <c r="V1373" s="1463"/>
      <c r="W1373" s="1463"/>
      <c r="X1373" s="1463"/>
      <c r="Y1373" s="1463"/>
    </row>
    <row r="1374" spans="1:25">
      <c r="A1374" s="2263"/>
      <c r="B1374" s="2263"/>
      <c r="C1374" s="2263"/>
      <c r="D1374" s="2263"/>
      <c r="E1374" s="1462"/>
      <c r="R1374" s="1463"/>
      <c r="S1374" s="1463"/>
      <c r="T1374" s="1463"/>
      <c r="U1374" s="1463"/>
      <c r="V1374" s="1463"/>
      <c r="W1374" s="1463"/>
      <c r="X1374" s="1463"/>
      <c r="Y1374" s="1463"/>
    </row>
    <row r="1375" spans="1:25">
      <c r="A1375" s="2263"/>
      <c r="B1375" s="2263"/>
      <c r="C1375" s="2263"/>
      <c r="D1375" s="2263"/>
      <c r="E1375" s="1462"/>
      <c r="R1375" s="1463"/>
      <c r="S1375" s="1463"/>
      <c r="T1375" s="1463"/>
      <c r="U1375" s="1463"/>
      <c r="V1375" s="1463"/>
      <c r="W1375" s="1463"/>
      <c r="X1375" s="1463"/>
      <c r="Y1375" s="1463"/>
    </row>
    <row r="1376" spans="1:25">
      <c r="A1376" s="2263"/>
      <c r="B1376" s="2263"/>
      <c r="C1376" s="2263"/>
      <c r="D1376" s="2263"/>
      <c r="E1376" s="1462"/>
      <c r="R1376" s="1463"/>
      <c r="S1376" s="1463"/>
      <c r="T1376" s="1463"/>
      <c r="U1376" s="1463"/>
      <c r="V1376" s="1463"/>
      <c r="W1376" s="1463"/>
      <c r="X1376" s="1463"/>
      <c r="Y1376" s="1463"/>
    </row>
    <row r="1377" spans="1:25">
      <c r="A1377" s="2263"/>
      <c r="B1377" s="2263"/>
      <c r="C1377" s="2263"/>
      <c r="D1377" s="2263"/>
      <c r="E1377" s="1462"/>
      <c r="R1377" s="1463"/>
      <c r="S1377" s="1463"/>
      <c r="T1377" s="1463"/>
      <c r="U1377" s="1463"/>
      <c r="V1377" s="1463"/>
      <c r="W1377" s="1463"/>
      <c r="X1377" s="1463"/>
      <c r="Y1377" s="1463"/>
    </row>
    <row r="1378" spans="1:25">
      <c r="A1378" s="2263"/>
      <c r="B1378" s="2263"/>
      <c r="C1378" s="2263"/>
      <c r="D1378" s="2263"/>
      <c r="E1378" s="1462"/>
      <c r="R1378" s="1463"/>
      <c r="S1378" s="1463"/>
      <c r="T1378" s="1463"/>
      <c r="U1378" s="1463"/>
      <c r="V1378" s="1463"/>
      <c r="W1378" s="1463"/>
      <c r="X1378" s="1463"/>
      <c r="Y1378" s="1463"/>
    </row>
    <row r="1379" spans="1:25">
      <c r="A1379" s="2263"/>
      <c r="B1379" s="2263"/>
      <c r="C1379" s="2263"/>
      <c r="D1379" s="2263"/>
      <c r="E1379" s="1462"/>
      <c r="R1379" s="1463"/>
      <c r="S1379" s="1463"/>
      <c r="T1379" s="1463"/>
      <c r="U1379" s="1463"/>
      <c r="V1379" s="1463"/>
      <c r="W1379" s="1463"/>
      <c r="X1379" s="1463"/>
      <c r="Y1379" s="1463"/>
    </row>
    <row r="1380" spans="1:25">
      <c r="A1380" s="2263"/>
      <c r="B1380" s="2263"/>
      <c r="C1380" s="2263"/>
      <c r="D1380" s="2263"/>
      <c r="E1380" s="1462"/>
      <c r="R1380" s="1463"/>
      <c r="S1380" s="1463"/>
      <c r="T1380" s="1463"/>
      <c r="U1380" s="1463"/>
      <c r="V1380" s="1463"/>
      <c r="W1380" s="1463"/>
      <c r="X1380" s="1463"/>
      <c r="Y1380" s="1463"/>
    </row>
    <row r="1381" spans="1:25">
      <c r="A1381" s="2263"/>
      <c r="B1381" s="2263"/>
      <c r="C1381" s="2263"/>
      <c r="D1381" s="2263"/>
      <c r="E1381" s="1462"/>
      <c r="R1381" s="1463"/>
      <c r="S1381" s="1463"/>
      <c r="T1381" s="1463"/>
      <c r="U1381" s="1463"/>
      <c r="V1381" s="1463"/>
      <c r="W1381" s="1463"/>
      <c r="X1381" s="1463"/>
      <c r="Y1381" s="1463"/>
    </row>
    <row r="1382" spans="1:25">
      <c r="A1382" s="2263"/>
      <c r="B1382" s="2263"/>
      <c r="C1382" s="2263"/>
      <c r="D1382" s="2263"/>
      <c r="E1382" s="1462"/>
      <c r="R1382" s="1463"/>
      <c r="S1382" s="1463"/>
      <c r="T1382" s="1463"/>
      <c r="U1382" s="1463"/>
      <c r="V1382" s="1463"/>
      <c r="W1382" s="1463"/>
      <c r="X1382" s="1463"/>
      <c r="Y1382" s="1463"/>
    </row>
    <row r="1383" spans="1:25">
      <c r="A1383" s="2263"/>
      <c r="B1383" s="2263"/>
      <c r="C1383" s="2263"/>
      <c r="D1383" s="2263"/>
      <c r="E1383" s="1462"/>
      <c r="R1383" s="1463"/>
      <c r="S1383" s="1463"/>
      <c r="T1383" s="1463"/>
      <c r="U1383" s="1463"/>
      <c r="V1383" s="1463"/>
      <c r="W1383" s="1463"/>
      <c r="X1383" s="1463"/>
      <c r="Y1383" s="1463"/>
    </row>
    <row r="1384" spans="1:25">
      <c r="A1384" s="2263"/>
      <c r="B1384" s="2263"/>
      <c r="C1384" s="2263"/>
      <c r="D1384" s="2263"/>
      <c r="E1384" s="1462"/>
      <c r="R1384" s="1463"/>
      <c r="S1384" s="1463"/>
      <c r="T1384" s="1463"/>
      <c r="U1384" s="1463"/>
      <c r="V1384" s="1463"/>
      <c r="W1384" s="1463"/>
      <c r="X1384" s="1463"/>
      <c r="Y1384" s="1463"/>
    </row>
    <row r="1385" spans="1:25">
      <c r="A1385" s="2263"/>
      <c r="B1385" s="2263"/>
      <c r="C1385" s="2263"/>
      <c r="D1385" s="2263"/>
      <c r="E1385" s="1462"/>
      <c r="R1385" s="1463"/>
      <c r="S1385" s="1463"/>
      <c r="T1385" s="1463"/>
      <c r="U1385" s="1463"/>
      <c r="V1385" s="1463"/>
      <c r="W1385" s="1463"/>
      <c r="X1385" s="1463"/>
      <c r="Y1385" s="1463"/>
    </row>
    <row r="1386" spans="1:25">
      <c r="A1386" s="2263"/>
      <c r="B1386" s="2263"/>
      <c r="C1386" s="2263"/>
      <c r="D1386" s="2263"/>
      <c r="E1386" s="1462"/>
      <c r="R1386" s="1463"/>
      <c r="S1386" s="1463"/>
      <c r="T1386" s="1463"/>
      <c r="U1386" s="1463"/>
      <c r="V1386" s="1463"/>
      <c r="W1386" s="1463"/>
      <c r="X1386" s="1463"/>
      <c r="Y1386" s="1463"/>
    </row>
    <row r="1387" spans="1:25">
      <c r="A1387" s="2263"/>
      <c r="B1387" s="2263"/>
      <c r="C1387" s="2263"/>
      <c r="D1387" s="2263"/>
      <c r="E1387" s="1462"/>
      <c r="R1387" s="1463"/>
      <c r="S1387" s="1463"/>
      <c r="T1387" s="1463"/>
      <c r="U1387" s="1463"/>
      <c r="V1387" s="1463"/>
      <c r="W1387" s="1463"/>
      <c r="X1387" s="1463"/>
      <c r="Y1387" s="1463"/>
    </row>
    <row r="1388" spans="1:25">
      <c r="A1388" s="2263"/>
      <c r="B1388" s="2263"/>
      <c r="C1388" s="2263"/>
      <c r="D1388" s="2263"/>
      <c r="E1388" s="1462"/>
      <c r="R1388" s="1463"/>
      <c r="S1388" s="1463"/>
      <c r="T1388" s="1463"/>
      <c r="U1388" s="1463"/>
      <c r="V1388" s="1463"/>
      <c r="W1388" s="1463"/>
      <c r="X1388" s="1463"/>
      <c r="Y1388" s="1463"/>
    </row>
    <row r="1389" spans="1:25">
      <c r="A1389" s="2263"/>
      <c r="B1389" s="2263"/>
      <c r="C1389" s="2263"/>
      <c r="D1389" s="2263"/>
      <c r="E1389" s="1462"/>
      <c r="R1389" s="1463"/>
      <c r="S1389" s="1463"/>
      <c r="T1389" s="1463"/>
      <c r="U1389" s="1463"/>
      <c r="V1389" s="1463"/>
      <c r="W1389" s="1463"/>
      <c r="X1389" s="1463"/>
      <c r="Y1389" s="1463"/>
    </row>
    <row r="1390" spans="1:25">
      <c r="A1390" s="2263"/>
      <c r="B1390" s="2263"/>
      <c r="C1390" s="2263"/>
      <c r="D1390" s="2263"/>
      <c r="E1390" s="1462"/>
      <c r="R1390" s="1463"/>
      <c r="S1390" s="1463"/>
      <c r="T1390" s="1463"/>
      <c r="U1390" s="1463"/>
      <c r="V1390" s="1463"/>
      <c r="W1390" s="1463"/>
      <c r="X1390" s="1463"/>
      <c r="Y1390" s="1463"/>
    </row>
    <row r="1391" spans="1:25">
      <c r="A1391" s="2263"/>
      <c r="B1391" s="2263"/>
      <c r="C1391" s="2263"/>
      <c r="D1391" s="2263"/>
      <c r="E1391" s="1462"/>
      <c r="R1391" s="1463"/>
      <c r="S1391" s="1463"/>
      <c r="T1391" s="1463"/>
      <c r="U1391" s="1463"/>
      <c r="V1391" s="1463"/>
      <c r="W1391" s="1463"/>
      <c r="X1391" s="1463"/>
      <c r="Y1391" s="1463"/>
    </row>
    <row r="1392" spans="1:25">
      <c r="A1392" s="2263"/>
      <c r="B1392" s="2263"/>
      <c r="C1392" s="2263"/>
      <c r="D1392" s="2263"/>
      <c r="E1392" s="1462"/>
      <c r="R1392" s="1463"/>
      <c r="S1392" s="1463"/>
      <c r="T1392" s="1463"/>
      <c r="U1392" s="1463"/>
      <c r="V1392" s="1463"/>
      <c r="W1392" s="1463"/>
      <c r="X1392" s="1463"/>
      <c r="Y1392" s="1463"/>
    </row>
    <row r="1393" spans="1:25">
      <c r="A1393" s="2263"/>
      <c r="B1393" s="2263"/>
      <c r="C1393" s="2263"/>
      <c r="D1393" s="2263"/>
      <c r="E1393" s="1462"/>
      <c r="R1393" s="1463"/>
      <c r="S1393" s="1463"/>
      <c r="T1393" s="1463"/>
      <c r="U1393" s="1463"/>
      <c r="V1393" s="1463"/>
      <c r="W1393" s="1463"/>
      <c r="X1393" s="1463"/>
      <c r="Y1393" s="1463"/>
    </row>
    <row r="1394" spans="1:25">
      <c r="A1394" s="2263"/>
      <c r="B1394" s="2263"/>
      <c r="C1394" s="2263"/>
      <c r="D1394" s="2263"/>
      <c r="E1394" s="1462"/>
      <c r="R1394" s="1463"/>
      <c r="S1394" s="1463"/>
      <c r="T1394" s="1463"/>
      <c r="U1394" s="1463"/>
      <c r="V1394" s="1463"/>
      <c r="W1394" s="1463"/>
      <c r="X1394" s="1463"/>
      <c r="Y1394" s="1463"/>
    </row>
    <row r="1395" spans="1:25">
      <c r="A1395" s="2263"/>
      <c r="B1395" s="2263"/>
      <c r="C1395" s="2263"/>
      <c r="D1395" s="2263"/>
      <c r="E1395" s="1462"/>
      <c r="R1395" s="1463"/>
      <c r="S1395" s="1463"/>
      <c r="T1395" s="1463"/>
      <c r="U1395" s="1463"/>
      <c r="V1395" s="1463"/>
      <c r="W1395" s="1463"/>
      <c r="X1395" s="1463"/>
      <c r="Y1395" s="1463"/>
    </row>
    <row r="1396" spans="1:25">
      <c r="A1396" s="2263"/>
      <c r="B1396" s="2263"/>
      <c r="C1396" s="2263"/>
      <c r="D1396" s="2263"/>
      <c r="E1396" s="1462"/>
      <c r="R1396" s="1463"/>
      <c r="S1396" s="1463"/>
      <c r="T1396" s="1463"/>
      <c r="U1396" s="1463"/>
      <c r="V1396" s="1463"/>
      <c r="W1396" s="1463"/>
      <c r="X1396" s="1463"/>
      <c r="Y1396" s="1463"/>
    </row>
    <row r="1397" spans="1:25">
      <c r="A1397" s="2263"/>
      <c r="B1397" s="2263"/>
      <c r="C1397" s="2263"/>
      <c r="D1397" s="2263"/>
      <c r="E1397" s="1462"/>
      <c r="R1397" s="1463"/>
      <c r="S1397" s="1463"/>
      <c r="T1397" s="1463"/>
      <c r="U1397" s="1463"/>
      <c r="V1397" s="1463"/>
      <c r="W1397" s="1463"/>
      <c r="X1397" s="1463"/>
      <c r="Y1397" s="1463"/>
    </row>
    <row r="1398" spans="1:25">
      <c r="A1398" s="2263"/>
      <c r="B1398" s="2263"/>
      <c r="C1398" s="2263"/>
      <c r="D1398" s="2263"/>
      <c r="E1398" s="1462"/>
      <c r="R1398" s="1463"/>
      <c r="S1398" s="1463"/>
      <c r="T1398" s="1463"/>
      <c r="U1398" s="1463"/>
      <c r="V1398" s="1463"/>
      <c r="W1398" s="1463"/>
      <c r="X1398" s="1463"/>
      <c r="Y1398" s="1463"/>
    </row>
    <row r="1399" spans="1:25">
      <c r="A1399" s="2263"/>
      <c r="B1399" s="2263"/>
      <c r="C1399" s="2263"/>
      <c r="D1399" s="2263"/>
      <c r="E1399" s="1462"/>
      <c r="R1399" s="1463"/>
      <c r="S1399" s="1463"/>
      <c r="T1399" s="1463"/>
      <c r="U1399" s="1463"/>
      <c r="V1399" s="1463"/>
      <c r="W1399" s="1463"/>
      <c r="X1399" s="1463"/>
      <c r="Y1399" s="1463"/>
    </row>
    <row r="1400" spans="1:25">
      <c r="A1400" s="2263"/>
      <c r="B1400" s="2263"/>
      <c r="C1400" s="2263"/>
      <c r="D1400" s="2263"/>
      <c r="E1400" s="1462"/>
      <c r="R1400" s="1463"/>
      <c r="S1400" s="1463"/>
      <c r="T1400" s="1463"/>
      <c r="U1400" s="1463"/>
      <c r="V1400" s="1463"/>
      <c r="W1400" s="1463"/>
      <c r="X1400" s="1463"/>
      <c r="Y1400" s="1463"/>
    </row>
    <row r="1401" spans="1:25">
      <c r="A1401" s="2263"/>
      <c r="B1401" s="2263"/>
      <c r="C1401" s="2263"/>
      <c r="D1401" s="2263"/>
      <c r="E1401" s="1462"/>
      <c r="R1401" s="1463"/>
      <c r="S1401" s="1463"/>
      <c r="T1401" s="1463"/>
      <c r="U1401" s="1463"/>
      <c r="V1401" s="1463"/>
      <c r="W1401" s="1463"/>
      <c r="X1401" s="1463"/>
      <c r="Y1401" s="1463"/>
    </row>
    <row r="1402" spans="1:25">
      <c r="A1402" s="2263"/>
      <c r="B1402" s="2263"/>
      <c r="C1402" s="2263"/>
      <c r="D1402" s="2263"/>
      <c r="E1402" s="1462"/>
      <c r="R1402" s="1463"/>
      <c r="S1402" s="1463"/>
      <c r="T1402" s="1463"/>
      <c r="U1402" s="1463"/>
      <c r="V1402" s="1463"/>
      <c r="W1402" s="1463"/>
      <c r="X1402" s="1463"/>
      <c r="Y1402" s="1463"/>
    </row>
    <row r="1403" spans="1:25">
      <c r="A1403" s="2263"/>
      <c r="B1403" s="2263"/>
      <c r="C1403" s="2263"/>
      <c r="D1403" s="2263"/>
      <c r="E1403" s="1462"/>
      <c r="R1403" s="1463"/>
      <c r="S1403" s="1463"/>
      <c r="T1403" s="1463"/>
      <c r="U1403" s="1463"/>
      <c r="V1403" s="1463"/>
      <c r="W1403" s="1463"/>
      <c r="X1403" s="1463"/>
      <c r="Y1403" s="1463"/>
    </row>
    <row r="1404" spans="1:25">
      <c r="A1404" s="2263"/>
      <c r="B1404" s="2263"/>
      <c r="C1404" s="2263"/>
      <c r="D1404" s="2263"/>
      <c r="E1404" s="1462"/>
      <c r="R1404" s="1463"/>
      <c r="S1404" s="1463"/>
      <c r="T1404" s="1463"/>
      <c r="U1404" s="1463"/>
      <c r="V1404" s="1463"/>
      <c r="W1404" s="1463"/>
      <c r="X1404" s="1463"/>
      <c r="Y1404" s="1463"/>
    </row>
    <row r="1405" spans="1:25">
      <c r="A1405" s="2263"/>
      <c r="B1405" s="2263"/>
      <c r="C1405" s="2263"/>
      <c r="D1405" s="2263"/>
      <c r="E1405" s="1462"/>
      <c r="R1405" s="1463"/>
      <c r="S1405" s="1463"/>
      <c r="T1405" s="1463"/>
      <c r="U1405" s="1463"/>
      <c r="V1405" s="1463"/>
      <c r="W1405" s="1463"/>
      <c r="X1405" s="1463"/>
      <c r="Y1405" s="1463"/>
    </row>
    <row r="1406" spans="1:25">
      <c r="A1406" s="2263"/>
      <c r="B1406" s="2263"/>
      <c r="C1406" s="2263"/>
      <c r="D1406" s="2263"/>
      <c r="E1406" s="1462"/>
      <c r="R1406" s="1463"/>
      <c r="S1406" s="1463"/>
      <c r="T1406" s="1463"/>
      <c r="U1406" s="1463"/>
      <c r="V1406" s="1463"/>
      <c r="W1406" s="1463"/>
      <c r="X1406" s="1463"/>
      <c r="Y1406" s="1463"/>
    </row>
    <row r="1407" spans="1:25">
      <c r="A1407" s="2263"/>
      <c r="B1407" s="2263"/>
      <c r="C1407" s="2263"/>
      <c r="D1407" s="2263"/>
      <c r="E1407" s="1462"/>
      <c r="R1407" s="1463"/>
      <c r="S1407" s="1463"/>
      <c r="T1407" s="1463"/>
      <c r="U1407" s="1463"/>
      <c r="V1407" s="1463"/>
      <c r="W1407" s="1463"/>
      <c r="X1407" s="1463"/>
      <c r="Y1407" s="1463"/>
    </row>
    <row r="1408" spans="1:25">
      <c r="A1408" s="2263"/>
      <c r="B1408" s="2263"/>
      <c r="C1408" s="2263"/>
      <c r="D1408" s="2263"/>
      <c r="E1408" s="1462"/>
      <c r="R1408" s="1463"/>
      <c r="S1408" s="1463"/>
      <c r="T1408" s="1463"/>
      <c r="U1408" s="1463"/>
      <c r="V1408" s="1463"/>
      <c r="W1408" s="1463"/>
      <c r="X1408" s="1463"/>
      <c r="Y1408" s="1463"/>
    </row>
    <row r="1409" spans="1:25">
      <c r="A1409" s="2263"/>
      <c r="B1409" s="2263"/>
      <c r="C1409" s="2263"/>
      <c r="D1409" s="2263"/>
      <c r="E1409" s="1462"/>
      <c r="R1409" s="1463"/>
      <c r="S1409" s="1463"/>
      <c r="T1409" s="1463"/>
      <c r="U1409" s="1463"/>
      <c r="V1409" s="1463"/>
      <c r="W1409" s="1463"/>
      <c r="X1409" s="1463"/>
      <c r="Y1409" s="1463"/>
    </row>
    <row r="1410" spans="1:25">
      <c r="A1410" s="2263"/>
      <c r="B1410" s="2263"/>
      <c r="C1410" s="2263"/>
      <c r="D1410" s="2263"/>
      <c r="E1410" s="1462"/>
      <c r="R1410" s="1463"/>
      <c r="S1410" s="1463"/>
      <c r="T1410" s="1463"/>
      <c r="U1410" s="1463"/>
      <c r="V1410" s="1463"/>
      <c r="W1410" s="1463"/>
      <c r="X1410" s="1463"/>
      <c r="Y1410" s="1463"/>
    </row>
    <row r="1411" spans="1:25">
      <c r="A1411" s="2263"/>
      <c r="B1411" s="2263"/>
      <c r="C1411" s="2263"/>
      <c r="D1411" s="2263"/>
      <c r="E1411" s="1462"/>
      <c r="R1411" s="1463"/>
      <c r="S1411" s="1463"/>
      <c r="T1411" s="1463"/>
      <c r="U1411" s="1463"/>
      <c r="V1411" s="1463"/>
      <c r="W1411" s="1463"/>
      <c r="X1411" s="1463"/>
      <c r="Y1411" s="1463"/>
    </row>
    <row r="1412" spans="1:25">
      <c r="A1412" s="2263"/>
      <c r="B1412" s="2263"/>
      <c r="C1412" s="2263"/>
      <c r="D1412" s="2263"/>
      <c r="E1412" s="1462"/>
      <c r="R1412" s="1463"/>
      <c r="S1412" s="1463"/>
      <c r="T1412" s="1463"/>
      <c r="U1412" s="1463"/>
      <c r="V1412" s="1463"/>
      <c r="W1412" s="1463"/>
      <c r="X1412" s="1463"/>
      <c r="Y1412" s="1463"/>
    </row>
    <row r="1413" spans="1:25">
      <c r="A1413" s="2263"/>
      <c r="B1413" s="2263"/>
      <c r="C1413" s="2263"/>
      <c r="D1413" s="2263"/>
      <c r="E1413" s="1462"/>
      <c r="R1413" s="1463"/>
      <c r="S1413" s="1463"/>
      <c r="T1413" s="1463"/>
      <c r="U1413" s="1463"/>
      <c r="V1413" s="1463"/>
      <c r="W1413" s="1463"/>
      <c r="X1413" s="1463"/>
      <c r="Y1413" s="1463"/>
    </row>
    <row r="1414" spans="1:25">
      <c r="A1414" s="2263"/>
      <c r="B1414" s="2263"/>
      <c r="C1414" s="2263"/>
      <c r="D1414" s="2263"/>
      <c r="E1414" s="1462"/>
      <c r="R1414" s="1463"/>
      <c r="S1414" s="1463"/>
      <c r="T1414" s="1463"/>
      <c r="U1414" s="1463"/>
      <c r="V1414" s="1463"/>
      <c r="W1414" s="1463"/>
      <c r="X1414" s="1463"/>
      <c r="Y1414" s="1463"/>
    </row>
    <row r="1415" spans="1:25">
      <c r="A1415" s="2263"/>
      <c r="B1415" s="2263"/>
      <c r="C1415" s="2263"/>
      <c r="D1415" s="2263"/>
      <c r="E1415" s="1462"/>
      <c r="R1415" s="1463"/>
      <c r="S1415" s="1463"/>
      <c r="T1415" s="1463"/>
      <c r="U1415" s="1463"/>
      <c r="V1415" s="1463"/>
      <c r="W1415" s="1463"/>
      <c r="X1415" s="1463"/>
      <c r="Y1415" s="1463"/>
    </row>
    <row r="1416" spans="1:25">
      <c r="A1416" s="2263"/>
      <c r="B1416" s="2263"/>
      <c r="C1416" s="2263"/>
      <c r="D1416" s="2263"/>
      <c r="E1416" s="1462"/>
      <c r="R1416" s="1463"/>
      <c r="S1416" s="1463"/>
      <c r="T1416" s="1463"/>
      <c r="U1416" s="1463"/>
      <c r="V1416" s="1463"/>
      <c r="W1416" s="1463"/>
      <c r="X1416" s="1463"/>
      <c r="Y1416" s="1463"/>
    </row>
    <row r="1417" spans="1:25">
      <c r="A1417" s="2263"/>
      <c r="B1417" s="2263"/>
      <c r="C1417" s="2263"/>
      <c r="D1417" s="2263"/>
      <c r="E1417" s="1462"/>
      <c r="R1417" s="1463"/>
      <c r="S1417" s="1463"/>
      <c r="T1417" s="1463"/>
      <c r="U1417" s="1463"/>
      <c r="V1417" s="1463"/>
      <c r="W1417" s="1463"/>
      <c r="X1417" s="1463"/>
      <c r="Y1417" s="1463"/>
    </row>
    <row r="1418" spans="1:25">
      <c r="A1418" s="2263"/>
      <c r="B1418" s="2263"/>
      <c r="C1418" s="2263"/>
      <c r="D1418" s="2263"/>
      <c r="E1418" s="1462"/>
      <c r="R1418" s="1463"/>
      <c r="S1418" s="1463"/>
      <c r="T1418" s="1463"/>
      <c r="U1418" s="1463"/>
      <c r="V1418" s="1463"/>
      <c r="W1418" s="1463"/>
      <c r="X1418" s="1463"/>
      <c r="Y1418" s="1463"/>
    </row>
    <row r="1419" spans="1:25">
      <c r="A1419" s="2263"/>
      <c r="B1419" s="2263"/>
      <c r="C1419" s="2263"/>
      <c r="D1419" s="2263"/>
      <c r="E1419" s="1462"/>
      <c r="R1419" s="1463"/>
      <c r="S1419" s="1463"/>
      <c r="T1419" s="1463"/>
      <c r="U1419" s="1463"/>
      <c r="V1419" s="1463"/>
      <c r="W1419" s="1463"/>
      <c r="X1419" s="1463"/>
      <c r="Y1419" s="1463"/>
    </row>
    <row r="1420" spans="1:25">
      <c r="A1420" s="2263"/>
      <c r="B1420" s="2263"/>
      <c r="C1420" s="2263"/>
      <c r="D1420" s="2263"/>
      <c r="E1420" s="1462"/>
      <c r="R1420" s="1463"/>
      <c r="S1420" s="1463"/>
      <c r="T1420" s="1463"/>
      <c r="U1420" s="1463"/>
      <c r="V1420" s="1463"/>
      <c r="W1420" s="1463"/>
      <c r="X1420" s="1463"/>
      <c r="Y1420" s="1463"/>
    </row>
    <row r="1421" spans="1:25">
      <c r="A1421" s="2263"/>
      <c r="B1421" s="2263"/>
      <c r="C1421" s="2263"/>
      <c r="D1421" s="2263"/>
      <c r="E1421" s="1462"/>
      <c r="R1421" s="1463"/>
      <c r="S1421" s="1463"/>
      <c r="T1421" s="1463"/>
      <c r="U1421" s="1463"/>
      <c r="V1421" s="1463"/>
      <c r="W1421" s="1463"/>
      <c r="X1421" s="1463"/>
      <c r="Y1421" s="1463"/>
    </row>
    <row r="1422" spans="1:25">
      <c r="A1422" s="2263"/>
      <c r="B1422" s="2263"/>
      <c r="C1422" s="2263"/>
      <c r="D1422" s="2263"/>
      <c r="E1422" s="1462"/>
      <c r="R1422" s="1463"/>
      <c r="S1422" s="1463"/>
      <c r="T1422" s="1463"/>
      <c r="U1422" s="1463"/>
      <c r="V1422" s="1463"/>
      <c r="W1422" s="1463"/>
      <c r="X1422" s="1463"/>
      <c r="Y1422" s="1463"/>
    </row>
    <row r="1423" spans="1:25">
      <c r="A1423" s="2263"/>
      <c r="B1423" s="2263"/>
      <c r="C1423" s="2263"/>
      <c r="D1423" s="2263"/>
      <c r="E1423" s="1462"/>
      <c r="R1423" s="1463"/>
      <c r="S1423" s="1463"/>
      <c r="T1423" s="1463"/>
      <c r="U1423" s="1463"/>
      <c r="V1423" s="1463"/>
      <c r="W1423" s="1463"/>
      <c r="X1423" s="1463"/>
      <c r="Y1423" s="1463"/>
    </row>
    <row r="1424" spans="1:25">
      <c r="A1424" s="2263"/>
      <c r="B1424" s="2263"/>
      <c r="C1424" s="2263"/>
      <c r="D1424" s="2263"/>
      <c r="E1424" s="1462"/>
      <c r="R1424" s="1463"/>
      <c r="S1424" s="1463"/>
      <c r="T1424" s="1463"/>
      <c r="U1424" s="1463"/>
      <c r="V1424" s="1463"/>
      <c r="W1424" s="1463"/>
      <c r="X1424" s="1463"/>
      <c r="Y1424" s="1463"/>
    </row>
    <row r="1425" spans="1:25">
      <c r="A1425" s="2263"/>
      <c r="B1425" s="2263"/>
      <c r="C1425" s="2263"/>
      <c r="D1425" s="2263"/>
      <c r="E1425" s="1462"/>
      <c r="R1425" s="1463"/>
      <c r="S1425" s="1463"/>
      <c r="T1425" s="1463"/>
      <c r="U1425" s="1463"/>
      <c r="V1425" s="1463"/>
      <c r="W1425" s="1463"/>
      <c r="X1425" s="1463"/>
      <c r="Y1425" s="1463"/>
    </row>
    <row r="1426" spans="1:25">
      <c r="A1426" s="2263"/>
      <c r="B1426" s="2263"/>
      <c r="C1426" s="2263"/>
      <c r="D1426" s="2263"/>
      <c r="E1426" s="1462"/>
      <c r="R1426" s="1463"/>
      <c r="S1426" s="1463"/>
      <c r="T1426" s="1463"/>
      <c r="U1426" s="1463"/>
      <c r="V1426" s="1463"/>
      <c r="W1426" s="1463"/>
      <c r="X1426" s="1463"/>
      <c r="Y1426" s="1463"/>
    </row>
    <row r="1427" spans="1:25">
      <c r="A1427" s="2263"/>
      <c r="B1427" s="2263"/>
      <c r="C1427" s="2263"/>
      <c r="D1427" s="2263"/>
      <c r="E1427" s="1462"/>
      <c r="R1427" s="1463"/>
      <c r="S1427" s="1463"/>
      <c r="T1427" s="1463"/>
      <c r="U1427" s="1463"/>
      <c r="V1427" s="1463"/>
      <c r="W1427" s="1463"/>
      <c r="X1427" s="1463"/>
      <c r="Y1427" s="1463"/>
    </row>
    <row r="1428" spans="1:25">
      <c r="A1428" s="2263"/>
      <c r="B1428" s="2263"/>
      <c r="C1428" s="2263"/>
      <c r="D1428" s="2263"/>
      <c r="E1428" s="1462"/>
      <c r="R1428" s="1463"/>
      <c r="S1428" s="1463"/>
      <c r="T1428" s="1463"/>
      <c r="U1428" s="1463"/>
      <c r="V1428" s="1463"/>
      <c r="W1428" s="1463"/>
      <c r="X1428" s="1463"/>
      <c r="Y1428" s="1463"/>
    </row>
    <row r="1429" spans="1:25">
      <c r="A1429" s="2263"/>
      <c r="B1429" s="2263"/>
      <c r="C1429" s="2263"/>
      <c r="D1429" s="2263"/>
      <c r="E1429" s="1462"/>
      <c r="R1429" s="1463"/>
      <c r="S1429" s="1463"/>
      <c r="T1429" s="1463"/>
      <c r="U1429" s="1463"/>
      <c r="V1429" s="1463"/>
      <c r="W1429" s="1463"/>
      <c r="X1429" s="1463"/>
      <c r="Y1429" s="1463"/>
    </row>
    <row r="1430" spans="1:25">
      <c r="A1430" s="2263"/>
      <c r="B1430" s="2263"/>
      <c r="C1430" s="2263"/>
      <c r="D1430" s="2263"/>
      <c r="E1430" s="1462"/>
      <c r="R1430" s="1463"/>
      <c r="S1430" s="1463"/>
      <c r="T1430" s="1463"/>
      <c r="U1430" s="1463"/>
      <c r="V1430" s="1463"/>
      <c r="W1430" s="1463"/>
      <c r="X1430" s="1463"/>
      <c r="Y1430" s="1463"/>
    </row>
    <row r="1431" spans="1:25">
      <c r="A1431" s="2263"/>
      <c r="B1431" s="2263"/>
      <c r="C1431" s="2263"/>
      <c r="D1431" s="2263"/>
      <c r="E1431" s="1462"/>
      <c r="R1431" s="1463"/>
      <c r="S1431" s="1463"/>
      <c r="T1431" s="1463"/>
      <c r="U1431" s="1463"/>
      <c r="V1431" s="1463"/>
      <c r="W1431" s="1463"/>
      <c r="X1431" s="1463"/>
      <c r="Y1431" s="1463"/>
    </row>
    <row r="1432" spans="1:25">
      <c r="A1432" s="2263"/>
      <c r="B1432" s="2263"/>
      <c r="C1432" s="2263"/>
      <c r="D1432" s="2263"/>
      <c r="E1432" s="1462"/>
      <c r="R1432" s="1463"/>
      <c r="S1432" s="1463"/>
      <c r="T1432" s="1463"/>
      <c r="U1432" s="1463"/>
      <c r="V1432" s="1463"/>
      <c r="W1432" s="1463"/>
      <c r="X1432" s="1463"/>
      <c r="Y1432" s="1463"/>
    </row>
    <row r="1433" spans="1:25">
      <c r="A1433" s="2263"/>
      <c r="B1433" s="2263"/>
      <c r="C1433" s="2263"/>
      <c r="D1433" s="2263"/>
      <c r="E1433" s="1462"/>
      <c r="R1433" s="1463"/>
      <c r="S1433" s="1463"/>
      <c r="T1433" s="1463"/>
      <c r="U1433" s="1463"/>
      <c r="V1433" s="1463"/>
      <c r="W1433" s="1463"/>
      <c r="X1433" s="1463"/>
      <c r="Y1433" s="1463"/>
    </row>
    <row r="1434" spans="1:25">
      <c r="A1434" s="2263"/>
      <c r="B1434" s="2263"/>
      <c r="C1434" s="2263"/>
      <c r="D1434" s="2263"/>
      <c r="E1434" s="1462"/>
      <c r="R1434" s="1463"/>
      <c r="S1434" s="1463"/>
      <c r="T1434" s="1463"/>
      <c r="U1434" s="1463"/>
      <c r="V1434" s="1463"/>
      <c r="W1434" s="1463"/>
      <c r="X1434" s="1463"/>
      <c r="Y1434" s="1463"/>
    </row>
    <row r="1435" spans="1:25">
      <c r="A1435" s="2263"/>
      <c r="B1435" s="2263"/>
      <c r="C1435" s="2263"/>
      <c r="D1435" s="2263"/>
      <c r="E1435" s="1462"/>
      <c r="R1435" s="1463"/>
      <c r="S1435" s="1463"/>
      <c r="T1435" s="1463"/>
      <c r="U1435" s="1463"/>
      <c r="V1435" s="1463"/>
      <c r="W1435" s="1463"/>
      <c r="X1435" s="1463"/>
      <c r="Y1435" s="1463"/>
    </row>
    <row r="1436" spans="1:25">
      <c r="A1436" s="2263"/>
      <c r="B1436" s="2263"/>
      <c r="C1436" s="2263"/>
      <c r="D1436" s="2263"/>
      <c r="E1436" s="1462"/>
      <c r="R1436" s="1463"/>
      <c r="S1436" s="1463"/>
      <c r="T1436" s="1463"/>
      <c r="U1436" s="1463"/>
      <c r="V1436" s="1463"/>
      <c r="W1436" s="1463"/>
      <c r="X1436" s="1463"/>
      <c r="Y1436" s="1463"/>
    </row>
    <row r="1437" spans="1:25">
      <c r="A1437" s="2263"/>
      <c r="B1437" s="2263"/>
      <c r="C1437" s="2263"/>
      <c r="D1437" s="2263"/>
      <c r="E1437" s="1462"/>
      <c r="R1437" s="1463"/>
      <c r="S1437" s="1463"/>
      <c r="T1437" s="1463"/>
      <c r="U1437" s="1463"/>
      <c r="V1437" s="1463"/>
      <c r="W1437" s="1463"/>
      <c r="X1437" s="1463"/>
      <c r="Y1437" s="1463"/>
    </row>
    <row r="1438" spans="1:25">
      <c r="A1438" s="2263"/>
      <c r="B1438" s="2263"/>
      <c r="C1438" s="2263"/>
      <c r="D1438" s="2263"/>
      <c r="E1438" s="1462"/>
      <c r="R1438" s="1463"/>
      <c r="S1438" s="1463"/>
      <c r="T1438" s="1463"/>
      <c r="U1438" s="1463"/>
      <c r="V1438" s="1463"/>
      <c r="W1438" s="1463"/>
      <c r="X1438" s="1463"/>
      <c r="Y1438" s="1463"/>
    </row>
    <row r="1439" spans="1:25">
      <c r="A1439" s="2263"/>
      <c r="B1439" s="2263"/>
      <c r="C1439" s="2263"/>
      <c r="D1439" s="2263"/>
      <c r="E1439" s="1462"/>
      <c r="R1439" s="1463"/>
      <c r="S1439" s="1463"/>
      <c r="T1439" s="1463"/>
      <c r="U1439" s="1463"/>
      <c r="V1439" s="1463"/>
      <c r="W1439" s="1463"/>
      <c r="X1439" s="1463"/>
      <c r="Y1439" s="1463"/>
    </row>
    <row r="1440" spans="1:25">
      <c r="A1440" s="2263"/>
      <c r="B1440" s="2263"/>
      <c r="C1440" s="2263"/>
      <c r="D1440" s="2263"/>
      <c r="E1440" s="1462"/>
      <c r="R1440" s="1463"/>
      <c r="S1440" s="1463"/>
      <c r="T1440" s="1463"/>
      <c r="U1440" s="1463"/>
      <c r="V1440" s="1463"/>
      <c r="W1440" s="1463"/>
      <c r="X1440" s="1463"/>
      <c r="Y1440" s="1463"/>
    </row>
    <row r="1441" spans="1:25">
      <c r="A1441" s="2263"/>
      <c r="B1441" s="2263"/>
      <c r="C1441" s="2263"/>
      <c r="D1441" s="2263"/>
      <c r="E1441" s="1462"/>
      <c r="R1441" s="1463"/>
      <c r="S1441" s="1463"/>
      <c r="T1441" s="1463"/>
      <c r="U1441" s="1463"/>
      <c r="V1441" s="1463"/>
      <c r="W1441" s="1463"/>
      <c r="X1441" s="1463"/>
      <c r="Y1441" s="1463"/>
    </row>
    <row r="1442" spans="1:25">
      <c r="A1442" s="2263"/>
      <c r="B1442" s="2263"/>
      <c r="C1442" s="2263"/>
      <c r="D1442" s="2263"/>
      <c r="E1442" s="1462"/>
      <c r="R1442" s="1463"/>
      <c r="S1442" s="1463"/>
      <c r="T1442" s="1463"/>
      <c r="U1442" s="1463"/>
      <c r="V1442" s="1463"/>
      <c r="W1442" s="1463"/>
      <c r="X1442" s="1463"/>
      <c r="Y1442" s="1463"/>
    </row>
    <row r="1443" spans="1:25">
      <c r="A1443" s="2263"/>
      <c r="B1443" s="2263"/>
      <c r="C1443" s="2263"/>
      <c r="D1443" s="2263"/>
      <c r="E1443" s="1462"/>
      <c r="R1443" s="1463"/>
      <c r="S1443" s="1463"/>
      <c r="T1443" s="1463"/>
      <c r="U1443" s="1463"/>
      <c r="V1443" s="1463"/>
      <c r="W1443" s="1463"/>
      <c r="X1443" s="1463"/>
      <c r="Y1443" s="1463"/>
    </row>
    <row r="1444" spans="1:25">
      <c r="A1444" s="2263"/>
      <c r="B1444" s="2263"/>
      <c r="C1444" s="2263"/>
      <c r="D1444" s="2263"/>
      <c r="E1444" s="1462"/>
      <c r="R1444" s="1463"/>
      <c r="S1444" s="1463"/>
      <c r="T1444" s="1463"/>
      <c r="U1444" s="1463"/>
      <c r="V1444" s="1463"/>
      <c r="W1444" s="1463"/>
      <c r="X1444" s="1463"/>
      <c r="Y1444" s="1463"/>
    </row>
    <row r="1445" spans="1:25">
      <c r="A1445" s="2263"/>
      <c r="B1445" s="2263"/>
      <c r="C1445" s="2263"/>
      <c r="D1445" s="2263"/>
      <c r="E1445" s="1462"/>
      <c r="R1445" s="1463"/>
      <c r="S1445" s="1463"/>
      <c r="T1445" s="1463"/>
      <c r="U1445" s="1463"/>
      <c r="V1445" s="1463"/>
      <c r="W1445" s="1463"/>
      <c r="X1445" s="1463"/>
      <c r="Y1445" s="1463"/>
    </row>
    <row r="1446" spans="1:25">
      <c r="A1446" s="2263"/>
      <c r="B1446" s="2263"/>
      <c r="C1446" s="2263"/>
      <c r="D1446" s="2263"/>
      <c r="E1446" s="1462"/>
      <c r="R1446" s="1463"/>
      <c r="S1446" s="1463"/>
      <c r="T1446" s="1463"/>
      <c r="U1446" s="1463"/>
      <c r="V1446" s="1463"/>
      <c r="W1446" s="1463"/>
      <c r="X1446" s="1463"/>
      <c r="Y1446" s="1463"/>
    </row>
    <row r="1447" spans="1:25">
      <c r="A1447" s="2263"/>
      <c r="B1447" s="2263"/>
      <c r="C1447" s="2263"/>
      <c r="D1447" s="2263"/>
      <c r="E1447" s="1462"/>
      <c r="R1447" s="1463"/>
      <c r="S1447" s="1463"/>
      <c r="T1447" s="1463"/>
      <c r="U1447" s="1463"/>
      <c r="V1447" s="1463"/>
      <c r="W1447" s="1463"/>
      <c r="X1447" s="1463"/>
      <c r="Y1447" s="1463"/>
    </row>
    <row r="1448" spans="1:25">
      <c r="A1448" s="2263"/>
      <c r="B1448" s="2263"/>
      <c r="C1448" s="2263"/>
      <c r="D1448" s="2263"/>
      <c r="E1448" s="1462"/>
      <c r="R1448" s="1463"/>
      <c r="S1448" s="1463"/>
      <c r="T1448" s="1463"/>
      <c r="U1448" s="1463"/>
      <c r="V1448" s="1463"/>
      <c r="W1448" s="1463"/>
      <c r="X1448" s="1463"/>
      <c r="Y1448" s="1463"/>
    </row>
    <row r="1449" spans="1:25">
      <c r="A1449" s="2263"/>
      <c r="B1449" s="2263"/>
      <c r="C1449" s="2263"/>
      <c r="D1449" s="2263"/>
      <c r="E1449" s="1462"/>
      <c r="R1449" s="1463"/>
      <c r="S1449" s="1463"/>
      <c r="T1449" s="1463"/>
      <c r="U1449" s="1463"/>
      <c r="V1449" s="1463"/>
      <c r="W1449" s="1463"/>
      <c r="X1449" s="1463"/>
      <c r="Y1449" s="1463"/>
    </row>
    <row r="1450" spans="1:25">
      <c r="A1450" s="2263"/>
      <c r="B1450" s="2263"/>
      <c r="C1450" s="2263"/>
      <c r="D1450" s="2263"/>
      <c r="E1450" s="1462"/>
      <c r="R1450" s="1463"/>
      <c r="S1450" s="1463"/>
      <c r="T1450" s="1463"/>
      <c r="U1450" s="1463"/>
      <c r="V1450" s="1463"/>
      <c r="W1450" s="1463"/>
      <c r="X1450" s="1463"/>
      <c r="Y1450" s="1463"/>
    </row>
    <row r="1451" spans="1:25">
      <c r="A1451" s="2263"/>
      <c r="B1451" s="2263"/>
      <c r="C1451" s="2263"/>
      <c r="D1451" s="2263"/>
      <c r="E1451" s="1462"/>
      <c r="R1451" s="1463"/>
      <c r="S1451" s="1463"/>
      <c r="T1451" s="1463"/>
      <c r="U1451" s="1463"/>
      <c r="V1451" s="1463"/>
      <c r="W1451" s="1463"/>
      <c r="X1451" s="1463"/>
      <c r="Y1451" s="1463"/>
    </row>
    <row r="1452" spans="1:25">
      <c r="A1452" s="2263"/>
      <c r="B1452" s="2263"/>
      <c r="C1452" s="2263"/>
      <c r="D1452" s="2263"/>
      <c r="E1452" s="1462"/>
      <c r="R1452" s="1463"/>
      <c r="S1452" s="1463"/>
      <c r="T1452" s="1463"/>
      <c r="U1452" s="1463"/>
      <c r="V1452" s="1463"/>
      <c r="W1452" s="1463"/>
      <c r="X1452" s="1463"/>
      <c r="Y1452" s="1463"/>
    </row>
    <row r="1453" spans="1:25">
      <c r="A1453" s="2263"/>
      <c r="B1453" s="2263"/>
      <c r="C1453" s="2263"/>
      <c r="D1453" s="2263"/>
      <c r="E1453" s="1462"/>
      <c r="R1453" s="1463"/>
      <c r="S1453" s="1463"/>
      <c r="T1453" s="1463"/>
      <c r="U1453" s="1463"/>
      <c r="V1453" s="1463"/>
      <c r="W1453" s="1463"/>
      <c r="X1453" s="1463"/>
      <c r="Y1453" s="1463"/>
    </row>
    <row r="1454" spans="1:25">
      <c r="A1454" s="2263"/>
      <c r="B1454" s="2263"/>
      <c r="C1454" s="2263"/>
      <c r="D1454" s="2263"/>
      <c r="E1454" s="1462"/>
      <c r="R1454" s="1463"/>
      <c r="S1454" s="1463"/>
      <c r="T1454" s="1463"/>
      <c r="U1454" s="1463"/>
      <c r="V1454" s="1463"/>
      <c r="W1454" s="1463"/>
      <c r="X1454" s="1463"/>
      <c r="Y1454" s="1463"/>
    </row>
    <row r="1455" spans="1:25">
      <c r="A1455" s="2263"/>
      <c r="B1455" s="2263"/>
      <c r="C1455" s="2263"/>
      <c r="D1455" s="2263"/>
      <c r="E1455" s="1462"/>
      <c r="R1455" s="1463"/>
      <c r="S1455" s="1463"/>
      <c r="T1455" s="1463"/>
      <c r="U1455" s="1463"/>
      <c r="V1455" s="1463"/>
      <c r="W1455" s="1463"/>
      <c r="X1455" s="1463"/>
      <c r="Y1455" s="1463"/>
    </row>
    <row r="1456" spans="1:25">
      <c r="A1456" s="2263"/>
      <c r="B1456" s="2263"/>
      <c r="C1456" s="2263"/>
      <c r="D1456" s="2263"/>
      <c r="E1456" s="1462"/>
      <c r="R1456" s="1463"/>
      <c r="S1456" s="1463"/>
      <c r="T1456" s="1463"/>
      <c r="U1456" s="1463"/>
      <c r="V1456" s="1463"/>
      <c r="W1456" s="1463"/>
      <c r="X1456" s="1463"/>
      <c r="Y1456" s="1463"/>
    </row>
    <row r="1457" spans="1:25">
      <c r="A1457" s="2263"/>
      <c r="B1457" s="2263"/>
      <c r="C1457" s="2263"/>
      <c r="D1457" s="2263"/>
      <c r="E1457" s="1462"/>
      <c r="R1457" s="1463"/>
      <c r="S1457" s="1463"/>
      <c r="T1457" s="1463"/>
      <c r="U1457" s="1463"/>
      <c r="V1457" s="1463"/>
      <c r="W1457" s="1463"/>
      <c r="X1457" s="1463"/>
      <c r="Y1457" s="1463"/>
    </row>
    <row r="1458" spans="1:25">
      <c r="A1458" s="2263"/>
      <c r="B1458" s="2263"/>
      <c r="C1458" s="2263"/>
      <c r="D1458" s="2263"/>
      <c r="E1458" s="1462"/>
      <c r="R1458" s="1463"/>
      <c r="S1458" s="1463"/>
      <c r="T1458" s="1463"/>
      <c r="U1458" s="1463"/>
      <c r="V1458" s="1463"/>
      <c r="W1458" s="1463"/>
      <c r="X1458" s="1463"/>
      <c r="Y1458" s="1463"/>
    </row>
    <row r="1459" spans="1:25">
      <c r="A1459" s="2263"/>
      <c r="B1459" s="2263"/>
      <c r="C1459" s="2263"/>
      <c r="D1459" s="2263"/>
      <c r="E1459" s="1462"/>
      <c r="R1459" s="1463"/>
      <c r="S1459" s="1463"/>
      <c r="T1459" s="1463"/>
      <c r="U1459" s="1463"/>
      <c r="V1459" s="1463"/>
      <c r="W1459" s="1463"/>
      <c r="X1459" s="1463"/>
      <c r="Y1459" s="1463"/>
    </row>
    <row r="1460" spans="1:25">
      <c r="A1460" s="2263"/>
      <c r="B1460" s="2263"/>
      <c r="C1460" s="2263"/>
      <c r="D1460" s="2263"/>
      <c r="E1460" s="1462"/>
      <c r="R1460" s="1463"/>
      <c r="S1460" s="1463"/>
      <c r="T1460" s="1463"/>
      <c r="U1460" s="1463"/>
      <c r="V1460" s="1463"/>
      <c r="W1460" s="1463"/>
      <c r="X1460" s="1463"/>
      <c r="Y1460" s="1463"/>
    </row>
    <row r="1461" spans="1:25">
      <c r="A1461" s="2263"/>
      <c r="B1461" s="2263"/>
      <c r="C1461" s="2263"/>
      <c r="D1461" s="2263"/>
      <c r="E1461" s="1462"/>
      <c r="R1461" s="1463"/>
      <c r="S1461" s="1463"/>
      <c r="T1461" s="1463"/>
      <c r="U1461" s="1463"/>
      <c r="V1461" s="1463"/>
      <c r="W1461" s="1463"/>
      <c r="X1461" s="1463"/>
      <c r="Y1461" s="1463"/>
    </row>
    <row r="1462" spans="1:25">
      <c r="A1462" s="2263"/>
      <c r="B1462" s="2263"/>
      <c r="C1462" s="2263"/>
      <c r="D1462" s="2263"/>
      <c r="E1462" s="1462"/>
      <c r="R1462" s="1463"/>
      <c r="S1462" s="1463"/>
      <c r="T1462" s="1463"/>
      <c r="U1462" s="1463"/>
      <c r="V1462" s="1463"/>
      <c r="W1462" s="1463"/>
      <c r="X1462" s="1463"/>
      <c r="Y1462" s="1463"/>
    </row>
    <row r="1463" spans="1:25">
      <c r="A1463" s="2263"/>
      <c r="B1463" s="2263"/>
      <c r="C1463" s="2263"/>
      <c r="D1463" s="2263"/>
      <c r="E1463" s="1462"/>
      <c r="R1463" s="1463"/>
      <c r="S1463" s="1463"/>
      <c r="T1463" s="1463"/>
      <c r="U1463" s="1463"/>
      <c r="V1463" s="1463"/>
      <c r="W1463" s="1463"/>
      <c r="X1463" s="1463"/>
      <c r="Y1463" s="1463"/>
    </row>
    <row r="1464" spans="1:25">
      <c r="A1464" s="2263"/>
      <c r="B1464" s="2263"/>
      <c r="C1464" s="2263"/>
      <c r="D1464" s="2263"/>
      <c r="E1464" s="1462"/>
      <c r="R1464" s="1463"/>
      <c r="S1464" s="1463"/>
      <c r="T1464" s="1463"/>
      <c r="U1464" s="1463"/>
      <c r="V1464" s="1463"/>
      <c r="W1464" s="1463"/>
      <c r="X1464" s="1463"/>
      <c r="Y1464" s="1463"/>
    </row>
    <row r="1465" spans="1:25">
      <c r="A1465" s="2263"/>
      <c r="B1465" s="2263"/>
      <c r="C1465" s="2263"/>
      <c r="D1465" s="2263"/>
      <c r="E1465" s="1462"/>
      <c r="R1465" s="1463"/>
      <c r="S1465" s="1463"/>
      <c r="T1465" s="1463"/>
      <c r="U1465" s="1463"/>
      <c r="V1465" s="1463"/>
      <c r="W1465" s="1463"/>
      <c r="X1465" s="1463"/>
      <c r="Y1465" s="1463"/>
    </row>
    <row r="1466" spans="1:25">
      <c r="A1466" s="2263"/>
      <c r="B1466" s="2263"/>
      <c r="C1466" s="2263"/>
      <c r="D1466" s="2263"/>
      <c r="E1466" s="1462"/>
      <c r="R1466" s="1463"/>
      <c r="S1466" s="1463"/>
      <c r="T1466" s="1463"/>
      <c r="U1466" s="1463"/>
      <c r="V1466" s="1463"/>
      <c r="W1466" s="1463"/>
      <c r="X1466" s="1463"/>
      <c r="Y1466" s="1463"/>
    </row>
    <row r="1467" spans="1:25">
      <c r="A1467" s="2263"/>
      <c r="B1467" s="2263"/>
      <c r="C1467" s="2263"/>
      <c r="D1467" s="2263"/>
      <c r="E1467" s="1462"/>
      <c r="R1467" s="1463"/>
      <c r="S1467" s="1463"/>
      <c r="T1467" s="1463"/>
      <c r="U1467" s="1463"/>
      <c r="V1467" s="1463"/>
      <c r="W1467" s="1463"/>
      <c r="X1467" s="1463"/>
      <c r="Y1467" s="1463"/>
    </row>
    <row r="1468" spans="1:25">
      <c r="A1468" s="2263"/>
      <c r="B1468" s="2263"/>
      <c r="C1468" s="2263"/>
      <c r="D1468" s="2263"/>
      <c r="E1468" s="1462"/>
      <c r="R1468" s="1463"/>
      <c r="S1468" s="1463"/>
      <c r="T1468" s="1463"/>
      <c r="U1468" s="1463"/>
      <c r="V1468" s="1463"/>
      <c r="W1468" s="1463"/>
      <c r="X1468" s="1463"/>
      <c r="Y1468" s="1463"/>
    </row>
    <row r="1469" spans="1:25">
      <c r="A1469" s="2263"/>
      <c r="B1469" s="2263"/>
      <c r="C1469" s="2263"/>
      <c r="D1469" s="2263"/>
      <c r="E1469" s="1462"/>
      <c r="R1469" s="1463"/>
      <c r="S1469" s="1463"/>
      <c r="T1469" s="1463"/>
      <c r="U1469" s="1463"/>
      <c r="V1469" s="1463"/>
      <c r="W1469" s="1463"/>
      <c r="X1469" s="1463"/>
      <c r="Y1469" s="1463"/>
    </row>
    <row r="1470" spans="1:25">
      <c r="A1470" s="2263"/>
      <c r="B1470" s="2263"/>
      <c r="C1470" s="2263"/>
      <c r="D1470" s="2263"/>
      <c r="E1470" s="1462"/>
      <c r="R1470" s="1463"/>
      <c r="S1470" s="1463"/>
      <c r="T1470" s="1463"/>
      <c r="U1470" s="1463"/>
      <c r="V1470" s="1463"/>
      <c r="W1470" s="1463"/>
      <c r="X1470" s="1463"/>
      <c r="Y1470" s="1463"/>
    </row>
    <row r="1471" spans="1:25">
      <c r="A1471" s="2263"/>
      <c r="B1471" s="2263"/>
      <c r="C1471" s="2263"/>
      <c r="D1471" s="2263"/>
      <c r="E1471" s="1462"/>
      <c r="R1471" s="1463"/>
      <c r="S1471" s="1463"/>
      <c r="T1471" s="1463"/>
      <c r="U1471" s="1463"/>
      <c r="V1471" s="1463"/>
      <c r="W1471" s="1463"/>
      <c r="X1471" s="1463"/>
      <c r="Y1471" s="1463"/>
    </row>
    <row r="1472" spans="1:25">
      <c r="A1472" s="2263"/>
      <c r="B1472" s="2263"/>
      <c r="C1472" s="2263"/>
      <c r="D1472" s="2263"/>
      <c r="E1472" s="1462"/>
      <c r="R1472" s="1463"/>
      <c r="S1472" s="1463"/>
      <c r="T1472" s="1463"/>
      <c r="U1472" s="1463"/>
      <c r="V1472" s="1463"/>
      <c r="W1472" s="1463"/>
      <c r="X1472" s="1463"/>
      <c r="Y1472" s="1463"/>
    </row>
    <row r="1473" spans="1:25">
      <c r="A1473" s="2263"/>
      <c r="B1473" s="2263"/>
      <c r="C1473" s="2263"/>
      <c r="D1473" s="2263"/>
      <c r="E1473" s="1462"/>
      <c r="R1473" s="1463"/>
      <c r="S1473" s="1463"/>
      <c r="T1473" s="1463"/>
      <c r="U1473" s="1463"/>
      <c r="V1473" s="1463"/>
      <c r="W1473" s="1463"/>
      <c r="X1473" s="1463"/>
      <c r="Y1473" s="1463"/>
    </row>
    <row r="1474" spans="1:25">
      <c r="A1474" s="2263"/>
      <c r="B1474" s="2263"/>
      <c r="C1474" s="2263"/>
      <c r="D1474" s="2263"/>
      <c r="E1474" s="1462"/>
      <c r="R1474" s="1463"/>
      <c r="S1474" s="1463"/>
      <c r="T1474" s="1463"/>
      <c r="U1474" s="1463"/>
      <c r="V1474" s="1463"/>
      <c r="W1474" s="1463"/>
      <c r="X1474" s="1463"/>
      <c r="Y1474" s="1463"/>
    </row>
    <row r="1475" spans="1:25">
      <c r="A1475" s="2263"/>
      <c r="B1475" s="2263"/>
      <c r="C1475" s="2263"/>
      <c r="D1475" s="2263"/>
      <c r="E1475" s="1462"/>
      <c r="R1475" s="1463"/>
      <c r="S1475" s="1463"/>
      <c r="T1475" s="1463"/>
      <c r="U1475" s="1463"/>
      <c r="V1475" s="1463"/>
      <c r="W1475" s="1463"/>
      <c r="X1475" s="1463"/>
      <c r="Y1475" s="1463"/>
    </row>
    <row r="1476" spans="1:25">
      <c r="A1476" s="2263"/>
      <c r="B1476" s="2263"/>
      <c r="C1476" s="2263"/>
      <c r="D1476" s="2263"/>
      <c r="E1476" s="1462"/>
      <c r="R1476" s="1463"/>
      <c r="S1476" s="1463"/>
      <c r="T1476" s="1463"/>
      <c r="U1476" s="1463"/>
      <c r="V1476" s="1463"/>
      <c r="W1476" s="1463"/>
      <c r="X1476" s="1463"/>
      <c r="Y1476" s="1463"/>
    </row>
    <row r="1477" spans="1:25">
      <c r="A1477" s="2263"/>
      <c r="B1477" s="2263"/>
      <c r="C1477" s="2263"/>
      <c r="D1477" s="2263"/>
      <c r="E1477" s="1462"/>
      <c r="R1477" s="1463"/>
      <c r="S1477" s="1463"/>
      <c r="T1477" s="1463"/>
      <c r="U1477" s="1463"/>
      <c r="V1477" s="1463"/>
      <c r="W1477" s="1463"/>
      <c r="X1477" s="1463"/>
      <c r="Y1477" s="1463"/>
    </row>
    <row r="1478" spans="1:25">
      <c r="A1478" s="2263"/>
      <c r="B1478" s="2263"/>
      <c r="C1478" s="2263"/>
      <c r="D1478" s="2263"/>
      <c r="E1478" s="1462"/>
      <c r="R1478" s="1463"/>
      <c r="S1478" s="1463"/>
      <c r="T1478" s="1463"/>
      <c r="U1478" s="1463"/>
      <c r="V1478" s="1463"/>
      <c r="W1478" s="1463"/>
      <c r="X1478" s="1463"/>
      <c r="Y1478" s="1463"/>
    </row>
    <row r="1479" spans="1:25">
      <c r="A1479" s="2263"/>
      <c r="B1479" s="2263"/>
      <c r="C1479" s="2263"/>
      <c r="D1479" s="2263"/>
      <c r="E1479" s="1462"/>
      <c r="R1479" s="1463"/>
      <c r="S1479" s="1463"/>
      <c r="T1479" s="1463"/>
      <c r="U1479" s="1463"/>
      <c r="V1479" s="1463"/>
      <c r="W1479" s="1463"/>
      <c r="X1479" s="1463"/>
      <c r="Y1479" s="1463"/>
    </row>
    <row r="1480" spans="1:25">
      <c r="A1480" s="2263"/>
      <c r="B1480" s="2263"/>
      <c r="C1480" s="2263"/>
      <c r="D1480" s="2263"/>
      <c r="E1480" s="1462"/>
      <c r="R1480" s="1463"/>
      <c r="S1480" s="1463"/>
      <c r="T1480" s="1463"/>
      <c r="U1480" s="1463"/>
      <c r="V1480" s="1463"/>
      <c r="W1480" s="1463"/>
      <c r="X1480" s="1463"/>
      <c r="Y1480" s="1463"/>
    </row>
    <row r="1481" spans="1:25">
      <c r="A1481" s="2263"/>
      <c r="B1481" s="2263"/>
      <c r="C1481" s="2263"/>
      <c r="D1481" s="2263"/>
      <c r="E1481" s="1462"/>
      <c r="R1481" s="1463"/>
      <c r="S1481" s="1463"/>
      <c r="T1481" s="1463"/>
      <c r="U1481" s="1463"/>
      <c r="V1481" s="1463"/>
      <c r="W1481" s="1463"/>
      <c r="X1481" s="1463"/>
      <c r="Y1481" s="1463"/>
    </row>
    <row r="1482" spans="1:25">
      <c r="A1482" s="2263"/>
      <c r="B1482" s="2263"/>
      <c r="C1482" s="2263"/>
      <c r="D1482" s="2263"/>
      <c r="E1482" s="1462"/>
      <c r="R1482" s="1463"/>
      <c r="S1482" s="1463"/>
      <c r="T1482" s="1463"/>
      <c r="U1482" s="1463"/>
      <c r="V1482" s="1463"/>
      <c r="W1482" s="1463"/>
      <c r="X1482" s="1463"/>
      <c r="Y1482" s="1463"/>
    </row>
    <row r="1483" spans="1:25">
      <c r="A1483" s="2263"/>
      <c r="B1483" s="2263"/>
      <c r="C1483" s="2263"/>
      <c r="D1483" s="2263"/>
      <c r="E1483" s="1462"/>
      <c r="R1483" s="1463"/>
      <c r="S1483" s="1463"/>
      <c r="T1483" s="1463"/>
      <c r="U1483" s="1463"/>
      <c r="V1483" s="1463"/>
      <c r="W1483" s="1463"/>
      <c r="X1483" s="1463"/>
      <c r="Y1483" s="1463"/>
    </row>
    <row r="1484" spans="1:25">
      <c r="A1484" s="2263"/>
      <c r="B1484" s="2263"/>
      <c r="C1484" s="2263"/>
      <c r="D1484" s="2263"/>
      <c r="E1484" s="1462"/>
      <c r="R1484" s="1463"/>
      <c r="S1484" s="1463"/>
      <c r="T1484" s="1463"/>
      <c r="U1484" s="1463"/>
      <c r="V1484" s="1463"/>
      <c r="W1484" s="1463"/>
      <c r="X1484" s="1463"/>
      <c r="Y1484" s="1463"/>
    </row>
    <row r="1485" spans="1:25">
      <c r="A1485" s="2263"/>
      <c r="B1485" s="2263"/>
      <c r="C1485" s="2263"/>
      <c r="D1485" s="2263"/>
      <c r="E1485" s="1462"/>
      <c r="R1485" s="1463"/>
      <c r="S1485" s="1463"/>
      <c r="T1485" s="1463"/>
      <c r="U1485" s="1463"/>
      <c r="V1485" s="1463"/>
      <c r="W1485" s="1463"/>
      <c r="X1485" s="1463"/>
      <c r="Y1485" s="1463"/>
    </row>
    <row r="1486" spans="1:25">
      <c r="A1486" s="2263"/>
      <c r="B1486" s="2263"/>
      <c r="C1486" s="2263"/>
      <c r="D1486" s="2263"/>
      <c r="E1486" s="1462"/>
      <c r="R1486" s="1463"/>
      <c r="S1486" s="1463"/>
      <c r="T1486" s="1463"/>
      <c r="U1486" s="1463"/>
      <c r="V1486" s="1463"/>
      <c r="W1486" s="1463"/>
      <c r="X1486" s="1463"/>
      <c r="Y1486" s="1463"/>
    </row>
    <row r="1487" spans="1:25">
      <c r="A1487" s="2263"/>
      <c r="B1487" s="2263"/>
      <c r="C1487" s="2263"/>
      <c r="D1487" s="2263"/>
      <c r="E1487" s="1462"/>
      <c r="R1487" s="1463"/>
      <c r="S1487" s="1463"/>
      <c r="T1487" s="1463"/>
      <c r="U1487" s="1463"/>
      <c r="V1487" s="1463"/>
      <c r="W1487" s="1463"/>
      <c r="X1487" s="1463"/>
      <c r="Y1487" s="1463"/>
    </row>
    <row r="1488" spans="1:25">
      <c r="A1488" s="2263"/>
      <c r="B1488" s="2263"/>
      <c r="C1488" s="2263"/>
      <c r="D1488" s="2263"/>
      <c r="E1488" s="1462"/>
      <c r="R1488" s="1463"/>
      <c r="S1488" s="1463"/>
      <c r="T1488" s="1463"/>
      <c r="U1488" s="1463"/>
      <c r="V1488" s="1463"/>
      <c r="W1488" s="1463"/>
      <c r="X1488" s="1463"/>
      <c r="Y1488" s="1463"/>
    </row>
    <row r="1489" spans="1:25">
      <c r="A1489" s="2263"/>
      <c r="B1489" s="2263"/>
      <c r="C1489" s="2263"/>
      <c r="D1489" s="2263"/>
      <c r="E1489" s="1462"/>
      <c r="R1489" s="1463"/>
      <c r="S1489" s="1463"/>
      <c r="T1489" s="1463"/>
      <c r="U1489" s="1463"/>
      <c r="V1489" s="1463"/>
      <c r="W1489" s="1463"/>
      <c r="X1489" s="1463"/>
      <c r="Y1489" s="1463"/>
    </row>
    <row r="1490" spans="1:25">
      <c r="A1490" s="2263"/>
      <c r="B1490" s="2263"/>
      <c r="C1490" s="2263"/>
      <c r="D1490" s="2263"/>
      <c r="E1490" s="1462"/>
      <c r="R1490" s="1463"/>
      <c r="S1490" s="1463"/>
      <c r="T1490" s="1463"/>
      <c r="U1490" s="1463"/>
      <c r="V1490" s="1463"/>
      <c r="W1490" s="1463"/>
      <c r="X1490" s="1463"/>
      <c r="Y1490" s="1463"/>
    </row>
    <row r="1491" spans="1:25">
      <c r="A1491" s="2263"/>
      <c r="B1491" s="2263"/>
      <c r="C1491" s="2263"/>
      <c r="D1491" s="2263"/>
      <c r="E1491" s="1462"/>
      <c r="R1491" s="1463"/>
      <c r="S1491" s="1463"/>
      <c r="T1491" s="1463"/>
      <c r="U1491" s="1463"/>
      <c r="V1491" s="1463"/>
      <c r="W1491" s="1463"/>
      <c r="X1491" s="1463"/>
      <c r="Y1491" s="1463"/>
    </row>
    <row r="1492" spans="1:25">
      <c r="A1492" s="2263"/>
      <c r="B1492" s="2263"/>
      <c r="C1492" s="2263"/>
      <c r="D1492" s="2263"/>
      <c r="E1492" s="1462"/>
      <c r="R1492" s="1463"/>
      <c r="S1492" s="1463"/>
      <c r="T1492" s="1463"/>
      <c r="U1492" s="1463"/>
      <c r="V1492" s="1463"/>
      <c r="W1492" s="1463"/>
      <c r="X1492" s="1463"/>
      <c r="Y1492" s="1463"/>
    </row>
    <row r="1493" spans="1:25">
      <c r="A1493" s="2263"/>
      <c r="B1493" s="2263"/>
      <c r="C1493" s="2263"/>
      <c r="D1493" s="2263"/>
      <c r="E1493" s="1462"/>
      <c r="R1493" s="1463"/>
      <c r="S1493" s="1463"/>
      <c r="T1493" s="1463"/>
      <c r="U1493" s="1463"/>
      <c r="V1493" s="1463"/>
      <c r="W1493" s="1463"/>
      <c r="X1493" s="1463"/>
      <c r="Y1493" s="1463"/>
    </row>
    <row r="1494" spans="1:25">
      <c r="A1494" s="2263"/>
      <c r="B1494" s="2263"/>
      <c r="C1494" s="2263"/>
      <c r="D1494" s="2263"/>
      <c r="E1494" s="1462"/>
      <c r="R1494" s="1463"/>
      <c r="S1494" s="1463"/>
      <c r="T1494" s="1463"/>
      <c r="U1494" s="1463"/>
      <c r="V1494" s="1463"/>
      <c r="W1494" s="1463"/>
      <c r="X1494" s="1463"/>
      <c r="Y1494" s="1463"/>
    </row>
    <row r="1495" spans="1:25">
      <c r="A1495" s="2263"/>
      <c r="B1495" s="2263"/>
      <c r="C1495" s="2263"/>
      <c r="D1495" s="2263"/>
      <c r="E1495" s="1462"/>
      <c r="R1495" s="1463"/>
      <c r="S1495" s="1463"/>
      <c r="T1495" s="1463"/>
      <c r="U1495" s="1463"/>
      <c r="V1495" s="1463"/>
      <c r="W1495" s="1463"/>
      <c r="X1495" s="1463"/>
      <c r="Y1495" s="1463"/>
    </row>
    <row r="1496" spans="1:25">
      <c r="A1496" s="2263"/>
      <c r="B1496" s="2263"/>
      <c r="C1496" s="2263"/>
      <c r="D1496" s="2263"/>
      <c r="E1496" s="1462"/>
      <c r="R1496" s="1463"/>
      <c r="S1496" s="1463"/>
      <c r="T1496" s="1463"/>
      <c r="U1496" s="1463"/>
      <c r="V1496" s="1463"/>
      <c r="W1496" s="1463"/>
      <c r="X1496" s="1463"/>
      <c r="Y1496" s="1463"/>
    </row>
    <row r="1497" spans="1:25">
      <c r="A1497" s="2263"/>
      <c r="B1497" s="2263"/>
      <c r="C1497" s="2263"/>
      <c r="D1497" s="2263"/>
      <c r="E1497" s="1462"/>
      <c r="R1497" s="1463"/>
      <c r="S1497" s="1463"/>
      <c r="T1497" s="1463"/>
      <c r="U1497" s="1463"/>
      <c r="V1497" s="1463"/>
      <c r="W1497" s="1463"/>
      <c r="X1497" s="1463"/>
      <c r="Y1497" s="1463"/>
    </row>
    <row r="1498" spans="1:25">
      <c r="A1498" s="2263"/>
      <c r="B1498" s="2263"/>
      <c r="C1498" s="2263"/>
      <c r="D1498" s="2263"/>
      <c r="E1498" s="1462"/>
      <c r="R1498" s="1463"/>
      <c r="S1498" s="1463"/>
      <c r="T1498" s="1463"/>
      <c r="U1498" s="1463"/>
      <c r="V1498" s="1463"/>
      <c r="W1498" s="1463"/>
      <c r="X1498" s="1463"/>
      <c r="Y1498" s="1463"/>
    </row>
    <row r="1499" spans="1:25">
      <c r="A1499" s="2263"/>
      <c r="B1499" s="2263"/>
      <c r="C1499" s="2263"/>
      <c r="D1499" s="2263"/>
      <c r="E1499" s="1462"/>
      <c r="R1499" s="1463"/>
      <c r="S1499" s="1463"/>
      <c r="T1499" s="1463"/>
      <c r="U1499" s="1463"/>
      <c r="V1499" s="1463"/>
      <c r="W1499" s="1463"/>
      <c r="X1499" s="1463"/>
      <c r="Y1499" s="1463"/>
    </row>
    <row r="1500" spans="1:25">
      <c r="A1500" s="2263"/>
      <c r="B1500" s="2263"/>
      <c r="C1500" s="2263"/>
      <c r="D1500" s="2263"/>
      <c r="E1500" s="1462"/>
      <c r="R1500" s="1463"/>
      <c r="S1500" s="1463"/>
      <c r="T1500" s="1463"/>
      <c r="U1500" s="1463"/>
      <c r="V1500" s="1463"/>
      <c r="W1500" s="1463"/>
      <c r="X1500" s="1463"/>
      <c r="Y1500" s="1463"/>
    </row>
    <row r="1501" spans="1:25">
      <c r="A1501" s="2263"/>
      <c r="B1501" s="2263"/>
      <c r="C1501" s="2263"/>
      <c r="D1501" s="2263"/>
      <c r="E1501" s="1462"/>
      <c r="R1501" s="1463"/>
      <c r="S1501" s="1463"/>
      <c r="T1501" s="1463"/>
      <c r="U1501" s="1463"/>
      <c r="V1501" s="1463"/>
      <c r="W1501" s="1463"/>
      <c r="X1501" s="1463"/>
      <c r="Y1501" s="1463"/>
    </row>
    <row r="1502" spans="1:25">
      <c r="A1502" s="2263"/>
      <c r="B1502" s="2263"/>
      <c r="C1502" s="2263"/>
      <c r="D1502" s="2263"/>
      <c r="E1502" s="1462"/>
      <c r="R1502" s="1463"/>
      <c r="S1502" s="1463"/>
      <c r="T1502" s="1463"/>
      <c r="U1502" s="1463"/>
      <c r="V1502" s="1463"/>
      <c r="W1502" s="1463"/>
      <c r="X1502" s="1463"/>
      <c r="Y1502" s="1463"/>
    </row>
    <row r="1503" spans="1:25">
      <c r="A1503" s="2263"/>
      <c r="B1503" s="2263"/>
      <c r="C1503" s="2263"/>
      <c r="D1503" s="2263"/>
      <c r="E1503" s="1462"/>
      <c r="R1503" s="1463"/>
      <c r="S1503" s="1463"/>
      <c r="T1503" s="1463"/>
      <c r="U1503" s="1463"/>
      <c r="V1503" s="1463"/>
      <c r="W1503" s="1463"/>
      <c r="X1503" s="1463"/>
      <c r="Y1503" s="1463"/>
    </row>
    <row r="1504" spans="1:25">
      <c r="A1504" s="2263"/>
      <c r="B1504" s="2263"/>
      <c r="C1504" s="2263"/>
      <c r="D1504" s="2263"/>
      <c r="E1504" s="1462"/>
      <c r="R1504" s="1463"/>
      <c r="S1504" s="1463"/>
      <c r="T1504" s="1463"/>
      <c r="U1504" s="1463"/>
      <c r="V1504" s="1463"/>
      <c r="W1504" s="1463"/>
      <c r="X1504" s="1463"/>
      <c r="Y1504" s="1463"/>
    </row>
    <row r="1505" spans="1:25">
      <c r="A1505" s="2263"/>
      <c r="B1505" s="2263"/>
      <c r="C1505" s="2263"/>
      <c r="D1505" s="2263"/>
      <c r="E1505" s="1462"/>
      <c r="R1505" s="1463"/>
      <c r="S1505" s="1463"/>
      <c r="T1505" s="1463"/>
      <c r="U1505" s="1463"/>
      <c r="V1505" s="1463"/>
      <c r="W1505" s="1463"/>
      <c r="X1505" s="1463"/>
      <c r="Y1505" s="1463"/>
    </row>
    <row r="1506" spans="1:25">
      <c r="A1506" s="2263"/>
      <c r="B1506" s="2263"/>
      <c r="C1506" s="2263"/>
      <c r="D1506" s="2263"/>
      <c r="E1506" s="1462"/>
      <c r="R1506" s="1463"/>
      <c r="S1506" s="1463"/>
      <c r="T1506" s="1463"/>
      <c r="U1506" s="1463"/>
      <c r="V1506" s="1463"/>
      <c r="W1506" s="1463"/>
      <c r="X1506" s="1463"/>
      <c r="Y1506" s="1463"/>
    </row>
    <row r="1507" spans="1:25">
      <c r="A1507" s="2263"/>
      <c r="B1507" s="2263"/>
      <c r="C1507" s="2263"/>
      <c r="D1507" s="2263"/>
      <c r="E1507" s="1462"/>
      <c r="R1507" s="1463"/>
      <c r="S1507" s="1463"/>
      <c r="T1507" s="1463"/>
      <c r="U1507" s="1463"/>
      <c r="V1507" s="1463"/>
      <c r="W1507" s="1463"/>
      <c r="X1507" s="1463"/>
      <c r="Y1507" s="1463"/>
    </row>
    <row r="1508" spans="1:25">
      <c r="A1508" s="2263"/>
      <c r="B1508" s="2263"/>
      <c r="C1508" s="2263"/>
      <c r="D1508" s="2263"/>
      <c r="E1508" s="1462"/>
      <c r="R1508" s="1463"/>
      <c r="S1508" s="1463"/>
      <c r="T1508" s="1463"/>
      <c r="U1508" s="1463"/>
      <c r="V1508" s="1463"/>
      <c r="W1508" s="1463"/>
      <c r="X1508" s="1463"/>
      <c r="Y1508" s="1463"/>
    </row>
    <row r="1509" spans="1:25">
      <c r="A1509" s="2263"/>
      <c r="B1509" s="2263"/>
      <c r="C1509" s="2263"/>
      <c r="D1509" s="2263"/>
      <c r="E1509" s="1462"/>
      <c r="R1509" s="1463"/>
      <c r="S1509" s="1463"/>
      <c r="T1509" s="1463"/>
      <c r="U1509" s="1463"/>
      <c r="V1509" s="1463"/>
      <c r="W1509" s="1463"/>
      <c r="X1509" s="1463"/>
      <c r="Y1509" s="1463"/>
    </row>
    <row r="1510" spans="1:25">
      <c r="A1510" s="2263"/>
      <c r="B1510" s="2263"/>
      <c r="C1510" s="2263"/>
      <c r="D1510" s="2263"/>
      <c r="E1510" s="1462"/>
      <c r="R1510" s="1463"/>
      <c r="S1510" s="1463"/>
      <c r="T1510" s="1463"/>
      <c r="U1510" s="1463"/>
      <c r="V1510" s="1463"/>
      <c r="W1510" s="1463"/>
      <c r="X1510" s="1463"/>
      <c r="Y1510" s="1463"/>
    </row>
    <row r="1511" spans="1:25">
      <c r="A1511" s="2263"/>
      <c r="B1511" s="2263"/>
      <c r="C1511" s="2263"/>
      <c r="D1511" s="2263"/>
      <c r="E1511" s="1462"/>
      <c r="R1511" s="1463"/>
      <c r="S1511" s="1463"/>
      <c r="T1511" s="1463"/>
      <c r="U1511" s="1463"/>
      <c r="V1511" s="1463"/>
      <c r="W1511" s="1463"/>
      <c r="X1511" s="1463"/>
      <c r="Y1511" s="1463"/>
    </row>
    <row r="1512" spans="1:25">
      <c r="A1512" s="2263"/>
      <c r="B1512" s="2263"/>
      <c r="C1512" s="2263"/>
      <c r="D1512" s="2263"/>
      <c r="E1512" s="1462"/>
      <c r="R1512" s="1463"/>
      <c r="S1512" s="1463"/>
      <c r="T1512" s="1463"/>
      <c r="U1512" s="1463"/>
      <c r="V1512" s="1463"/>
      <c r="W1512" s="1463"/>
      <c r="X1512" s="1463"/>
      <c r="Y1512" s="1463"/>
    </row>
    <row r="1513" spans="1:25">
      <c r="A1513" s="2263"/>
      <c r="B1513" s="2263"/>
      <c r="C1513" s="2263"/>
      <c r="D1513" s="2263"/>
      <c r="E1513" s="1462"/>
      <c r="R1513" s="1463"/>
      <c r="S1513" s="1463"/>
      <c r="T1513" s="1463"/>
      <c r="U1513" s="1463"/>
      <c r="V1513" s="1463"/>
      <c r="W1513" s="1463"/>
      <c r="X1513" s="1463"/>
      <c r="Y1513" s="1463"/>
    </row>
    <row r="1514" spans="1:25">
      <c r="A1514" s="2263"/>
      <c r="B1514" s="2263"/>
      <c r="C1514" s="2263"/>
      <c r="D1514" s="2263"/>
      <c r="E1514" s="1462"/>
      <c r="R1514" s="1463"/>
      <c r="S1514" s="1463"/>
      <c r="T1514" s="1463"/>
      <c r="U1514" s="1463"/>
      <c r="V1514" s="1463"/>
      <c r="W1514" s="1463"/>
      <c r="X1514" s="1463"/>
      <c r="Y1514" s="1463"/>
    </row>
    <row r="1515" spans="1:25">
      <c r="A1515" s="2263"/>
      <c r="B1515" s="2263"/>
      <c r="C1515" s="2263"/>
      <c r="D1515" s="2263"/>
      <c r="E1515" s="1462"/>
      <c r="R1515" s="1463"/>
      <c r="S1515" s="1463"/>
      <c r="T1515" s="1463"/>
      <c r="U1515" s="1463"/>
      <c r="V1515" s="1463"/>
      <c r="W1515" s="1463"/>
      <c r="X1515" s="1463"/>
      <c r="Y1515" s="1463"/>
    </row>
    <row r="1516" spans="1:25">
      <c r="A1516" s="2263"/>
      <c r="B1516" s="2263"/>
      <c r="C1516" s="2263"/>
      <c r="D1516" s="2263"/>
      <c r="E1516" s="1462"/>
      <c r="R1516" s="1463"/>
      <c r="S1516" s="1463"/>
      <c r="T1516" s="1463"/>
      <c r="U1516" s="1463"/>
      <c r="V1516" s="1463"/>
      <c r="W1516" s="1463"/>
      <c r="X1516" s="1463"/>
      <c r="Y1516" s="1463"/>
    </row>
    <row r="1517" spans="1:25">
      <c r="A1517" s="2263"/>
      <c r="B1517" s="2263"/>
      <c r="C1517" s="2263"/>
      <c r="D1517" s="2263"/>
      <c r="E1517" s="1462"/>
      <c r="R1517" s="1463"/>
      <c r="S1517" s="1463"/>
      <c r="T1517" s="1463"/>
      <c r="U1517" s="1463"/>
      <c r="V1517" s="1463"/>
      <c r="W1517" s="1463"/>
      <c r="X1517" s="1463"/>
      <c r="Y1517" s="1463"/>
    </row>
    <row r="1518" spans="1:25">
      <c r="A1518" s="2263"/>
      <c r="B1518" s="2263"/>
      <c r="C1518" s="2263"/>
      <c r="D1518" s="2263"/>
      <c r="E1518" s="1462"/>
      <c r="R1518" s="1463"/>
      <c r="S1518" s="1463"/>
      <c r="T1518" s="1463"/>
      <c r="U1518" s="1463"/>
      <c r="V1518" s="1463"/>
      <c r="W1518" s="1463"/>
      <c r="X1518" s="1463"/>
      <c r="Y1518" s="1463"/>
    </row>
    <row r="1519" spans="1:25">
      <c r="A1519" s="2263"/>
      <c r="B1519" s="2263"/>
      <c r="C1519" s="2263"/>
      <c r="D1519" s="2263"/>
      <c r="E1519" s="1462"/>
      <c r="R1519" s="1463"/>
      <c r="S1519" s="1463"/>
      <c r="T1519" s="1463"/>
      <c r="U1519" s="1463"/>
      <c r="V1519" s="1463"/>
      <c r="W1519" s="1463"/>
      <c r="X1519" s="1463"/>
      <c r="Y1519" s="1463"/>
    </row>
    <row r="1520" spans="1:25">
      <c r="A1520" s="2263"/>
      <c r="B1520" s="2263"/>
      <c r="C1520" s="2263"/>
      <c r="D1520" s="2263"/>
      <c r="E1520" s="1462"/>
      <c r="R1520" s="1463"/>
      <c r="S1520" s="1463"/>
      <c r="T1520" s="1463"/>
      <c r="U1520" s="1463"/>
      <c r="V1520" s="1463"/>
      <c r="W1520" s="1463"/>
      <c r="X1520" s="1463"/>
      <c r="Y1520" s="1463"/>
    </row>
    <row r="1521" spans="1:25">
      <c r="A1521" s="2263"/>
      <c r="B1521" s="2263"/>
      <c r="C1521" s="2263"/>
      <c r="D1521" s="2263"/>
      <c r="E1521" s="1462"/>
      <c r="R1521" s="1463"/>
      <c r="S1521" s="1463"/>
      <c r="T1521" s="1463"/>
      <c r="U1521" s="1463"/>
      <c r="V1521" s="1463"/>
      <c r="W1521" s="1463"/>
      <c r="X1521" s="1463"/>
      <c r="Y1521" s="1463"/>
    </row>
    <row r="1522" spans="1:25">
      <c r="A1522" s="2263"/>
      <c r="B1522" s="2263"/>
      <c r="C1522" s="2263"/>
      <c r="D1522" s="2263"/>
      <c r="E1522" s="1462"/>
      <c r="R1522" s="1463"/>
      <c r="S1522" s="1463"/>
      <c r="T1522" s="1463"/>
      <c r="U1522" s="1463"/>
      <c r="V1522" s="1463"/>
      <c r="W1522" s="1463"/>
      <c r="X1522" s="1463"/>
      <c r="Y1522" s="1463"/>
    </row>
    <row r="1523" spans="1:25">
      <c r="A1523" s="2263"/>
      <c r="B1523" s="2263"/>
      <c r="C1523" s="2263"/>
      <c r="D1523" s="2263"/>
      <c r="E1523" s="1462"/>
      <c r="R1523" s="1463"/>
      <c r="S1523" s="1463"/>
      <c r="T1523" s="1463"/>
      <c r="U1523" s="1463"/>
      <c r="V1523" s="1463"/>
      <c r="W1523" s="1463"/>
      <c r="X1523" s="1463"/>
      <c r="Y1523" s="1463"/>
    </row>
    <row r="1524" spans="1:25">
      <c r="A1524" s="2263"/>
      <c r="B1524" s="2263"/>
      <c r="C1524" s="2263"/>
      <c r="D1524" s="2263"/>
      <c r="E1524" s="1462"/>
      <c r="R1524" s="1463"/>
      <c r="S1524" s="1463"/>
      <c r="T1524" s="1463"/>
      <c r="U1524" s="1463"/>
      <c r="V1524" s="1463"/>
      <c r="W1524" s="1463"/>
      <c r="X1524" s="1463"/>
      <c r="Y1524" s="1463"/>
    </row>
    <row r="1525" spans="1:25">
      <c r="A1525" s="2263"/>
      <c r="B1525" s="2263"/>
      <c r="C1525" s="2263"/>
      <c r="D1525" s="2263"/>
      <c r="E1525" s="1462"/>
      <c r="R1525" s="1463"/>
      <c r="S1525" s="1463"/>
      <c r="T1525" s="1463"/>
      <c r="U1525" s="1463"/>
      <c r="V1525" s="1463"/>
      <c r="W1525" s="1463"/>
      <c r="X1525" s="1463"/>
      <c r="Y1525" s="1463"/>
    </row>
    <row r="1526" spans="1:25">
      <c r="A1526" s="2263"/>
      <c r="B1526" s="2263"/>
      <c r="C1526" s="2263"/>
      <c r="D1526" s="2263"/>
      <c r="E1526" s="1462"/>
      <c r="R1526" s="1463"/>
      <c r="S1526" s="1463"/>
      <c r="T1526" s="1463"/>
      <c r="U1526" s="1463"/>
      <c r="V1526" s="1463"/>
      <c r="W1526" s="1463"/>
      <c r="X1526" s="1463"/>
      <c r="Y1526" s="1463"/>
    </row>
    <row r="1527" spans="1:25">
      <c r="E1527" s="1462"/>
      <c r="R1527" s="1463"/>
      <c r="S1527" s="1463"/>
      <c r="T1527" s="1463"/>
      <c r="U1527" s="1463"/>
      <c r="V1527" s="1463"/>
      <c r="W1527" s="1463"/>
      <c r="X1527" s="1463"/>
      <c r="Y1527" s="1463"/>
    </row>
    <row r="1528" spans="1:25">
      <c r="E1528" s="1462"/>
      <c r="R1528" s="1463"/>
      <c r="S1528" s="1463"/>
      <c r="T1528" s="1463"/>
      <c r="U1528" s="1463"/>
      <c r="V1528" s="1463"/>
      <c r="W1528" s="1463"/>
      <c r="X1528" s="1463"/>
      <c r="Y1528" s="1463"/>
    </row>
  </sheetData>
  <mergeCells count="23">
    <mergeCell ref="A85:B85"/>
    <mergeCell ref="C85:D85"/>
    <mergeCell ref="C8:D8"/>
    <mergeCell ref="A14:B14"/>
    <mergeCell ref="A30:B30"/>
    <mergeCell ref="C11:D11"/>
    <mergeCell ref="C13:D13"/>
    <mergeCell ref="C30:D30"/>
    <mergeCell ref="C53:D53"/>
    <mergeCell ref="A79:B79"/>
    <mergeCell ref="A73:B73"/>
    <mergeCell ref="C79:D79"/>
    <mergeCell ref="A67:B67"/>
    <mergeCell ref="A52:B52"/>
    <mergeCell ref="C67:D67"/>
    <mergeCell ref="C73:D73"/>
    <mergeCell ref="A38:B38"/>
    <mergeCell ref="A45:B45"/>
    <mergeCell ref="C60:D60"/>
    <mergeCell ref="C31:D31"/>
    <mergeCell ref="C38:D38"/>
    <mergeCell ref="C45:D45"/>
    <mergeCell ref="C52:D52"/>
  </mergeCells>
  <phoneticPr fontId="5" type="noConversion"/>
  <dataValidations count="2">
    <dataValidation type="whole" allowBlank="1" showInputMessage="1" showErrorMessage="1" sqref="B18:B19 B24:B25">
      <formula1>0</formula1>
      <formula2>9999</formula2>
    </dataValidation>
    <dataValidation type="list" allowBlank="1" showInputMessage="1" showErrorMessage="1" sqref="B5">
      <formula1>$P$4:$P$338</formula1>
    </dataValidation>
  </dataValidations>
  <hyperlinks>
    <hyperlink ref="C6" location="_ftn1" display="¹  Grade in terms of the Remuneration of Public Office Bearers Act."/>
    <hyperlink ref="B10" r:id="rId1"/>
    <hyperlink ref="B12" r:id="rId2"/>
    <hyperlink ref="D36" r:id="rId3"/>
    <hyperlink ref="B65" r:id="rId4" display="felixl@cederbergraad.co.za"/>
    <hyperlink ref="B43" r:id="rId5"/>
    <hyperlink ref="B58" r:id="rId6"/>
    <hyperlink ref="B72" r:id="rId7"/>
    <hyperlink ref="D58" r:id="rId8"/>
    <hyperlink ref="D65" r:id="rId9"/>
    <hyperlink ref="B84" r:id="rId10"/>
    <hyperlink ref="D84" r:id="rId11"/>
    <hyperlink ref="D78" r:id="rId12"/>
    <hyperlink ref="B78" r:id="rId13"/>
    <hyperlink ref="D72" r:id="rId14"/>
    <hyperlink ref="B36" r:id="rId15"/>
    <hyperlink ref="D43" r:id="rId16"/>
    <hyperlink ref="B90" r:id="rId17"/>
  </hyperlinks>
  <pageMargins left="0.25" right="0.27" top="1" bottom="1" header="0.5" footer="0.5"/>
  <headerFooter alignWithMargins="0"/>
  <rowBreaks count="1" manualBreakCount="1">
    <brk id="65" max="3" man="1"/>
  </rowBreaks>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enableFormatConditionsCalculation="0">
    <tabColor indexed="42"/>
  </sheetPr>
  <dimension ref="A1:M80"/>
  <sheetViews>
    <sheetView showGridLines="0" workbookViewId="0">
      <pane xSplit="3" ySplit="4" topLeftCell="E20" activePane="bottomRight" state="frozen"/>
      <selection pane="topRight"/>
      <selection pane="bottomLeft"/>
      <selection pane="bottomRight" activeCell="E29" sqref="E29"/>
    </sheetView>
  </sheetViews>
  <sheetFormatPr baseColWidth="10" defaultColWidth="8.83203125" defaultRowHeight="10" x14ac:dyDescent="0"/>
  <cols>
    <col min="1" max="1" width="26.5" style="149" customWidth="1"/>
    <col min="2" max="2" width="4.6640625" style="972" customWidth="1"/>
    <col min="3" max="3" width="26.5" style="149" customWidth="1"/>
    <col min="4" max="4" width="6.5" style="149" customWidth="1"/>
    <col min="5" max="6" width="26.5" style="149" customWidth="1"/>
    <col min="7" max="7" width="17.6640625" style="149" customWidth="1"/>
    <col min="8" max="13" width="9.33203125" style="149" customWidth="1"/>
    <col min="14" max="14" width="7.5" style="149" bestFit="1" customWidth="1"/>
    <col min="15" max="15" width="9.83203125" style="149" customWidth="1"/>
    <col min="16" max="16" width="9.5" style="149" customWidth="1"/>
    <col min="17" max="17" width="9.83203125" style="149" customWidth="1"/>
    <col min="18" max="20" width="9.5" style="149" customWidth="1"/>
    <col min="21" max="21" width="9.83203125" style="149" customWidth="1"/>
    <col min="22" max="24" width="9.5" style="149" customWidth="1"/>
    <col min="25" max="26" width="9.83203125" style="149" customWidth="1"/>
    <col min="27" max="16384" width="8.83203125" style="149"/>
  </cols>
  <sheetData>
    <row r="1" spans="1:13" ht="13.5" customHeight="1">
      <c r="A1" s="147" t="str">
        <f>muni&amp;" - "&amp;TableA37</f>
        <v>NW373 Rustenburg - Supporting Table SA37 Consolidated projects delayed from previous financial year/s</v>
      </c>
      <c r="B1" s="2158"/>
      <c r="C1" s="147"/>
      <c r="D1" s="147"/>
      <c r="E1" s="147"/>
      <c r="F1" s="147"/>
      <c r="G1" s="147"/>
      <c r="H1" s="147"/>
      <c r="I1" s="147"/>
      <c r="J1" s="147"/>
      <c r="K1" s="147"/>
      <c r="L1" s="147"/>
      <c r="M1" s="147"/>
    </row>
    <row r="2" spans="1:13" ht="23.25" customHeight="1">
      <c r="A2" s="2829" t="s">
        <v>968</v>
      </c>
      <c r="B2" s="2159" t="s">
        <v>2003</v>
      </c>
      <c r="C2" s="2832" t="s">
        <v>1362</v>
      </c>
      <c r="D2" s="2812" t="s">
        <v>1363</v>
      </c>
      <c r="E2" s="2812" t="s">
        <v>2077</v>
      </c>
      <c r="F2" s="2825" t="s">
        <v>2076</v>
      </c>
      <c r="G2" s="2798" t="s">
        <v>2079</v>
      </c>
      <c r="H2" s="2825" t="str">
        <f>Head47</f>
        <v>Previous target year to complete</v>
      </c>
      <c r="I2" s="2818" t="str">
        <f>Head2</f>
        <v>Current Year 2012/13</v>
      </c>
      <c r="J2" s="2763"/>
      <c r="K2" s="2762" t="str">
        <f>Head3</f>
        <v>2013/14 Medium Term Revenue &amp; Expenditure Framework</v>
      </c>
      <c r="L2" s="2763"/>
      <c r="M2" s="2764"/>
    </row>
    <row r="3" spans="1:13" ht="20">
      <c r="A3" s="2830"/>
      <c r="B3" s="2174" t="s">
        <v>1955</v>
      </c>
      <c r="C3" s="2833"/>
      <c r="D3" s="2835" t="s">
        <v>1801</v>
      </c>
      <c r="E3" s="2835"/>
      <c r="F3" s="2831"/>
      <c r="G3" s="2837"/>
      <c r="H3" s="2831"/>
      <c r="I3" s="660" t="str">
        <f>Head6</f>
        <v>Original Budget</v>
      </c>
      <c r="J3" s="961" t="str">
        <f>Head8</f>
        <v>Full Year Forecast</v>
      </c>
      <c r="K3" s="151" t="str">
        <f>Head9</f>
        <v>Budget Year 2013/14</v>
      </c>
      <c r="L3" s="152" t="str">
        <f>Head10</f>
        <v>Budget Year +1 2014/15</v>
      </c>
      <c r="M3" s="153" t="str">
        <f>Head11</f>
        <v>Budget Year +2 2015/16</v>
      </c>
    </row>
    <row r="4" spans="1:13" ht="11.25" customHeight="1">
      <c r="A4" s="180" t="s">
        <v>667</v>
      </c>
      <c r="B4" s="2160"/>
      <c r="C4" s="2834"/>
      <c r="D4" s="2813" t="s">
        <v>1020</v>
      </c>
      <c r="E4" s="2813"/>
      <c r="F4" s="2836"/>
      <c r="G4" s="2799"/>
      <c r="H4" s="2312" t="s">
        <v>305</v>
      </c>
      <c r="I4" s="138"/>
      <c r="J4" s="139"/>
      <c r="K4" s="155"/>
      <c r="L4" s="138"/>
      <c r="M4" s="156"/>
    </row>
    <row r="5" spans="1:13" ht="11.25" customHeight="1">
      <c r="A5" s="946" t="s">
        <v>1491</v>
      </c>
      <c r="B5" s="2161"/>
      <c r="C5" s="2151"/>
      <c r="D5" s="949"/>
      <c r="E5" s="950"/>
      <c r="F5" s="951"/>
      <c r="G5" s="2307"/>
      <c r="H5" s="962"/>
      <c r="I5" s="936"/>
      <c r="J5" s="963"/>
      <c r="K5" s="964"/>
      <c r="L5" s="936"/>
      <c r="M5" s="965"/>
    </row>
    <row r="6" spans="1:13" ht="11.25" customHeight="1">
      <c r="A6" s="371" t="s">
        <v>1067</v>
      </c>
      <c r="B6" s="2162"/>
      <c r="C6" s="2152"/>
      <c r="D6" s="954"/>
      <c r="E6" s="955" t="s">
        <v>969</v>
      </c>
      <c r="F6" s="956" t="s">
        <v>969</v>
      </c>
      <c r="G6" s="2309"/>
      <c r="H6" s="966"/>
      <c r="I6" s="967"/>
      <c r="J6" s="968"/>
      <c r="K6" s="969"/>
      <c r="L6" s="967"/>
      <c r="M6" s="970"/>
    </row>
    <row r="7" spans="1:13" ht="11.25" customHeight="1">
      <c r="A7" s="371"/>
      <c r="B7" s="2162"/>
      <c r="C7" s="2152"/>
      <c r="D7" s="954"/>
      <c r="E7" s="955"/>
      <c r="F7" s="956"/>
      <c r="G7" s="2309"/>
      <c r="H7" s="966"/>
      <c r="I7" s="967"/>
      <c r="J7" s="968"/>
      <c r="K7" s="969"/>
      <c r="L7" s="967"/>
      <c r="M7" s="970"/>
    </row>
    <row r="8" spans="1:13" ht="11.25" customHeight="1">
      <c r="A8" s="1969"/>
      <c r="B8" s="2163"/>
      <c r="C8" s="2153"/>
      <c r="D8" s="1934"/>
      <c r="E8" s="1963"/>
      <c r="F8" s="1964"/>
      <c r="G8" s="2310"/>
      <c r="H8" s="1970"/>
      <c r="I8" s="1950"/>
      <c r="J8" s="1971"/>
      <c r="K8" s="1952"/>
      <c r="L8" s="1950"/>
      <c r="M8" s="1953"/>
    </row>
    <row r="9" spans="1:13" ht="11.25" customHeight="1">
      <c r="A9" s="1904"/>
      <c r="B9" s="2164"/>
      <c r="C9" s="2154"/>
      <c r="D9" s="1933"/>
      <c r="E9" s="1963"/>
      <c r="F9" s="1964"/>
      <c r="G9" s="2310"/>
      <c r="H9" s="1871"/>
      <c r="I9" s="1615"/>
      <c r="J9" s="1616"/>
      <c r="K9" s="1636"/>
      <c r="L9" s="1615"/>
      <c r="M9" s="1635"/>
    </row>
    <row r="10" spans="1:13" ht="11.25" customHeight="1">
      <c r="A10" s="1904"/>
      <c r="B10" s="2164"/>
      <c r="C10" s="2154"/>
      <c r="D10" s="1933"/>
      <c r="E10" s="1963"/>
      <c r="F10" s="1964"/>
      <c r="G10" s="2518"/>
      <c r="H10" s="1871"/>
      <c r="I10" s="1615"/>
      <c r="J10" s="1616"/>
      <c r="K10" s="1636"/>
      <c r="L10" s="1615"/>
      <c r="M10" s="1635"/>
    </row>
    <row r="11" spans="1:13" ht="11.25" customHeight="1">
      <c r="A11" s="1969"/>
      <c r="B11" s="2163"/>
      <c r="C11" s="2154"/>
      <c r="D11" s="1933"/>
      <c r="E11" s="1963"/>
      <c r="F11" s="1964"/>
      <c r="G11" s="2310"/>
      <c r="H11" s="1871"/>
      <c r="I11" s="1615"/>
      <c r="J11" s="1616"/>
      <c r="K11" s="1636"/>
      <c r="L11" s="1615"/>
      <c r="M11" s="1635"/>
    </row>
    <row r="12" spans="1:13" ht="11.25" customHeight="1">
      <c r="A12" s="1904"/>
      <c r="B12" s="2164"/>
      <c r="C12" s="2154"/>
      <c r="D12" s="1933"/>
      <c r="E12" s="1963"/>
      <c r="F12" s="1964"/>
      <c r="G12" s="2310"/>
      <c r="H12" s="1871"/>
      <c r="I12" s="1615"/>
      <c r="J12" s="1972"/>
      <c r="K12" s="1636"/>
      <c r="L12" s="1615"/>
      <c r="M12" s="1635"/>
    </row>
    <row r="13" spans="1:13" ht="11.25" customHeight="1">
      <c r="A13" s="1904"/>
      <c r="B13" s="2164"/>
      <c r="C13" s="2154"/>
      <c r="D13" s="1933"/>
      <c r="E13" s="1963"/>
      <c r="F13" s="1964"/>
      <c r="G13" s="2310"/>
      <c r="H13" s="1871"/>
      <c r="I13" s="1615"/>
      <c r="J13" s="1616"/>
      <c r="K13" s="1636"/>
      <c r="L13" s="1615"/>
      <c r="M13" s="1635"/>
    </row>
    <row r="14" spans="1:13" ht="11.25" customHeight="1">
      <c r="A14" s="1973"/>
      <c r="B14" s="2165"/>
      <c r="C14" s="2155"/>
      <c r="D14" s="1974"/>
      <c r="E14" s="2149"/>
      <c r="F14" s="2305"/>
      <c r="G14" s="2313"/>
      <c r="H14" s="1975"/>
      <c r="I14" s="1656"/>
      <c r="J14" s="1976"/>
      <c r="K14" s="1658"/>
      <c r="L14" s="1656"/>
      <c r="M14" s="1657"/>
    </row>
    <row r="15" spans="1:13" ht="11.25" customHeight="1">
      <c r="A15" s="265" t="s">
        <v>16</v>
      </c>
      <c r="B15" s="2166"/>
      <c r="C15" s="2156"/>
      <c r="D15" s="839"/>
      <c r="E15" s="960"/>
      <c r="F15" s="2274"/>
      <c r="G15" s="2314"/>
      <c r="H15" s="621"/>
      <c r="I15" s="207"/>
      <c r="J15" s="558"/>
      <c r="K15" s="251"/>
      <c r="L15" s="207"/>
      <c r="M15" s="264"/>
    </row>
    <row r="16" spans="1:13" ht="11.25" customHeight="1">
      <c r="A16" s="371" t="s">
        <v>1497</v>
      </c>
      <c r="B16" s="2162"/>
      <c r="C16" s="2156"/>
      <c r="D16" s="839"/>
      <c r="E16" s="960"/>
      <c r="F16" s="2274"/>
      <c r="G16" s="2314"/>
      <c r="H16" s="621"/>
      <c r="I16" s="207"/>
      <c r="J16" s="558"/>
      <c r="K16" s="251"/>
      <c r="L16" s="207"/>
      <c r="M16" s="264"/>
    </row>
    <row r="17" spans="1:13" ht="11.25" customHeight="1">
      <c r="A17" s="971"/>
      <c r="B17" s="2167"/>
      <c r="C17" s="2156"/>
      <c r="D17" s="839"/>
      <c r="E17" s="960"/>
      <c r="F17" s="2274"/>
      <c r="G17" s="2314"/>
      <c r="H17" s="621"/>
      <c r="I17" s="207"/>
      <c r="J17" s="558"/>
      <c r="K17" s="251"/>
      <c r="L17" s="207"/>
      <c r="M17" s="264"/>
    </row>
    <row r="18" spans="1:13" ht="11.25" customHeight="1">
      <c r="A18" s="1977" t="s">
        <v>1498</v>
      </c>
      <c r="B18" s="2168"/>
      <c r="C18" s="2154"/>
      <c r="D18" s="1933"/>
      <c r="E18" s="1963"/>
      <c r="F18" s="1964"/>
      <c r="G18" s="2310"/>
      <c r="H18" s="1871"/>
      <c r="I18" s="1615"/>
      <c r="J18" s="1616"/>
      <c r="K18" s="1636"/>
      <c r="L18" s="1615"/>
      <c r="M18" s="1635"/>
    </row>
    <row r="19" spans="1:13" ht="11.25" customHeight="1">
      <c r="A19" s="1931" t="s">
        <v>1362</v>
      </c>
      <c r="B19" s="2169"/>
      <c r="C19" s="2154"/>
      <c r="D19" s="1933"/>
      <c r="E19" s="1963"/>
      <c r="F19" s="1964"/>
      <c r="G19" s="2310"/>
      <c r="H19" s="1871"/>
      <c r="I19" s="1615"/>
      <c r="J19" s="1616"/>
      <c r="K19" s="1636"/>
      <c r="L19" s="1615"/>
      <c r="M19" s="1635"/>
    </row>
    <row r="20" spans="1:13" ht="11.25" customHeight="1">
      <c r="A20" s="1932"/>
      <c r="B20" s="2170"/>
      <c r="C20" s="2154"/>
      <c r="D20" s="1933"/>
      <c r="E20" s="1963"/>
      <c r="F20" s="1964"/>
      <c r="G20" s="2310"/>
      <c r="H20" s="1871"/>
      <c r="I20" s="1615"/>
      <c r="J20" s="1616"/>
      <c r="K20" s="1636"/>
      <c r="L20" s="1615"/>
      <c r="M20" s="1635"/>
    </row>
    <row r="21" spans="1:13" ht="11.25" customHeight="1">
      <c r="A21" s="1904"/>
      <c r="B21" s="2164"/>
      <c r="C21" s="2154"/>
      <c r="D21" s="1933"/>
      <c r="E21" s="1963"/>
      <c r="F21" s="1964"/>
      <c r="G21" s="2310"/>
      <c r="H21" s="1871"/>
      <c r="I21" s="1615"/>
      <c r="J21" s="1616"/>
      <c r="K21" s="1636"/>
      <c r="L21" s="1615"/>
      <c r="M21" s="1635"/>
    </row>
    <row r="22" spans="1:13" ht="11.25" customHeight="1">
      <c r="A22" s="1904"/>
      <c r="B22" s="2164"/>
      <c r="C22" s="2154"/>
      <c r="D22" s="1933"/>
      <c r="E22" s="1963"/>
      <c r="F22" s="1964"/>
      <c r="G22" s="2310"/>
      <c r="H22" s="1871"/>
      <c r="I22" s="1615"/>
      <c r="J22" s="1616"/>
      <c r="K22" s="1636"/>
      <c r="L22" s="1615"/>
      <c r="M22" s="1635"/>
    </row>
    <row r="23" spans="1:13" ht="11.25" customHeight="1">
      <c r="A23" s="1978"/>
      <c r="B23" s="2171"/>
      <c r="C23" s="2157"/>
      <c r="D23" s="1979"/>
      <c r="E23" s="2150"/>
      <c r="F23" s="2306"/>
      <c r="G23" s="2315"/>
      <c r="H23" s="1980"/>
      <c r="I23" s="1689"/>
      <c r="J23" s="1981"/>
      <c r="K23" s="1691"/>
      <c r="L23" s="1689"/>
      <c r="M23" s="1690"/>
    </row>
    <row r="24" spans="1:13" ht="11.25" customHeight="1">
      <c r="A24" s="307" t="str">
        <f>head27a</f>
        <v>References</v>
      </c>
      <c r="B24" s="2172"/>
      <c r="E24" s="246"/>
      <c r="F24" s="246"/>
      <c r="G24" s="246"/>
      <c r="H24" s="246"/>
      <c r="I24" s="246"/>
      <c r="J24" s="246"/>
    </row>
    <row r="25" spans="1:13" ht="11.25" customHeight="1">
      <c r="A25" s="308" t="s">
        <v>1654</v>
      </c>
      <c r="B25" s="2173"/>
    </row>
    <row r="26" spans="1:13" ht="11.25" customHeight="1">
      <c r="A26" s="308" t="s">
        <v>877</v>
      </c>
      <c r="B26" s="2173"/>
    </row>
    <row r="27" spans="1:13" ht="11.25" customHeight="1">
      <c r="A27" s="308" t="s">
        <v>2006</v>
      </c>
      <c r="B27" s="2173"/>
    </row>
    <row r="28" spans="1:13" ht="11.25" customHeight="1">
      <c r="A28" s="149" t="s">
        <v>2078</v>
      </c>
    </row>
    <row r="29" spans="1:13" ht="11.25" customHeight="1"/>
    <row r="30" spans="1:13" ht="11.25" customHeight="1"/>
    <row r="31" spans="1:13" ht="11.25" customHeight="1"/>
    <row r="32" spans="1:13" ht="11.25" customHeight="1"/>
    <row r="33" ht="11.25" customHeight="1"/>
    <row r="34" ht="11.25" customHeight="1"/>
    <row r="35" ht="11.25" customHeight="1"/>
    <row r="36" ht="11.25" customHeight="1"/>
    <row r="37" ht="11.25" customHeight="1"/>
    <row r="40" ht="11.25" customHeight="1"/>
    <row r="41" ht="22.5" customHeight="1"/>
    <row r="44" ht="11.25" customHeight="1"/>
    <row r="45" ht="11.25" customHeight="1"/>
    <row r="46" ht="11.25" customHeight="1"/>
    <row r="47" ht="11.25" customHeight="1"/>
    <row r="48"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sheetData>
  <sheetProtection sheet="1" objects="1" scenarios="1"/>
  <mergeCells count="9">
    <mergeCell ref="A2:A3"/>
    <mergeCell ref="H2:H3"/>
    <mergeCell ref="I2:J2"/>
    <mergeCell ref="K2:M2"/>
    <mergeCell ref="C2:C4"/>
    <mergeCell ref="D2:D4"/>
    <mergeCell ref="F2:F4"/>
    <mergeCell ref="E2:E4"/>
    <mergeCell ref="G2:G4"/>
  </mergeCells>
  <phoneticPr fontId="5" type="noConversion"/>
  <dataValidations count="2">
    <dataValidation type="list" allowBlank="1" showInputMessage="1" showErrorMessage="1" promptTitle="Select Asset Class" prompt="Select asset class from list" sqref="E8:E14 E18:E23">
      <formula1>Asset_Class</formula1>
    </dataValidation>
    <dataValidation type="list" allowBlank="1" showInputMessage="1" showErrorMessage="1" promptTitle="Select Asset Sub-Class" prompt="Select asset sub class from list" sqref="F18:F23 F8:F14">
      <formula1>Asset_sub_class</formula1>
    </dataValidation>
  </dataValidations>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33"/>
    <pageSetUpPr fitToPage="1"/>
  </sheetPr>
  <dimension ref="A1:AK83"/>
  <sheetViews>
    <sheetView workbookViewId="0">
      <pane xSplit="2" ySplit="5" topLeftCell="C33" activePane="bottomRight" state="frozen"/>
      <selection pane="topRight"/>
      <selection pane="bottomLeft"/>
      <selection pane="bottomRight" sqref="A1:M1"/>
    </sheetView>
  </sheetViews>
  <sheetFormatPr baseColWidth="10" defaultColWidth="8.83203125" defaultRowHeight="10" x14ac:dyDescent="0"/>
  <cols>
    <col min="1" max="1" width="40.6640625" style="2" customWidth="1"/>
    <col min="2" max="2" width="3.5" style="2" customWidth="1"/>
    <col min="3" max="3" width="9.1640625" style="2" hidden="1" customWidth="1"/>
    <col min="4" max="16384" width="8.83203125" style="2"/>
  </cols>
  <sheetData>
    <row r="1" spans="1:37" ht="12">
      <c r="A1" s="2838" t="str">
        <f>"Financial summary for the " &amp;muni&amp; "eThekwini"</f>
        <v>Financial summary for the NW373 RustenburgeThekwini</v>
      </c>
      <c r="B1" s="2839"/>
      <c r="C1" s="2839"/>
      <c r="D1" s="2839"/>
      <c r="E1" s="2839"/>
      <c r="F1" s="2839"/>
      <c r="G1" s="2839"/>
      <c r="H1" s="2839"/>
      <c r="I1" s="2839"/>
      <c r="J1" s="2839"/>
      <c r="K1" s="2839"/>
      <c r="L1" s="2839"/>
      <c r="M1" s="2840"/>
      <c r="N1"/>
      <c r="O1"/>
      <c r="P1"/>
      <c r="Q1"/>
      <c r="R1"/>
      <c r="S1"/>
      <c r="T1"/>
      <c r="U1"/>
      <c r="V1"/>
      <c r="W1"/>
      <c r="X1"/>
      <c r="Y1"/>
    </row>
    <row r="2" spans="1:37" ht="13" thickBot="1">
      <c r="A2" s="121" t="str">
        <f>muni&amp;SFPerf2</f>
        <v>NW373 RustenburgForecast Financial Performance</v>
      </c>
      <c r="B2" s="122"/>
      <c r="C2" s="122"/>
      <c r="D2" s="122"/>
      <c r="E2" s="122"/>
      <c r="F2" s="122"/>
      <c r="G2" s="122"/>
      <c r="H2" s="122"/>
      <c r="I2" s="122"/>
      <c r="J2" s="122"/>
      <c r="K2" s="122"/>
      <c r="L2" s="122"/>
      <c r="M2" s="122"/>
      <c r="N2"/>
      <c r="O2"/>
      <c r="P2"/>
      <c r="Q2"/>
      <c r="R2"/>
      <c r="S2"/>
      <c r="T2"/>
      <c r="U2"/>
      <c r="V2"/>
      <c r="W2"/>
      <c r="X2"/>
      <c r="Y2"/>
      <c r="Z2"/>
      <c r="AA2"/>
      <c r="AB2"/>
      <c r="AC2"/>
      <c r="AD2"/>
      <c r="AE2"/>
      <c r="AF2"/>
      <c r="AG2"/>
      <c r="AH2"/>
      <c r="AI2"/>
      <c r="AJ2"/>
      <c r="AK2"/>
    </row>
    <row r="3" spans="1:37" ht="22.5" customHeight="1">
      <c r="A3" s="2841" t="str">
        <f>desc</f>
        <v>Description</v>
      </c>
      <c r="B3" s="2841" t="str">
        <f>head27</f>
        <v>Ref</v>
      </c>
      <c r="C3" s="36"/>
      <c r="D3" s="35" t="str">
        <f>head1b</f>
        <v>2009/10</v>
      </c>
      <c r="E3" s="35" t="str">
        <f>head1A</f>
        <v>2010/11</v>
      </c>
      <c r="F3" s="35" t="str">
        <f>Head1</f>
        <v>2011/12</v>
      </c>
      <c r="G3" s="2844" t="str">
        <f>Head2</f>
        <v>Current Year 2012/13</v>
      </c>
      <c r="H3" s="2845"/>
      <c r="I3" s="2845"/>
      <c r="J3" s="995"/>
      <c r="K3" s="2846" t="str">
        <f>Head3</f>
        <v>2013/14 Medium Term Revenue &amp; Expenditure Framework</v>
      </c>
      <c r="L3" s="2847"/>
      <c r="M3" s="2848"/>
      <c r="N3"/>
      <c r="O3"/>
      <c r="P3"/>
      <c r="Q3"/>
      <c r="R3"/>
      <c r="S3"/>
      <c r="T3"/>
      <c r="U3"/>
      <c r="V3"/>
      <c r="W3"/>
      <c r="X3"/>
      <c r="Y3"/>
    </row>
    <row r="4" spans="1:37" ht="30">
      <c r="A4" s="2842"/>
      <c r="B4" s="2842"/>
      <c r="C4" s="61"/>
      <c r="D4" s="34" t="str">
        <f>Head5</f>
        <v>Audited Outcome</v>
      </c>
      <c r="E4" s="34" t="str">
        <f>Head5</f>
        <v>Audited Outcome</v>
      </c>
      <c r="F4" s="34" t="str">
        <f>Head5</f>
        <v>Audited Outcome</v>
      </c>
      <c r="G4" s="34" t="str">
        <f>Head6</f>
        <v>Original Budget</v>
      </c>
      <c r="H4" s="34" t="str">
        <f>Head7</f>
        <v>Adjusted Budget</v>
      </c>
      <c r="I4" s="39" t="str">
        <f>Head8</f>
        <v>Full Year Forecast</v>
      </c>
      <c r="J4" s="39"/>
      <c r="K4" s="27" t="str">
        <f>Head9</f>
        <v>Budget Year 2013/14</v>
      </c>
      <c r="L4" s="26" t="str">
        <f>Head10</f>
        <v>Budget Year +1 2014/15</v>
      </c>
      <c r="M4" s="28" t="str">
        <f>Head11</f>
        <v>Budget Year +2 2015/16</v>
      </c>
      <c r="N4"/>
      <c r="O4"/>
      <c r="P4"/>
      <c r="Q4"/>
      <c r="R4"/>
      <c r="S4"/>
      <c r="T4"/>
      <c r="U4"/>
      <c r="V4"/>
      <c r="W4"/>
      <c r="X4"/>
      <c r="Y4"/>
    </row>
    <row r="5" spans="1:37" ht="12">
      <c r="A5" s="2843"/>
      <c r="B5" s="33">
        <v>1</v>
      </c>
      <c r="C5" s="33"/>
      <c r="D5" s="30" t="s">
        <v>1020</v>
      </c>
      <c r="E5" s="30" t="s">
        <v>1020</v>
      </c>
      <c r="F5" s="30" t="s">
        <v>1020</v>
      </c>
      <c r="G5" s="30" t="s">
        <v>1020</v>
      </c>
      <c r="H5" s="30" t="s">
        <v>1020</v>
      </c>
      <c r="I5" s="31" t="s">
        <v>1020</v>
      </c>
      <c r="J5" s="31"/>
      <c r="K5" s="29" t="s">
        <v>1020</v>
      </c>
      <c r="L5" s="30" t="s">
        <v>1020</v>
      </c>
      <c r="M5" s="32" t="s">
        <v>1020</v>
      </c>
      <c r="N5"/>
      <c r="O5"/>
      <c r="P5"/>
      <c r="Q5"/>
      <c r="R5"/>
      <c r="S5"/>
      <c r="T5"/>
      <c r="U5"/>
      <c r="V5"/>
      <c r="W5"/>
      <c r="X5"/>
      <c r="Y5"/>
    </row>
    <row r="6" spans="1:37" ht="12">
      <c r="A6" s="15" t="s">
        <v>1814</v>
      </c>
      <c r="B6" s="13"/>
      <c r="C6" s="13"/>
      <c r="D6" s="1037" t="s">
        <v>1693</v>
      </c>
      <c r="E6" s="72"/>
      <c r="F6" s="72"/>
      <c r="G6" s="72"/>
      <c r="H6" s="72"/>
      <c r="I6" s="73"/>
      <c r="J6" s="1010"/>
      <c r="K6" s="74"/>
      <c r="L6" s="72"/>
      <c r="M6" s="75"/>
      <c r="N6"/>
      <c r="O6"/>
      <c r="P6"/>
      <c r="Q6"/>
      <c r="R6"/>
      <c r="S6"/>
      <c r="T6"/>
      <c r="U6"/>
      <c r="V6"/>
      <c r="W6"/>
      <c r="X6"/>
      <c r="Y6"/>
    </row>
    <row r="7" spans="1:37" ht="12">
      <c r="A7" s="15" t="s">
        <v>831</v>
      </c>
      <c r="B7" s="13"/>
      <c r="C7" s="13"/>
      <c r="D7" s="76"/>
      <c r="E7" s="76"/>
      <c r="F7" s="76"/>
      <c r="G7" s="76"/>
      <c r="H7" s="76"/>
      <c r="I7" s="77"/>
      <c r="J7" s="1011"/>
      <c r="K7" s="78"/>
      <c r="L7" s="76"/>
      <c r="M7" s="79"/>
      <c r="N7"/>
      <c r="O7"/>
      <c r="P7"/>
      <c r="Q7"/>
      <c r="R7"/>
      <c r="S7"/>
      <c r="T7"/>
      <c r="U7"/>
      <c r="V7"/>
      <c r="W7"/>
      <c r="X7"/>
      <c r="Y7"/>
    </row>
    <row r="8" spans="1:37" ht="12">
      <c r="A8" s="69" t="s">
        <v>619</v>
      </c>
      <c r="B8" s="13"/>
      <c r="C8" s="13"/>
      <c r="D8" s="80" t="e">
        <f>SUM(D9:D10)</f>
        <v>#REF!</v>
      </c>
      <c r="E8" s="80" t="e">
        <f t="shared" ref="E8:M8" si="0">SUM(E9:E10)</f>
        <v>#REF!</v>
      </c>
      <c r="F8" s="80" t="e">
        <f t="shared" si="0"/>
        <v>#REF!</v>
      </c>
      <c r="G8" s="80" t="e">
        <f t="shared" si="0"/>
        <v>#REF!</v>
      </c>
      <c r="H8" s="80" t="e">
        <f t="shared" si="0"/>
        <v>#REF!</v>
      </c>
      <c r="I8" s="81" t="e">
        <f t="shared" si="0"/>
        <v>#REF!</v>
      </c>
      <c r="J8" s="1012" t="e">
        <f>SUM(J9:J10)</f>
        <v>#REF!</v>
      </c>
      <c r="K8" s="82" t="e">
        <f t="shared" si="0"/>
        <v>#REF!</v>
      </c>
      <c r="L8" s="80" t="e">
        <f t="shared" si="0"/>
        <v>#REF!</v>
      </c>
      <c r="M8" s="83" t="e">
        <f t="shared" si="0"/>
        <v>#REF!</v>
      </c>
      <c r="N8"/>
      <c r="O8"/>
      <c r="P8"/>
      <c r="Q8"/>
      <c r="R8"/>
      <c r="S8"/>
      <c r="T8"/>
      <c r="U8"/>
      <c r="V8"/>
      <c r="W8"/>
      <c r="X8"/>
      <c r="Y8"/>
    </row>
    <row r="9" spans="1:37">
      <c r="A9" s="97" t="str">
        <f>'A4-FinPerf RE'!A5</f>
        <v>Property rates</v>
      </c>
      <c r="B9" s="13"/>
      <c r="C9" s="13"/>
      <c r="D9" s="107">
        <f>IF(ISERROR('A4-FinPerf RE'!C5+'A4-FinPerf RE'!C6+D71),0,('A4-FinPerf RE'!C5+'A4-FinPerf RE'!C6+D71))</f>
        <v>139956469.28</v>
      </c>
      <c r="E9" s="107">
        <f>IF(ISERROR('A4-FinPerf RE'!D5+'A4-FinPerf RE'!D6+E71),0,('A4-FinPerf RE'!D5+'A4-FinPerf RE'!D6+E71))</f>
        <v>154638541</v>
      </c>
      <c r="F9" s="107">
        <f>IF(ISERROR('A4-FinPerf RE'!E5+'A4-FinPerf RE'!E6+F71),0,('A4-FinPerf RE'!E5+'A4-FinPerf RE'!E6+F71))</f>
        <v>162774912</v>
      </c>
      <c r="G9" s="107">
        <f>IF(ISERROR('A4-FinPerf RE'!F5+'A4-FinPerf RE'!F6+G71),0,('A4-FinPerf RE'!F5+'A4-FinPerf RE'!F6+G71))</f>
        <v>183530397</v>
      </c>
      <c r="H9" s="107">
        <f>IF(ISERROR('A4-FinPerf RE'!G5+'A4-FinPerf RE'!G6+H71),0,('A4-FinPerf RE'!G5+'A4-FinPerf RE'!G6+H71))</f>
        <v>166378613</v>
      </c>
      <c r="I9" s="108">
        <f>IF(ISERROR('A4-FinPerf RE'!H5+'A4-FinPerf RE'!H6+I71),0,('A4-FinPerf RE'!H5+'A4-FinPerf RE'!H6+I71))</f>
        <v>166378613</v>
      </c>
      <c r="J9" s="1013">
        <f>IF(ISERROR('A4-FinPerf RE'!I5+'A4-FinPerf RE'!I6+J71),0,('A4-FinPerf RE'!I5+'A4-FinPerf RE'!I6+J71))</f>
        <v>166378613</v>
      </c>
      <c r="K9" s="109">
        <f>IF(ISERROR('A4-FinPerf RE'!J5+'A4-FinPerf RE'!J6+K71),0,('A4-FinPerf RE'!J5+'A4-FinPerf RE'!J6+K71))</f>
        <v>172023233</v>
      </c>
      <c r="L9" s="107">
        <f>IF(ISERROR('A4-FinPerf RE'!K5+'A4-FinPerf RE'!K6+L71),0,('A4-FinPerf RE'!K5+'A4-FinPerf RE'!K6+L71))</f>
        <v>184459279</v>
      </c>
      <c r="M9" s="119">
        <f>IF(ISERROR('A4-FinPerf RE'!L5+'A4-FinPerf RE'!L6+M71),0,('A4-FinPerf RE'!L5+'A4-FinPerf RE'!L6+M71))</f>
        <v>193607568</v>
      </c>
    </row>
    <row r="10" spans="1:37">
      <c r="A10" s="97" t="s">
        <v>1345</v>
      </c>
      <c r="B10" s="13"/>
      <c r="C10" s="13"/>
      <c r="D10" s="113" t="e">
        <f>'SA1'!C33+'SA1'!#REF!</f>
        <v>#REF!</v>
      </c>
      <c r="E10" s="113" t="e">
        <f>'SA1'!D33+'SA1'!#REF!</f>
        <v>#REF!</v>
      </c>
      <c r="F10" s="113" t="e">
        <f>'SA1'!E33+'SA1'!#REF!</f>
        <v>#REF!</v>
      </c>
      <c r="G10" s="113" t="e">
        <f>'SA1'!F33+'SA1'!#REF!</f>
        <v>#REF!</v>
      </c>
      <c r="H10" s="113" t="e">
        <f>'SA1'!G33+'SA1'!#REF!</f>
        <v>#REF!</v>
      </c>
      <c r="I10" s="114" t="e">
        <f>'SA1'!H33+'SA1'!#REF!</f>
        <v>#REF!</v>
      </c>
      <c r="J10" s="1014" t="e">
        <f>'SA1'!I33+'SA1'!#REF!</f>
        <v>#REF!</v>
      </c>
      <c r="K10" s="115" t="e">
        <f>'SA1'!J33+'SA1'!#REF!</f>
        <v>#REF!</v>
      </c>
      <c r="L10" s="113" t="e">
        <f>'SA1'!K33+'SA1'!#REF!</f>
        <v>#REF!</v>
      </c>
      <c r="M10" s="120" t="e">
        <f>'SA1'!L33+'SA1'!#REF!</f>
        <v>#REF!</v>
      </c>
    </row>
    <row r="11" spans="1:37">
      <c r="A11" s="69" t="s">
        <v>620</v>
      </c>
      <c r="B11" s="13"/>
      <c r="C11" s="13"/>
      <c r="D11" s="80" t="e">
        <f>SUM(D12:D14)</f>
        <v>#REF!</v>
      </c>
      <c r="E11" s="80" t="e">
        <f t="shared" ref="E11:M11" si="1">SUM(E12:E14)</f>
        <v>#REF!</v>
      </c>
      <c r="F11" s="80" t="e">
        <f t="shared" si="1"/>
        <v>#REF!</v>
      </c>
      <c r="G11" s="80" t="e">
        <f t="shared" si="1"/>
        <v>#REF!</v>
      </c>
      <c r="H11" s="80" t="e">
        <f t="shared" si="1"/>
        <v>#REF!</v>
      </c>
      <c r="I11" s="81" t="e">
        <f t="shared" si="1"/>
        <v>#REF!</v>
      </c>
      <c r="J11" s="1012" t="e">
        <f>SUM(J12:J14)</f>
        <v>#REF!</v>
      </c>
      <c r="K11" s="82" t="e">
        <f t="shared" si="1"/>
        <v>#REF!</v>
      </c>
      <c r="L11" s="80" t="e">
        <f t="shared" si="1"/>
        <v>#REF!</v>
      </c>
      <c r="M11" s="83" t="e">
        <f t="shared" si="1"/>
        <v>#REF!</v>
      </c>
    </row>
    <row r="12" spans="1:37">
      <c r="A12" s="70" t="s">
        <v>610</v>
      </c>
      <c r="B12" s="10"/>
      <c r="C12" s="6"/>
      <c r="D12" s="84">
        <f>'A4-FinPerf RE'!C17+'A4-FinPerf RE'!C18</f>
        <v>21490883.379999999</v>
      </c>
      <c r="E12" s="84">
        <f>'A4-FinPerf RE'!D17+'A4-FinPerf RE'!D18</f>
        <v>21240390</v>
      </c>
      <c r="F12" s="84">
        <f>'A4-FinPerf RE'!E17+'A4-FinPerf RE'!E18</f>
        <v>16556412</v>
      </c>
      <c r="G12" s="84">
        <f>'A4-FinPerf RE'!F17+'A4-FinPerf RE'!F18</f>
        <v>15375414</v>
      </c>
      <c r="H12" s="84">
        <f>'A4-FinPerf RE'!G17+'A4-FinPerf RE'!G18</f>
        <v>29170252</v>
      </c>
      <c r="I12" s="85">
        <f>'A4-FinPerf RE'!H17+'A4-FinPerf RE'!H18</f>
        <v>29170252</v>
      </c>
      <c r="J12" s="1015">
        <f>'A4-FinPerf RE'!I17+'A4-FinPerf RE'!I18</f>
        <v>29170252</v>
      </c>
      <c r="K12" s="86">
        <f>'A4-FinPerf RE'!J17+'A4-FinPerf RE'!J18</f>
        <v>31757093</v>
      </c>
      <c r="L12" s="84">
        <f>'A4-FinPerf RE'!K17+'A4-FinPerf RE'!K18</f>
        <v>32057967</v>
      </c>
      <c r="M12" s="87">
        <f>'A4-FinPerf RE'!L17+'A4-FinPerf RE'!L18</f>
        <v>33420417</v>
      </c>
    </row>
    <row r="13" spans="1:37">
      <c r="A13" s="70" t="s">
        <v>1815</v>
      </c>
      <c r="B13" s="10"/>
      <c r="C13" s="6"/>
      <c r="D13" s="76">
        <f>IF(ISERROR(SUM('A4-FinPerf RE'!C7:C11)+D72),0,(SUM('A4-FinPerf RE'!C7:C11)+D72))</f>
        <v>1172189290.666667</v>
      </c>
      <c r="E13" s="76">
        <f>IF(ISERROR(SUM('A4-FinPerf RE'!D7:D11)+E72),0,(SUM('A4-FinPerf RE'!D7:D11)+E72))</f>
        <v>1393244904</v>
      </c>
      <c r="F13" s="76">
        <f>IF(ISERROR(SUM('A4-FinPerf RE'!E7:E11)+F72),0,(SUM('A4-FinPerf RE'!E7:E11)+F72))</f>
        <v>1254948963</v>
      </c>
      <c r="G13" s="76">
        <f>IF(ISERROR(SUM('A4-FinPerf RE'!F7:F11)+G72),0,(SUM('A4-FinPerf RE'!F7:F11)+G72))</f>
        <v>2043157912.96</v>
      </c>
      <c r="H13" s="76">
        <f>IF(ISERROR(SUM('A4-FinPerf RE'!G7:G11)+H72),0,(SUM('A4-FinPerf RE'!G7:G11)+H72))</f>
        <v>1983888691</v>
      </c>
      <c r="I13" s="77">
        <f>IF(ISERROR(SUM('A4-FinPerf RE'!H7:H11)+I72),0,(SUM('A4-FinPerf RE'!H7:H11)+I72))</f>
        <v>1983888691</v>
      </c>
      <c r="J13" s="1011">
        <f>IF(ISERROR(SUM('A4-FinPerf RE'!I7:I11)+J72),0,(SUM('A4-FinPerf RE'!I7:I11)+J72))</f>
        <v>1983888691</v>
      </c>
      <c r="K13" s="78">
        <f>IF(ISERROR(SUM('A4-FinPerf RE'!J7:J11)+K72),0,(SUM('A4-FinPerf RE'!J7:J11)+K72))</f>
        <v>1765993118.29</v>
      </c>
      <c r="L13" s="76">
        <f>IF(ISERROR(SUM('A4-FinPerf RE'!K7:K11)+L72),0,(SUM('A4-FinPerf RE'!K7:K11)+L72))</f>
        <v>1937906057.8625</v>
      </c>
      <c r="M13" s="79">
        <f>IF(ISERROR(SUM('A4-FinPerf RE'!L7:L11)+M72),0,(SUM('A4-FinPerf RE'!L7:L11)+M72))</f>
        <v>2154758751.6056252</v>
      </c>
    </row>
    <row r="14" spans="1:37">
      <c r="A14" s="70" t="s">
        <v>1816</v>
      </c>
      <c r="B14" s="10"/>
      <c r="C14" s="6"/>
      <c r="D14" s="76" t="e">
        <f>SUM(D15)</f>
        <v>#REF!</v>
      </c>
      <c r="E14" s="76" t="e">
        <f t="shared" ref="E14:M14" si="2">SUM(E15)</f>
        <v>#REF!</v>
      </c>
      <c r="F14" s="76" t="e">
        <f t="shared" si="2"/>
        <v>#REF!</v>
      </c>
      <c r="G14" s="76" t="e">
        <f t="shared" si="2"/>
        <v>#REF!</v>
      </c>
      <c r="H14" s="76" t="e">
        <f t="shared" si="2"/>
        <v>#REF!</v>
      </c>
      <c r="I14" s="77" t="e">
        <f t="shared" si="2"/>
        <v>#REF!</v>
      </c>
      <c r="J14" s="1011" t="e">
        <f t="shared" si="2"/>
        <v>#REF!</v>
      </c>
      <c r="K14" s="78" t="e">
        <f t="shared" si="2"/>
        <v>#REF!</v>
      </c>
      <c r="L14" s="76" t="e">
        <f t="shared" si="2"/>
        <v>#REF!</v>
      </c>
      <c r="M14" s="79" t="e">
        <f t="shared" si="2"/>
        <v>#REF!</v>
      </c>
    </row>
    <row r="15" spans="1:37">
      <c r="A15" s="71" t="s">
        <v>293</v>
      </c>
      <c r="B15" s="10"/>
      <c r="C15" s="6"/>
      <c r="D15" s="125" t="e">
        <f>'A7-CFlow'!C6+'A7-CFlow'!C20+'A7-CFlow'!C21-NERF!D8-NERF!D12-NERF!D13-NERF!D22-D26</f>
        <v>#REF!</v>
      </c>
      <c r="E15" s="88" t="e">
        <f>'A7-CFlow'!D6+'A7-CFlow'!D20+'A7-CFlow'!D21-NERF!E8-NERF!E12-NERF!E13-NERF!E22-E26</f>
        <v>#REF!</v>
      </c>
      <c r="F15" s="88" t="e">
        <f>'A7-CFlow'!E6+'A7-CFlow'!E20+'A7-CFlow'!E21-NERF!F8-NERF!F12-NERF!F13-NERF!F22-F26</f>
        <v>#REF!</v>
      </c>
      <c r="G15" s="88" t="e">
        <f>'A7-CFlow'!F6+'A7-CFlow'!F20+'A7-CFlow'!F21-NERF!G8-NERF!G12-NERF!G13-NERF!G22-G26-G82</f>
        <v>#REF!</v>
      </c>
      <c r="H15" s="88" t="e">
        <f>'A7-CFlow'!G6+'A7-CFlow'!G20+'A7-CFlow'!G21-NERF!H8-NERF!H12-NERF!H13-NERF!H22-H26-H82</f>
        <v>#REF!</v>
      </c>
      <c r="I15" s="89" t="e">
        <f>'A7-CFlow'!H6+'A7-CFlow'!H20+'A7-CFlow'!H21-NERF!I8-NERF!I12-NERF!I13-NERF!I22-I26-I82</f>
        <v>#REF!</v>
      </c>
      <c r="J15" s="1016" t="e">
        <f>'A7-CFlow'!I6+'A7-CFlow'!I20+'A7-CFlow'!I21-NERF!J8-NERF!J12-NERF!J13-NERF!J22-J26-J82</f>
        <v>#REF!</v>
      </c>
      <c r="K15" s="90" t="e">
        <f>'A7-CFlow'!J6+'A7-CFlow'!J20+'A7-CFlow'!J21-NERF!K8-NERF!K12-NERF!K13-NERF!K22-K26-K82</f>
        <v>#REF!</v>
      </c>
      <c r="L15" s="88" t="e">
        <f>'A7-CFlow'!K6+'A7-CFlow'!K20+'A7-CFlow'!K21-NERF!L8-NERF!L12-NERF!L13-NERF!L22-L26-L82</f>
        <v>#REF!</v>
      </c>
      <c r="M15" s="91" t="e">
        <f>'A7-CFlow'!L6+'A7-CFlow'!L20+'A7-CFlow'!L21-NERF!M8-NERF!M12-NERF!M13-NERF!M22-M26-M82</f>
        <v>#REF!</v>
      </c>
    </row>
    <row r="16" spans="1:37">
      <c r="A16" s="69" t="s">
        <v>1598</v>
      </c>
      <c r="B16" s="10"/>
      <c r="C16" s="6"/>
      <c r="D16" s="100"/>
      <c r="E16" s="88"/>
      <c r="F16" s="88"/>
      <c r="G16" s="88"/>
      <c r="H16" s="88"/>
      <c r="I16" s="89"/>
      <c r="J16" s="1016"/>
      <c r="K16" s="90"/>
      <c r="L16" s="88"/>
      <c r="M16" s="91"/>
    </row>
    <row r="17" spans="1:13">
      <c r="A17" s="69" t="s">
        <v>603</v>
      </c>
      <c r="B17" s="13"/>
      <c r="C17" s="13"/>
      <c r="D17" s="80">
        <f>SUM(D18:D21)</f>
        <v>445785691</v>
      </c>
      <c r="E17" s="80">
        <f t="shared" ref="E17:M17" si="3">SUM(E18:E21)</f>
        <v>447976591</v>
      </c>
      <c r="F17" s="80">
        <f t="shared" si="3"/>
        <v>325922429</v>
      </c>
      <c r="G17" s="80">
        <f t="shared" si="3"/>
        <v>804180086</v>
      </c>
      <c r="H17" s="80">
        <f t="shared" si="3"/>
        <v>912060248</v>
      </c>
      <c r="I17" s="81">
        <f t="shared" si="3"/>
        <v>912060248</v>
      </c>
      <c r="J17" s="1012">
        <f>SUM(J18:J21)</f>
        <v>912060248</v>
      </c>
      <c r="K17" s="82">
        <f t="shared" si="3"/>
        <v>1036140300</v>
      </c>
      <c r="L17" s="80">
        <f t="shared" si="3"/>
        <v>1180500720</v>
      </c>
      <c r="M17" s="83">
        <f t="shared" si="3"/>
        <v>1317183249</v>
      </c>
    </row>
    <row r="18" spans="1:13">
      <c r="A18" s="97" t="s">
        <v>1597</v>
      </c>
      <c r="B18" s="10"/>
      <c r="C18" s="6"/>
      <c r="D18" s="107">
        <f>'A7-CFlow'!C7</f>
        <v>445785691</v>
      </c>
      <c r="E18" s="107">
        <f>'A7-CFlow'!D7</f>
        <v>447976591</v>
      </c>
      <c r="F18" s="107">
        <f>'A7-CFlow'!E7</f>
        <v>325922429</v>
      </c>
      <c r="G18" s="107">
        <f>'A7-CFlow'!F7</f>
        <v>282915139</v>
      </c>
      <c r="H18" s="107">
        <f>'A7-CFlow'!G7</f>
        <v>286301689</v>
      </c>
      <c r="I18" s="108">
        <f>'A7-CFlow'!H7</f>
        <v>286301689</v>
      </c>
      <c r="J18" s="1013">
        <f>'A7-CFlow'!I7</f>
        <v>286301689</v>
      </c>
      <c r="K18" s="109">
        <f>'A7-CFlow'!J7</f>
        <v>341879800</v>
      </c>
      <c r="L18" s="107">
        <f>'A7-CFlow'!K7</f>
        <v>368423220</v>
      </c>
      <c r="M18" s="119">
        <f>'A7-CFlow'!L7</f>
        <v>437175249</v>
      </c>
    </row>
    <row r="19" spans="1:13">
      <c r="A19" s="97" t="s">
        <v>265</v>
      </c>
      <c r="B19" s="10"/>
      <c r="C19" s="6"/>
      <c r="D19" s="110">
        <f>'A7-CFlow'!C8</f>
        <v>0</v>
      </c>
      <c r="E19" s="110">
        <f>'A7-CFlow'!D8</f>
        <v>0</v>
      </c>
      <c r="F19" s="110">
        <f>'A7-CFlow'!E8</f>
        <v>0</v>
      </c>
      <c r="G19" s="110">
        <f>'A7-CFlow'!F8</f>
        <v>521264947</v>
      </c>
      <c r="H19" s="110">
        <f>'A7-CFlow'!G8</f>
        <v>625758559</v>
      </c>
      <c r="I19" s="111">
        <f>'A7-CFlow'!H8</f>
        <v>625758559</v>
      </c>
      <c r="J19" s="1017">
        <f>'A7-CFlow'!I8</f>
        <v>625758559</v>
      </c>
      <c r="K19" s="112">
        <f>'A7-CFlow'!J8</f>
        <v>694260500</v>
      </c>
      <c r="L19" s="110">
        <f>'A7-CFlow'!K8</f>
        <v>812077500</v>
      </c>
      <c r="M19" s="116">
        <f>'A7-CFlow'!L8</f>
        <v>880008000</v>
      </c>
    </row>
    <row r="20" spans="1:13">
      <c r="A20" s="97" t="s">
        <v>611</v>
      </c>
      <c r="B20" s="10"/>
      <c r="C20" s="6"/>
      <c r="D20" s="110"/>
      <c r="E20" s="110"/>
      <c r="F20" s="110"/>
      <c r="G20" s="110"/>
      <c r="H20" s="110"/>
      <c r="I20" s="111"/>
      <c r="J20" s="1017"/>
      <c r="K20" s="112"/>
      <c r="L20" s="110"/>
      <c r="M20" s="116"/>
    </row>
    <row r="21" spans="1:13">
      <c r="A21" s="97" t="s">
        <v>612</v>
      </c>
      <c r="B21" s="10"/>
      <c r="C21" s="6"/>
      <c r="D21" s="113"/>
      <c r="E21" s="113"/>
      <c r="F21" s="113"/>
      <c r="G21" s="113"/>
      <c r="H21" s="113"/>
      <c r="I21" s="114"/>
      <c r="J21" s="1014"/>
      <c r="K21" s="115"/>
      <c r="L21" s="113"/>
      <c r="M21" s="120"/>
    </row>
    <row r="22" spans="1:13">
      <c r="A22" s="69" t="s">
        <v>613</v>
      </c>
      <c r="B22" s="13"/>
      <c r="C22" s="13"/>
      <c r="D22" s="80">
        <f>'A4-FinPerf RE'!C16</f>
        <v>1487556</v>
      </c>
      <c r="E22" s="80">
        <f>'A4-FinPerf RE'!D16</f>
        <v>2570809</v>
      </c>
      <c r="F22" s="80">
        <f>'A4-FinPerf RE'!E16</f>
        <v>5994062</v>
      </c>
      <c r="G22" s="80">
        <f>'A4-FinPerf RE'!F16</f>
        <v>7417386</v>
      </c>
      <c r="H22" s="80">
        <f>'A4-FinPerf RE'!G16</f>
        <v>7908752</v>
      </c>
      <c r="I22" s="81">
        <f>'A4-FinPerf RE'!H16</f>
        <v>7908752</v>
      </c>
      <c r="J22" s="1012">
        <f>'A4-FinPerf RE'!I16</f>
        <v>7908752</v>
      </c>
      <c r="K22" s="82">
        <f>'A4-FinPerf RE'!J16</f>
        <v>9105152</v>
      </c>
      <c r="L22" s="80">
        <f>'A4-FinPerf RE'!K16</f>
        <v>9567734</v>
      </c>
      <c r="M22" s="83">
        <f>'A4-FinPerf RE'!L16</f>
        <v>10050993</v>
      </c>
    </row>
    <row r="23" spans="1:13">
      <c r="A23" s="69" t="s">
        <v>606</v>
      </c>
      <c r="B23" s="13"/>
      <c r="C23" s="13"/>
      <c r="D23" s="80">
        <f>SUM(D24:D26)</f>
        <v>158259496.42333335</v>
      </c>
      <c r="E23" s="80">
        <f t="shared" ref="E23:M23" si="4">SUM(E24:E26)</f>
        <v>182004050</v>
      </c>
      <c r="F23" s="80">
        <f t="shared" si="4"/>
        <v>120408703</v>
      </c>
      <c r="G23" s="80">
        <f t="shared" si="4"/>
        <v>121930811.03999999</v>
      </c>
      <c r="H23" s="80">
        <f t="shared" si="4"/>
        <v>163272892</v>
      </c>
      <c r="I23" s="81">
        <f t="shared" si="4"/>
        <v>163272892</v>
      </c>
      <c r="J23" s="1012">
        <f>SUM(J24:J26)</f>
        <v>163272892</v>
      </c>
      <c r="K23" s="82">
        <f t="shared" si="4"/>
        <v>127279807.71000001</v>
      </c>
      <c r="L23" s="80">
        <f t="shared" si="4"/>
        <v>92273640.137500003</v>
      </c>
      <c r="M23" s="83">
        <f t="shared" si="4"/>
        <v>96525007.394374996</v>
      </c>
    </row>
    <row r="24" spans="1:13">
      <c r="A24" s="97" t="s">
        <v>344</v>
      </c>
      <c r="B24" s="10"/>
      <c r="C24" s="6"/>
      <c r="D24" s="107">
        <f>'A7-CFlow'!C9</f>
        <v>112709655</v>
      </c>
      <c r="E24" s="107">
        <f>'A7-CFlow'!D9</f>
        <v>140082005</v>
      </c>
      <c r="F24" s="107">
        <f>'A7-CFlow'!E9</f>
        <v>51353231</v>
      </c>
      <c r="G24" s="107">
        <f>'A7-CFlow'!F9</f>
        <v>159919867</v>
      </c>
      <c r="H24" s="107">
        <f>'A7-CFlow'!G9</f>
        <v>152486867</v>
      </c>
      <c r="I24" s="108">
        <f>'A7-CFlow'!H9</f>
        <v>152486867</v>
      </c>
      <c r="J24" s="1013">
        <f>'A7-CFlow'!I9</f>
        <v>152486867</v>
      </c>
      <c r="K24" s="109">
        <f>'A7-CFlow'!J9</f>
        <v>68996411</v>
      </c>
      <c r="L24" s="107">
        <f>'A7-CFlow'!K9</f>
        <v>72187520</v>
      </c>
      <c r="M24" s="119">
        <f>'A7-CFlow'!L9</f>
        <v>75551937</v>
      </c>
    </row>
    <row r="25" spans="1:13">
      <c r="A25" s="97" t="s">
        <v>607</v>
      </c>
      <c r="B25" s="10"/>
      <c r="C25" s="6"/>
      <c r="D25" s="110">
        <f>'A7-CFlow'!C10</f>
        <v>17763525</v>
      </c>
      <c r="E25" s="110">
        <f>'A7-CFlow'!D10</f>
        <v>348212</v>
      </c>
      <c r="F25" s="110">
        <f>'A7-CFlow'!E10</f>
        <v>17252</v>
      </c>
      <c r="G25" s="110">
        <f>'A7-CFlow'!F10</f>
        <v>0</v>
      </c>
      <c r="H25" s="110">
        <f>'A7-CFlow'!G10</f>
        <v>0</v>
      </c>
      <c r="I25" s="111">
        <f>'A7-CFlow'!H10</f>
        <v>0</v>
      </c>
      <c r="J25" s="1017">
        <f>'A7-CFlow'!I10</f>
        <v>0</v>
      </c>
      <c r="K25" s="112">
        <f>'A7-CFlow'!J10</f>
        <v>0</v>
      </c>
      <c r="L25" s="110">
        <f>'A7-CFlow'!K10</f>
        <v>0</v>
      </c>
      <c r="M25" s="116">
        <f>'A7-CFlow'!L10</f>
        <v>0</v>
      </c>
    </row>
    <row r="26" spans="1:13">
      <c r="A26" s="97" t="s">
        <v>608</v>
      </c>
      <c r="B26" s="10"/>
      <c r="C26" s="6"/>
      <c r="D26" s="113">
        <f>'A4-FinPerf RE'!C12+NERF!D74</f>
        <v>27786316.423333332</v>
      </c>
      <c r="E26" s="113">
        <f>'A4-FinPerf RE'!D12+NERF!E74</f>
        <v>41573833</v>
      </c>
      <c r="F26" s="113">
        <f>'A4-FinPerf RE'!E12+NERF!F74</f>
        <v>69038220</v>
      </c>
      <c r="G26" s="113">
        <f>'A4-FinPerf RE'!F12+NERF!G74</f>
        <v>-37989055.960000001</v>
      </c>
      <c r="H26" s="113">
        <f>'A4-FinPerf RE'!G12+NERF!H74</f>
        <v>10786025</v>
      </c>
      <c r="I26" s="114">
        <f>'A4-FinPerf RE'!H12+NERF!I74</f>
        <v>10786025</v>
      </c>
      <c r="J26" s="1014">
        <f>'A4-FinPerf RE'!I12+NERF!J74</f>
        <v>10786025</v>
      </c>
      <c r="K26" s="115">
        <f>'A4-FinPerf RE'!J12+NERF!K74</f>
        <v>58283396.710000001</v>
      </c>
      <c r="L26" s="113">
        <f>'A4-FinPerf RE'!K12+NERF!L74</f>
        <v>20086120.137500003</v>
      </c>
      <c r="M26" s="120">
        <f>'A4-FinPerf RE'!L12+NERF!M74</f>
        <v>20973070.394375004</v>
      </c>
    </row>
    <row r="27" spans="1:13">
      <c r="A27" s="69" t="s">
        <v>280</v>
      </c>
      <c r="B27" s="13"/>
      <c r="C27" s="13"/>
      <c r="D27" s="80">
        <f>SUM(D28:D29)</f>
        <v>17358104</v>
      </c>
      <c r="E27" s="80">
        <f t="shared" ref="E27:M27" si="5">SUM(E28:E29)</f>
        <v>1801341</v>
      </c>
      <c r="F27" s="80">
        <f t="shared" si="5"/>
        <v>4438933</v>
      </c>
      <c r="G27" s="80">
        <f t="shared" si="5"/>
        <v>123505800</v>
      </c>
      <c r="H27" s="80">
        <f t="shared" si="5"/>
        <v>63505800</v>
      </c>
      <c r="I27" s="81">
        <f t="shared" si="5"/>
        <v>63505800</v>
      </c>
      <c r="J27" s="1012">
        <f>SUM(J28:J29)</f>
        <v>63505800</v>
      </c>
      <c r="K27" s="82">
        <f t="shared" si="5"/>
        <v>100071607</v>
      </c>
      <c r="L27" s="80">
        <f t="shared" si="5"/>
        <v>50000000</v>
      </c>
      <c r="M27" s="83">
        <f t="shared" si="5"/>
        <v>0</v>
      </c>
    </row>
    <row r="28" spans="1:13">
      <c r="A28" s="97" t="s">
        <v>614</v>
      </c>
      <c r="B28" s="10"/>
      <c r="C28" s="6"/>
      <c r="D28" s="107">
        <v>0</v>
      </c>
      <c r="E28" s="107">
        <v>0</v>
      </c>
      <c r="F28" s="107">
        <v>0</v>
      </c>
      <c r="G28" s="107">
        <v>0</v>
      </c>
      <c r="H28" s="107">
        <v>0</v>
      </c>
      <c r="I28" s="108">
        <v>0</v>
      </c>
      <c r="J28" s="1013">
        <v>0</v>
      </c>
      <c r="K28" s="109">
        <v>0</v>
      </c>
      <c r="L28" s="107">
        <v>0</v>
      </c>
      <c r="M28" s="119">
        <v>0</v>
      </c>
    </row>
    <row r="29" spans="1:13">
      <c r="A29" s="97" t="s">
        <v>617</v>
      </c>
      <c r="B29" s="10"/>
      <c r="C29" s="6"/>
      <c r="D29" s="113">
        <f>'A7-CFlow'!C19</f>
        <v>17358104</v>
      </c>
      <c r="E29" s="113">
        <f>'A7-CFlow'!D19</f>
        <v>1801341</v>
      </c>
      <c r="F29" s="113">
        <f>'A7-CFlow'!E19</f>
        <v>4438933</v>
      </c>
      <c r="G29" s="113">
        <f>'A7-CFlow'!F19</f>
        <v>123505800</v>
      </c>
      <c r="H29" s="113">
        <f>'A7-CFlow'!G19</f>
        <v>63505800</v>
      </c>
      <c r="I29" s="114">
        <f>'A7-CFlow'!H19</f>
        <v>63505800</v>
      </c>
      <c r="J29" s="1014">
        <f>'A7-CFlow'!I19</f>
        <v>63505800</v>
      </c>
      <c r="K29" s="115">
        <f>'A7-CFlow'!J19</f>
        <v>100071607</v>
      </c>
      <c r="L29" s="113">
        <f>'A7-CFlow'!K19</f>
        <v>50000000</v>
      </c>
      <c r="M29" s="120">
        <f>'A7-CFlow'!L19</f>
        <v>0</v>
      </c>
    </row>
    <row r="30" spans="1:13">
      <c r="A30" s="69" t="s">
        <v>618</v>
      </c>
      <c r="B30" s="13"/>
      <c r="C30" s="13"/>
      <c r="D30" s="80"/>
      <c r="E30" s="80"/>
      <c r="F30" s="80"/>
      <c r="G30" s="80"/>
      <c r="H30" s="80"/>
      <c r="I30" s="81"/>
      <c r="J30" s="1012"/>
      <c r="K30" s="82"/>
      <c r="L30" s="80"/>
      <c r="M30" s="83"/>
    </row>
    <row r="31" spans="1:13">
      <c r="A31" s="8" t="s">
        <v>621</v>
      </c>
      <c r="B31" s="68"/>
      <c r="C31" s="68"/>
      <c r="D31" s="92" t="e">
        <f t="shared" ref="D31:M31" si="6">SUM(D8,D11,D16,D17,D22,D23,D27,D30)</f>
        <v>#REF!</v>
      </c>
      <c r="E31" s="92" t="e">
        <f t="shared" si="6"/>
        <v>#REF!</v>
      </c>
      <c r="F31" s="92" t="e">
        <f t="shared" si="6"/>
        <v>#REF!</v>
      </c>
      <c r="G31" s="92" t="e">
        <f t="shared" si="6"/>
        <v>#REF!</v>
      </c>
      <c r="H31" s="92" t="e">
        <f t="shared" si="6"/>
        <v>#REF!</v>
      </c>
      <c r="I31" s="93" t="e">
        <f t="shared" si="6"/>
        <v>#REF!</v>
      </c>
      <c r="J31" s="1018" t="e">
        <f t="shared" si="6"/>
        <v>#REF!</v>
      </c>
      <c r="K31" s="94" t="e">
        <f t="shared" si="6"/>
        <v>#REF!</v>
      </c>
      <c r="L31" s="92" t="e">
        <f t="shared" si="6"/>
        <v>#REF!</v>
      </c>
      <c r="M31" s="95" t="e">
        <f t="shared" si="6"/>
        <v>#REF!</v>
      </c>
    </row>
    <row r="32" spans="1:13">
      <c r="A32" s="15" t="s">
        <v>832</v>
      </c>
      <c r="B32" s="13"/>
      <c r="C32" s="13"/>
      <c r="D32" s="80"/>
      <c r="E32" s="80"/>
      <c r="F32" s="80"/>
      <c r="G32" s="80"/>
      <c r="H32" s="80"/>
      <c r="I32" s="81"/>
      <c r="J32" s="1012"/>
      <c r="K32" s="82"/>
      <c r="L32" s="80"/>
      <c r="M32" s="83"/>
    </row>
    <row r="33" spans="1:13">
      <c r="A33" s="69" t="s">
        <v>1599</v>
      </c>
      <c r="B33" s="13"/>
      <c r="C33" s="13"/>
      <c r="D33" s="80"/>
      <c r="E33" s="80"/>
      <c r="F33" s="80"/>
      <c r="G33" s="80"/>
      <c r="H33" s="80"/>
      <c r="I33" s="81"/>
      <c r="J33" s="1012"/>
      <c r="K33" s="82"/>
      <c r="L33" s="80"/>
      <c r="M33" s="83"/>
    </row>
    <row r="34" spans="1:13">
      <c r="A34" s="99" t="s">
        <v>604</v>
      </c>
      <c r="B34" s="13"/>
      <c r="C34" s="13"/>
      <c r="D34" s="101">
        <f>SUM(D35:D36)</f>
        <v>176679399.88999996</v>
      </c>
      <c r="E34" s="101">
        <f t="shared" ref="E34:M34" si="7">SUM(E35:E36)</f>
        <v>322647467</v>
      </c>
      <c r="F34" s="101">
        <f t="shared" si="7"/>
        <v>349932528</v>
      </c>
      <c r="G34" s="101">
        <f t="shared" si="7"/>
        <v>403054506.24400002</v>
      </c>
      <c r="H34" s="101">
        <f t="shared" si="7"/>
        <v>412163499</v>
      </c>
      <c r="I34" s="102">
        <f t="shared" si="7"/>
        <v>412163499</v>
      </c>
      <c r="J34" s="1019">
        <f>SUM(J35:J36)</f>
        <v>412163499</v>
      </c>
      <c r="K34" s="103">
        <f t="shared" si="7"/>
        <v>462746205</v>
      </c>
      <c r="L34" s="101">
        <f t="shared" si="7"/>
        <v>498512510</v>
      </c>
      <c r="M34" s="117">
        <f t="shared" si="7"/>
        <v>532216088</v>
      </c>
    </row>
    <row r="35" spans="1:13">
      <c r="A35" s="71" t="s">
        <v>269</v>
      </c>
      <c r="B35" s="13"/>
      <c r="C35" s="13"/>
      <c r="D35" s="84">
        <f>'SA1'!C63-'SA1'!C50</f>
        <v>134789760.13999996</v>
      </c>
      <c r="E35" s="84">
        <f>'SA1'!D63-'SA1'!D50</f>
        <v>287487050</v>
      </c>
      <c r="F35" s="84">
        <f>'SA1'!E63-'SA1'!E50</f>
        <v>295319866</v>
      </c>
      <c r="G35" s="84">
        <f>'SA1'!F63-'SA1'!F50</f>
        <v>362596827.84000003</v>
      </c>
      <c r="H35" s="84">
        <f>'SA1'!G63-'SA1'!G50</f>
        <v>345300978</v>
      </c>
      <c r="I35" s="85">
        <f>'SA1'!H63-'SA1'!H50</f>
        <v>345300978</v>
      </c>
      <c r="J35" s="1015">
        <f>'SA1'!I63-'SA1'!I50</f>
        <v>345300978</v>
      </c>
      <c r="K35" s="86">
        <f>'SA1'!J63-'SA1'!J50</f>
        <v>402709771</v>
      </c>
      <c r="L35" s="84">
        <f>'SA1'!K63-'SA1'!K50</f>
        <v>434573702</v>
      </c>
      <c r="M35" s="87">
        <f>'SA1'!L63-'SA1'!L50</f>
        <v>464121253</v>
      </c>
    </row>
    <row r="36" spans="1:13">
      <c r="A36" s="71" t="s">
        <v>270</v>
      </c>
      <c r="B36" s="13"/>
      <c r="C36" s="13"/>
      <c r="D36" s="88">
        <f>'SA1'!C50</f>
        <v>41889639.75</v>
      </c>
      <c r="E36" s="88">
        <f>'SA1'!D50</f>
        <v>35160417</v>
      </c>
      <c r="F36" s="88">
        <f>'SA1'!E50</f>
        <v>54612662</v>
      </c>
      <c r="G36" s="88">
        <f>'SA1'!F50</f>
        <v>40457678.403999999</v>
      </c>
      <c r="H36" s="88">
        <f>'SA1'!G50</f>
        <v>66862521</v>
      </c>
      <c r="I36" s="89">
        <f>'SA1'!H50</f>
        <v>66862521</v>
      </c>
      <c r="J36" s="1016">
        <f>'SA1'!I50</f>
        <v>66862521</v>
      </c>
      <c r="K36" s="90">
        <f>'SA1'!J50</f>
        <v>60036434</v>
      </c>
      <c r="L36" s="88">
        <f>'SA1'!K50</f>
        <v>63938808</v>
      </c>
      <c r="M36" s="91">
        <f>'SA1'!L50</f>
        <v>68094835</v>
      </c>
    </row>
    <row r="37" spans="1:13">
      <c r="A37" s="99" t="s">
        <v>605</v>
      </c>
      <c r="B37" s="13"/>
      <c r="C37" s="13"/>
      <c r="D37" s="80" t="e">
        <f>SUM(D38:D42)</f>
        <v>#REF!</v>
      </c>
      <c r="E37" s="80" t="e">
        <f t="shared" ref="E37:M37" si="8">SUM(E38:E42)</f>
        <v>#REF!</v>
      </c>
      <c r="F37" s="80" t="e">
        <f t="shared" si="8"/>
        <v>#REF!</v>
      </c>
      <c r="G37" s="80" t="e">
        <f t="shared" si="8"/>
        <v>#REF!</v>
      </c>
      <c r="H37" s="80" t="e">
        <f t="shared" si="8"/>
        <v>#REF!</v>
      </c>
      <c r="I37" s="81" t="e">
        <f t="shared" si="8"/>
        <v>#REF!</v>
      </c>
      <c r="J37" s="1012" t="e">
        <f>SUM(J38:J42)</f>
        <v>#REF!</v>
      </c>
      <c r="K37" s="82" t="e">
        <f t="shared" si="8"/>
        <v>#REF!</v>
      </c>
      <c r="L37" s="80" t="e">
        <f t="shared" si="8"/>
        <v>#REF!</v>
      </c>
      <c r="M37" s="83" t="e">
        <f t="shared" si="8"/>
        <v>#REF!</v>
      </c>
    </row>
    <row r="38" spans="1:13">
      <c r="A38" s="98" t="str">
        <f>'A4-FinPerf RE'!A30</f>
        <v>Bulk purchases</v>
      </c>
      <c r="B38" s="13"/>
      <c r="C38" s="13"/>
      <c r="D38" s="84">
        <f>'A4-FinPerf RE'!C30</f>
        <v>773032403</v>
      </c>
      <c r="E38" s="84">
        <f>'A4-FinPerf RE'!D30</f>
        <v>882942984</v>
      </c>
      <c r="F38" s="84">
        <f>'A4-FinPerf RE'!E30</f>
        <v>725797345</v>
      </c>
      <c r="G38" s="84">
        <f>'A4-FinPerf RE'!F30</f>
        <v>1459247825</v>
      </c>
      <c r="H38" s="84">
        <f>'A4-FinPerf RE'!G30</f>
        <v>1307198106</v>
      </c>
      <c r="I38" s="85">
        <f>'A4-FinPerf RE'!H30</f>
        <v>1307198106</v>
      </c>
      <c r="J38" s="1015">
        <f>'A4-FinPerf RE'!I30</f>
        <v>1307198106</v>
      </c>
      <c r="K38" s="86">
        <f>'A4-FinPerf RE'!J30</f>
        <v>996736434</v>
      </c>
      <c r="L38" s="84">
        <f>'A4-FinPerf RE'!K30</f>
        <v>1080378838</v>
      </c>
      <c r="M38" s="87">
        <f>'A4-FinPerf RE'!L30</f>
        <v>1171096784</v>
      </c>
    </row>
    <row r="39" spans="1:13">
      <c r="A39" s="98" t="s">
        <v>1529</v>
      </c>
      <c r="B39" s="13"/>
      <c r="C39" s="13"/>
      <c r="D39" s="76">
        <v>0</v>
      </c>
      <c r="E39" s="76">
        <v>0</v>
      </c>
      <c r="F39" s="76">
        <v>0</v>
      </c>
      <c r="G39" s="76">
        <v>0</v>
      </c>
      <c r="H39" s="76">
        <v>0</v>
      </c>
      <c r="I39" s="77">
        <v>0</v>
      </c>
      <c r="J39" s="1011">
        <v>0</v>
      </c>
      <c r="K39" s="78">
        <v>0</v>
      </c>
      <c r="L39" s="76">
        <v>0</v>
      </c>
      <c r="M39" s="79">
        <v>0</v>
      </c>
    </row>
    <row r="40" spans="1:13">
      <c r="A40" s="98" t="str">
        <f>'A4-FinPerf RE'!A32</f>
        <v>Contracted services</v>
      </c>
      <c r="B40" s="13"/>
      <c r="C40" s="13"/>
      <c r="D40" s="76">
        <f>'A4-FinPerf RE'!C32</f>
        <v>63540716.850000001</v>
      </c>
      <c r="E40" s="76">
        <f>'A4-FinPerf RE'!D32</f>
        <v>85595797</v>
      </c>
      <c r="F40" s="76">
        <f>'A4-FinPerf RE'!E32</f>
        <v>114141838</v>
      </c>
      <c r="G40" s="76">
        <f>'A4-FinPerf RE'!F32</f>
        <v>186427955</v>
      </c>
      <c r="H40" s="76">
        <f>'A4-FinPerf RE'!G32</f>
        <v>209643265</v>
      </c>
      <c r="I40" s="77">
        <f>'A4-FinPerf RE'!H32</f>
        <v>209643265</v>
      </c>
      <c r="J40" s="1011">
        <f>'A4-FinPerf RE'!I32</f>
        <v>209643265</v>
      </c>
      <c r="K40" s="78">
        <f>'A4-FinPerf RE'!J32</f>
        <v>224224979</v>
      </c>
      <c r="L40" s="76">
        <f>'A4-FinPerf RE'!K32</f>
        <v>229230746</v>
      </c>
      <c r="M40" s="79">
        <f>'A4-FinPerf RE'!L32</f>
        <v>241676588</v>
      </c>
    </row>
    <row r="41" spans="1:13">
      <c r="A41" s="98" t="s">
        <v>404</v>
      </c>
      <c r="B41" s="13"/>
      <c r="C41" s="13"/>
      <c r="D41" s="76" t="e">
        <f>'SA1'!#REF!</f>
        <v>#REF!</v>
      </c>
      <c r="E41" s="76" t="e">
        <f>'SA1'!#REF!</f>
        <v>#REF!</v>
      </c>
      <c r="F41" s="76" t="e">
        <f>'SA1'!#REF!</f>
        <v>#REF!</v>
      </c>
      <c r="G41" s="76" t="e">
        <f>'SA1'!#REF!</f>
        <v>#REF!</v>
      </c>
      <c r="H41" s="76" t="e">
        <f>'SA1'!#REF!</f>
        <v>#REF!</v>
      </c>
      <c r="I41" s="77" t="e">
        <f>'SA1'!#REF!</f>
        <v>#REF!</v>
      </c>
      <c r="J41" s="1011" t="e">
        <f>'SA1'!#REF!</f>
        <v>#REF!</v>
      </c>
      <c r="K41" s="78" t="e">
        <f>'SA1'!#REF!</f>
        <v>#REF!</v>
      </c>
      <c r="L41" s="76" t="e">
        <f>'SA1'!#REF!</f>
        <v>#REF!</v>
      </c>
      <c r="M41" s="79" t="e">
        <f>'SA1'!#REF!</f>
        <v>#REF!</v>
      </c>
    </row>
    <row r="42" spans="1:13">
      <c r="A42" s="98" t="str">
        <f>'A4-FinPerf RE'!A34</f>
        <v>Other expenditure</v>
      </c>
      <c r="B42" s="13"/>
      <c r="C42" s="13"/>
      <c r="D42" s="88" t="e">
        <f>-'A7-CFlow'!C12-NERF!D34-NERF!D38-NERF!D39-NERF!D40-D41-NERF!D52</f>
        <v>#REF!</v>
      </c>
      <c r="E42" s="88" t="e">
        <f>-'A7-CFlow'!D12-NERF!E34-NERF!E38-NERF!E39-NERF!E40-E41-NERF!E52</f>
        <v>#REF!</v>
      </c>
      <c r="F42" s="88" t="e">
        <f>-'A7-CFlow'!E12-NERF!F34-NERF!F38-NERF!F39-NERF!F40-F41-NERF!F52</f>
        <v>#REF!</v>
      </c>
      <c r="G42" s="88" t="e">
        <f>-'A7-CFlow'!F12-NERF!G34-NERF!G38-NERF!G39-NERF!G40-G41-NERF!G52-G82</f>
        <v>#REF!</v>
      </c>
      <c r="H42" s="88" t="e">
        <f>-'A7-CFlow'!G12-NERF!H34-NERF!H38-NERF!H39-NERF!H40-H41-NERF!H52-H82</f>
        <v>#REF!</v>
      </c>
      <c r="I42" s="89" t="e">
        <f>-'A7-CFlow'!H12-NERF!I34-NERF!I38-NERF!I39-NERF!I40-I41-NERF!I52-I82</f>
        <v>#REF!</v>
      </c>
      <c r="J42" s="1016" t="e">
        <f>-'A7-CFlow'!I12-NERF!J34-NERF!J38-NERF!J39-NERF!J40-J41-NERF!J52-J82</f>
        <v>#REF!</v>
      </c>
      <c r="K42" s="90" t="e">
        <f>-'A7-CFlow'!J12-NERF!K34-NERF!K38-NERF!K39-NERF!K40-K41-NERF!K52-K82</f>
        <v>#REF!</v>
      </c>
      <c r="L42" s="88" t="e">
        <f>-'A7-CFlow'!K12-NERF!L34-NERF!L38-NERF!L39-NERF!L40-L41-NERF!L52-L82</f>
        <v>#REF!</v>
      </c>
      <c r="M42" s="91" t="e">
        <f>-'A7-CFlow'!L12-NERF!M34-NERF!M38-NERF!M39-NERF!M40-M41-NERF!M52-M82</f>
        <v>#REF!</v>
      </c>
    </row>
    <row r="43" spans="1:13">
      <c r="A43" s="99" t="s">
        <v>606</v>
      </c>
      <c r="B43" s="13"/>
      <c r="C43" s="13"/>
      <c r="D43" s="104">
        <f>SUM(D44:D46)</f>
        <v>13310151</v>
      </c>
      <c r="E43" s="104">
        <f t="shared" ref="E43:M43" si="9">SUM(E44:E46)</f>
        <v>13566985</v>
      </c>
      <c r="F43" s="104">
        <f t="shared" si="9"/>
        <v>15488603</v>
      </c>
      <c r="G43" s="104">
        <f t="shared" si="9"/>
        <v>11914202</v>
      </c>
      <c r="H43" s="104">
        <f t="shared" si="9"/>
        <v>11914202</v>
      </c>
      <c r="I43" s="105">
        <f t="shared" si="9"/>
        <v>11914202</v>
      </c>
      <c r="J43" s="1020">
        <f>SUM(J44:J46)</f>
        <v>11914202</v>
      </c>
      <c r="K43" s="106">
        <f t="shared" si="9"/>
        <v>53232011</v>
      </c>
      <c r="L43" s="104">
        <f t="shared" si="9"/>
        <v>50154483</v>
      </c>
      <c r="M43" s="118">
        <f t="shared" si="9"/>
        <v>84244450</v>
      </c>
    </row>
    <row r="44" spans="1:13">
      <c r="A44" s="71" t="s">
        <v>344</v>
      </c>
      <c r="B44" s="13"/>
      <c r="C44" s="13"/>
      <c r="D44" s="84">
        <f>-'A7-CFlow'!C13</f>
        <v>13310151</v>
      </c>
      <c r="E44" s="84">
        <f>-'A7-CFlow'!D13</f>
        <v>13566985</v>
      </c>
      <c r="F44" s="84">
        <f>-'A7-CFlow'!E13</f>
        <v>15488603</v>
      </c>
      <c r="G44" s="84">
        <f>-'A7-CFlow'!F13</f>
        <v>11914202</v>
      </c>
      <c r="H44" s="84">
        <f>-'A7-CFlow'!G13</f>
        <v>11914202</v>
      </c>
      <c r="I44" s="85">
        <f>-'A7-CFlow'!H13</f>
        <v>11914202</v>
      </c>
      <c r="J44" s="1015">
        <f>-'A7-CFlow'!I13</f>
        <v>11914202</v>
      </c>
      <c r="K44" s="86">
        <f>-'A7-CFlow'!J13</f>
        <v>53232011</v>
      </c>
      <c r="L44" s="84">
        <f>-'A7-CFlow'!K13</f>
        <v>50154483</v>
      </c>
      <c r="M44" s="87">
        <f>-'A7-CFlow'!L13</f>
        <v>84244450</v>
      </c>
    </row>
    <row r="45" spans="1:13">
      <c r="A45" s="71" t="s">
        <v>607</v>
      </c>
      <c r="B45" s="13"/>
      <c r="C45" s="13"/>
      <c r="D45" s="76">
        <v>0</v>
      </c>
      <c r="E45" s="76">
        <v>0</v>
      </c>
      <c r="F45" s="76">
        <v>0</v>
      </c>
      <c r="G45" s="76">
        <v>0</v>
      </c>
      <c r="H45" s="76">
        <v>0</v>
      </c>
      <c r="I45" s="77">
        <v>0</v>
      </c>
      <c r="J45" s="1011">
        <v>0</v>
      </c>
      <c r="K45" s="78">
        <v>0</v>
      </c>
      <c r="L45" s="76">
        <v>0</v>
      </c>
      <c r="M45" s="79">
        <v>0</v>
      </c>
    </row>
    <row r="46" spans="1:13">
      <c r="A46" s="71" t="s">
        <v>608</v>
      </c>
      <c r="B46" s="13"/>
      <c r="C46" s="13"/>
      <c r="D46" s="88">
        <v>0</v>
      </c>
      <c r="E46" s="88">
        <v>0</v>
      </c>
      <c r="F46" s="88">
        <v>0</v>
      </c>
      <c r="G46" s="88">
        <v>0</v>
      </c>
      <c r="H46" s="88">
        <v>0</v>
      </c>
      <c r="I46" s="89">
        <v>0</v>
      </c>
      <c r="J46" s="1016">
        <v>0</v>
      </c>
      <c r="K46" s="90">
        <v>0</v>
      </c>
      <c r="L46" s="88">
        <v>0</v>
      </c>
      <c r="M46" s="91">
        <v>0</v>
      </c>
    </row>
    <row r="47" spans="1:13">
      <c r="A47" s="99" t="str">
        <f>A30</f>
        <v>Financial transactions in assets and liabilities</v>
      </c>
      <c r="B47" s="13"/>
      <c r="C47" s="13"/>
      <c r="D47" s="76">
        <v>0</v>
      </c>
      <c r="E47" s="76">
        <v>0</v>
      </c>
      <c r="F47" s="76">
        <v>0</v>
      </c>
      <c r="G47" s="76">
        <v>0</v>
      </c>
      <c r="H47" s="76">
        <v>0</v>
      </c>
      <c r="I47" s="77">
        <v>0</v>
      </c>
      <c r="J47" s="1011">
        <v>0</v>
      </c>
      <c r="K47" s="78">
        <v>0</v>
      </c>
      <c r="L47" s="76">
        <v>0</v>
      </c>
      <c r="M47" s="79">
        <v>0</v>
      </c>
    </row>
    <row r="48" spans="1:13">
      <c r="A48" s="99" t="s">
        <v>271</v>
      </c>
      <c r="B48" s="13"/>
      <c r="C48" s="13"/>
      <c r="D48" s="76">
        <v>0</v>
      </c>
      <c r="E48" s="76">
        <v>0</v>
      </c>
      <c r="F48" s="76">
        <v>0</v>
      </c>
      <c r="G48" s="76">
        <v>0</v>
      </c>
      <c r="H48" s="76">
        <v>0</v>
      </c>
      <c r="I48" s="77">
        <v>0</v>
      </c>
      <c r="J48" s="1011">
        <v>0</v>
      </c>
      <c r="K48" s="78">
        <v>0</v>
      </c>
      <c r="L48" s="76">
        <v>0</v>
      </c>
      <c r="M48" s="79">
        <v>0</v>
      </c>
    </row>
    <row r="49" spans="1:13">
      <c r="A49" s="69" t="s">
        <v>609</v>
      </c>
      <c r="B49" s="13"/>
      <c r="C49" s="13"/>
      <c r="D49" s="80">
        <f>SUM(D50:D52)</f>
        <v>4708318.88</v>
      </c>
      <c r="E49" s="80">
        <f t="shared" ref="E49:M49" si="10">SUM(E50:E52)</f>
        <v>6647872.4000000004</v>
      </c>
      <c r="F49" s="80">
        <f t="shared" si="10"/>
        <v>7439820.5599999996</v>
      </c>
      <c r="G49" s="80">
        <f t="shared" si="10"/>
        <v>310189183.5</v>
      </c>
      <c r="H49" s="80">
        <f t="shared" si="10"/>
        <v>328546929.5</v>
      </c>
      <c r="I49" s="81">
        <f t="shared" si="10"/>
        <v>328546929.5</v>
      </c>
      <c r="J49" s="1012">
        <f>SUM(J50:J52)</f>
        <v>327623493</v>
      </c>
      <c r="K49" s="82">
        <f t="shared" si="10"/>
        <v>54509736</v>
      </c>
      <c r="L49" s="80">
        <f t="shared" si="10"/>
        <v>58303129</v>
      </c>
      <c r="M49" s="83">
        <f t="shared" si="10"/>
        <v>62376578</v>
      </c>
    </row>
    <row r="50" spans="1:13">
      <c r="A50" s="97" t="s">
        <v>272</v>
      </c>
      <c r="B50" s="13"/>
      <c r="C50" s="13"/>
      <c r="D50" s="84">
        <f>-'A7-CFlow'!C14</f>
        <v>248299</v>
      </c>
      <c r="E50" s="84">
        <f>-'A7-CFlow'!D14</f>
        <v>305235</v>
      </c>
      <c r="F50" s="84">
        <f>-'A7-CFlow'!E14</f>
        <v>586729</v>
      </c>
      <c r="G50" s="84">
        <f>-'A7-CFlow'!F14</f>
        <v>282915139</v>
      </c>
      <c r="H50" s="84">
        <f>-'A7-CFlow'!G14</f>
        <v>301272885</v>
      </c>
      <c r="I50" s="85">
        <f>-'A7-CFlow'!H14</f>
        <v>301272885</v>
      </c>
      <c r="J50" s="1015">
        <f>-'A7-CFlow'!I14</f>
        <v>301272885</v>
      </c>
      <c r="K50" s="86">
        <f>-'A7-CFlow'!J14</f>
        <v>28159128</v>
      </c>
      <c r="L50" s="84">
        <f>-'A7-CFlow'!K14</f>
        <v>30518760</v>
      </c>
      <c r="M50" s="87">
        <f>-'A7-CFlow'!L14</f>
        <v>33082103</v>
      </c>
    </row>
    <row r="51" spans="1:13">
      <c r="A51" s="70" t="str">
        <f>A21</f>
        <v>Public corporations and private enterprises</v>
      </c>
      <c r="B51" s="13"/>
      <c r="C51" s="13"/>
      <c r="D51" s="76">
        <v>0</v>
      </c>
      <c r="E51" s="76">
        <v>0</v>
      </c>
      <c r="F51" s="76">
        <v>0</v>
      </c>
      <c r="G51" s="76">
        <v>0</v>
      </c>
      <c r="H51" s="76">
        <v>0</v>
      </c>
      <c r="I51" s="77">
        <v>0</v>
      </c>
      <c r="J51" s="1011">
        <v>0</v>
      </c>
      <c r="K51" s="78">
        <v>0</v>
      </c>
      <c r="L51" s="76">
        <v>0</v>
      </c>
      <c r="M51" s="79">
        <v>0</v>
      </c>
    </row>
    <row r="52" spans="1:13">
      <c r="A52" s="70" t="s">
        <v>273</v>
      </c>
      <c r="B52" s="13"/>
      <c r="C52" s="13"/>
      <c r="D52" s="88">
        <f>'A10-SerDel'!C78</f>
        <v>4460019.88</v>
      </c>
      <c r="E52" s="88">
        <f>'A10-SerDel'!D78</f>
        <v>6342637.4000000004</v>
      </c>
      <c r="F52" s="88">
        <f>'A10-SerDel'!E78</f>
        <v>6853091.5599999996</v>
      </c>
      <c r="G52" s="88">
        <f>'A10-SerDel'!F78</f>
        <v>27274044.499999996</v>
      </c>
      <c r="H52" s="88">
        <f>'A10-SerDel'!G78</f>
        <v>27274044.499999996</v>
      </c>
      <c r="I52" s="89">
        <f>'A10-SerDel'!H78</f>
        <v>27274044.499999996</v>
      </c>
      <c r="J52" s="1016">
        <f>'A10-SerDel'!I78</f>
        <v>26350608</v>
      </c>
      <c r="K52" s="90">
        <f>'A10-SerDel'!I78</f>
        <v>26350608</v>
      </c>
      <c r="L52" s="88">
        <f>'A10-SerDel'!J78</f>
        <v>27784369</v>
      </c>
      <c r="M52" s="91">
        <f>'A10-SerDel'!K78</f>
        <v>29294475</v>
      </c>
    </row>
    <row r="53" spans="1:13">
      <c r="A53" s="69" t="s">
        <v>274</v>
      </c>
      <c r="B53" s="13"/>
      <c r="C53" s="13"/>
      <c r="D53" s="80">
        <f>SUM(D54:D57)</f>
        <v>237496101</v>
      </c>
      <c r="E53" s="80">
        <f t="shared" ref="E53:M53" si="11">SUM(E54:E57)</f>
        <v>204590882</v>
      </c>
      <c r="F53" s="80">
        <f t="shared" si="11"/>
        <v>290669378</v>
      </c>
      <c r="G53" s="80">
        <f t="shared" si="11"/>
        <v>888772984</v>
      </c>
      <c r="H53" s="80">
        <f t="shared" si="11"/>
        <v>949748854</v>
      </c>
      <c r="I53" s="81">
        <f t="shared" si="11"/>
        <v>949748854</v>
      </c>
      <c r="J53" s="1012">
        <f>SUM(J54:J57)</f>
        <v>949748854</v>
      </c>
      <c r="K53" s="82">
        <f t="shared" si="11"/>
        <v>1313659361</v>
      </c>
      <c r="L53" s="80">
        <f t="shared" si="11"/>
        <v>1810422448</v>
      </c>
      <c r="M53" s="83">
        <f t="shared" si="11"/>
        <v>1041880000</v>
      </c>
    </row>
    <row r="54" spans="1:13">
      <c r="A54" s="70" t="s">
        <v>279</v>
      </c>
      <c r="B54" s="13"/>
      <c r="C54" s="13"/>
      <c r="D54" s="84">
        <f>-'A7-CFlow'!C24-NERF!D55-NERF!D56-NERF!D57</f>
        <v>230746484</v>
      </c>
      <c r="E54" s="84">
        <f>-'A7-CFlow'!D24-NERF!E55-NERF!E56-NERF!E57</f>
        <v>203210852</v>
      </c>
      <c r="F54" s="84">
        <f>-'A7-CFlow'!E24-NERF!F55-NERF!F56-NERF!F57</f>
        <v>287534470</v>
      </c>
      <c r="G54" s="84">
        <f>-'A7-CFlow'!F24-NERF!G55-NERF!G56-NERF!G57</f>
        <v>871373984</v>
      </c>
      <c r="H54" s="84">
        <f>-'A7-CFlow'!G24-NERF!H55-NERF!H56-NERF!H57</f>
        <v>930023325</v>
      </c>
      <c r="I54" s="85">
        <f>-'A7-CFlow'!H24-NERF!I55-NERF!I56-NERF!I57</f>
        <v>930023325</v>
      </c>
      <c r="J54" s="1015">
        <f>-'A7-CFlow'!I24-NERF!J55-NERF!J56-NERF!J57</f>
        <v>948221104</v>
      </c>
      <c r="K54" s="86">
        <f>-'A7-CFlow'!J24-NERF!K55-NERF!K56-NERF!K57</f>
        <v>1312131611</v>
      </c>
      <c r="L54" s="84">
        <f>-'A7-CFlow'!K24-NERF!L55-NERF!L56-NERF!L57</f>
        <v>1809262448</v>
      </c>
      <c r="M54" s="87">
        <f>-'A7-CFlow'!L24-NERF!M55-NERF!M56-NERF!M57</f>
        <v>1041005000</v>
      </c>
    </row>
    <row r="55" spans="1:13">
      <c r="A55" s="70" t="s">
        <v>275</v>
      </c>
      <c r="B55" s="13"/>
      <c r="C55" s="13"/>
      <c r="D55" s="76">
        <f>SA34a!C52+SA34a!C54+SA34a!C55+SA34a!C56</f>
        <v>2416522</v>
      </c>
      <c r="E55" s="76">
        <f>SA34a!D52+SA34a!D54+SA34a!D55+SA34a!D56</f>
        <v>590129</v>
      </c>
      <c r="F55" s="76">
        <f>SA34a!E52+SA34a!E54+SA34a!E55+SA34a!E56</f>
        <v>2967046</v>
      </c>
      <c r="G55" s="76">
        <f>SA34a!F52+SA34a!F54+SA34a!F55+SA34a!F56</f>
        <v>17399000</v>
      </c>
      <c r="H55" s="76">
        <f>SA34a!G52+SA34a!G54+SA34a!G55+SA34a!G56</f>
        <v>19725529</v>
      </c>
      <c r="I55" s="77">
        <f>SA34a!H52+SA34a!H54+SA34a!H55+SA34a!H56</f>
        <v>19725529</v>
      </c>
      <c r="J55" s="1011">
        <f>SA34a!I52+SA34a!I54+SA34a!I55+SA34a!I56</f>
        <v>1527750</v>
      </c>
      <c r="K55" s="78">
        <f>SA34a!I52+SA34a!I54+SA34a!I55+SA34a!I56</f>
        <v>1527750</v>
      </c>
      <c r="L55" s="76">
        <f>SA34a!J52+SA34a!J54+SA34a!J55+SA34a!J56</f>
        <v>1160000</v>
      </c>
      <c r="M55" s="79">
        <f>SA34a!K52+SA34a!K54+SA34a!K55+SA34a!K56</f>
        <v>875000</v>
      </c>
    </row>
    <row r="56" spans="1:13">
      <c r="A56" s="70" t="s">
        <v>276</v>
      </c>
      <c r="B56" s="13"/>
      <c r="C56" s="13"/>
      <c r="D56" s="76">
        <f>'A9-Asset'!C48</f>
        <v>0</v>
      </c>
      <c r="E56" s="76">
        <f>'A9-Asset'!D48</f>
        <v>0</v>
      </c>
      <c r="F56" s="76">
        <f>'A9-Asset'!E48</f>
        <v>0</v>
      </c>
      <c r="G56" s="76">
        <f>'A9-Asset'!F48</f>
        <v>0</v>
      </c>
      <c r="H56" s="76">
        <f>'A9-Asset'!G48</f>
        <v>0</v>
      </c>
      <c r="I56" s="77">
        <f>'A9-Asset'!H48</f>
        <v>0</v>
      </c>
      <c r="J56" s="1011">
        <f>'A9-Asset'!I48</f>
        <v>0</v>
      </c>
      <c r="K56" s="78">
        <f>'A9-Asset'!I48</f>
        <v>0</v>
      </c>
      <c r="L56" s="76">
        <f>'A9-Asset'!J48</f>
        <v>0</v>
      </c>
      <c r="M56" s="79">
        <f>'A9-Asset'!K48</f>
        <v>0</v>
      </c>
    </row>
    <row r="57" spans="1:13">
      <c r="A57" s="70" t="s">
        <v>614</v>
      </c>
      <c r="B57" s="13"/>
      <c r="C57" s="13"/>
      <c r="D57" s="76">
        <f>SA34a!C61</f>
        <v>4333095</v>
      </c>
      <c r="E57" s="76">
        <f>SA34a!D61</f>
        <v>789901</v>
      </c>
      <c r="F57" s="76">
        <f>SA34a!E61</f>
        <v>167862</v>
      </c>
      <c r="G57" s="76">
        <f>SA34a!F61</f>
        <v>0</v>
      </c>
      <c r="H57" s="76">
        <f>SA34a!G61</f>
        <v>0</v>
      </c>
      <c r="I57" s="77">
        <f>SA34a!H61</f>
        <v>0</v>
      </c>
      <c r="J57" s="1011">
        <f>SA34a!I61</f>
        <v>0</v>
      </c>
      <c r="K57" s="78">
        <f>SA34a!I61</f>
        <v>0</v>
      </c>
      <c r="L57" s="76">
        <f>SA34a!J61</f>
        <v>0</v>
      </c>
      <c r="M57" s="79">
        <f>SA34a!K61</f>
        <v>0</v>
      </c>
    </row>
    <row r="58" spans="1:13">
      <c r="A58" s="8" t="s">
        <v>266</v>
      </c>
      <c r="B58" s="68"/>
      <c r="C58" s="68"/>
      <c r="D58" s="92" t="e">
        <f>SUM(D34,D37,D43,D47,D48,D49,D53)</f>
        <v>#REF!</v>
      </c>
      <c r="E58" s="92" t="e">
        <f t="shared" ref="E58:M58" si="12">SUM(E34,E37,E43,E47,E48,E49,E53)</f>
        <v>#REF!</v>
      </c>
      <c r="F58" s="92" t="e">
        <f t="shared" si="12"/>
        <v>#REF!</v>
      </c>
      <c r="G58" s="92" t="e">
        <f t="shared" si="12"/>
        <v>#REF!</v>
      </c>
      <c r="H58" s="92" t="e">
        <f t="shared" si="12"/>
        <v>#REF!</v>
      </c>
      <c r="I58" s="93" t="e">
        <f t="shared" si="12"/>
        <v>#REF!</v>
      </c>
      <c r="J58" s="1018" t="e">
        <f>SUM(J34,J37,J43,J47,J48,J49,J53)</f>
        <v>#REF!</v>
      </c>
      <c r="K58" s="94" t="e">
        <f t="shared" si="12"/>
        <v>#REF!</v>
      </c>
      <c r="L58" s="92" t="e">
        <f t="shared" si="12"/>
        <v>#REF!</v>
      </c>
      <c r="M58" s="95" t="e">
        <f t="shared" si="12"/>
        <v>#REF!</v>
      </c>
    </row>
    <row r="59" spans="1:13">
      <c r="A59" s="15" t="s">
        <v>277</v>
      </c>
      <c r="B59" s="13"/>
      <c r="C59" s="13"/>
      <c r="D59" s="80" t="e">
        <f>D31-D58</f>
        <v>#REF!</v>
      </c>
      <c r="E59" s="80" t="e">
        <f t="shared" ref="E59:M59" si="13">E31-E58</f>
        <v>#REF!</v>
      </c>
      <c r="F59" s="80" t="e">
        <f t="shared" si="13"/>
        <v>#REF!</v>
      </c>
      <c r="G59" s="80" t="e">
        <f t="shared" si="13"/>
        <v>#REF!</v>
      </c>
      <c r="H59" s="80" t="e">
        <f t="shared" si="13"/>
        <v>#REF!</v>
      </c>
      <c r="I59" s="81" t="e">
        <f t="shared" si="13"/>
        <v>#REF!</v>
      </c>
      <c r="J59" s="1012" t="e">
        <f t="shared" si="13"/>
        <v>#REF!</v>
      </c>
      <c r="K59" s="82" t="e">
        <f t="shared" si="13"/>
        <v>#REF!</v>
      </c>
      <c r="L59" s="80" t="e">
        <f t="shared" si="13"/>
        <v>#REF!</v>
      </c>
      <c r="M59" s="83" t="e">
        <f t="shared" si="13"/>
        <v>#REF!</v>
      </c>
    </row>
    <row r="60" spans="1:13">
      <c r="A60" s="69" t="s">
        <v>1440</v>
      </c>
      <c r="B60" s="13"/>
      <c r="C60" s="13"/>
      <c r="D60" s="80"/>
      <c r="E60" s="80"/>
      <c r="F60" s="80"/>
      <c r="G60" s="80"/>
      <c r="H60" s="80"/>
      <c r="I60" s="81"/>
      <c r="J60" s="1012"/>
      <c r="K60" s="82"/>
      <c r="L60" s="80"/>
      <c r="M60" s="83"/>
    </row>
    <row r="61" spans="1:13">
      <c r="A61" s="97" t="str">
        <f>'A7-CFlow'!A30</f>
        <v>Borrowing long term/refinancing</v>
      </c>
      <c r="B61" s="13"/>
      <c r="C61" s="13"/>
      <c r="D61" s="110">
        <f>SUM('A7-CFlow'!C29,'A7-CFlow'!C30)</f>
        <v>0</v>
      </c>
      <c r="E61" s="110">
        <f>SUM('A7-CFlow'!D29,'A7-CFlow'!D30)</f>
        <v>0</v>
      </c>
      <c r="F61" s="110">
        <f>SUM('A7-CFlow'!E29,'A7-CFlow'!E30)</f>
        <v>0</v>
      </c>
      <c r="G61" s="110">
        <f>SUM('A7-CFlow'!F29,'A7-CFlow'!F30)</f>
        <v>0</v>
      </c>
      <c r="H61" s="110">
        <f>SUM('A7-CFlow'!G29,'A7-CFlow'!G30)</f>
        <v>0</v>
      </c>
      <c r="I61" s="111">
        <f>SUM('A7-CFlow'!H29,'A7-CFlow'!H30)</f>
        <v>0</v>
      </c>
      <c r="J61" s="1017">
        <f>SUM('A7-CFlow'!I29,'A7-CFlow'!I30)</f>
        <v>0</v>
      </c>
      <c r="K61" s="112">
        <f>SUM('A7-CFlow'!J29,'A7-CFlow'!J30)</f>
        <v>349325000</v>
      </c>
      <c r="L61" s="110">
        <f>SUM('A7-CFlow'!K29,'A7-CFlow'!K30)</f>
        <v>462500000</v>
      </c>
      <c r="M61" s="116">
        <f>SUM('A7-CFlow'!L29,'A7-CFlow'!L30)</f>
        <v>27500000</v>
      </c>
    </row>
    <row r="62" spans="1:13">
      <c r="A62" s="70" t="s">
        <v>1514</v>
      </c>
      <c r="B62" s="13"/>
      <c r="C62" s="13"/>
      <c r="D62" s="110">
        <f>'A7-CFlow'!C31</f>
        <v>593675</v>
      </c>
      <c r="E62" s="110">
        <f>'A7-CFlow'!D31</f>
        <v>665966</v>
      </c>
      <c r="F62" s="110">
        <f>'A7-CFlow'!E31</f>
        <v>0</v>
      </c>
      <c r="G62" s="110">
        <f>'A7-CFlow'!F31</f>
        <v>8615840</v>
      </c>
      <c r="H62" s="110">
        <f>'A7-CFlow'!G31</f>
        <v>18511461</v>
      </c>
      <c r="I62" s="111">
        <f>'A7-CFlow'!H31</f>
        <v>18511461</v>
      </c>
      <c r="J62" s="1017">
        <f>'A7-CFlow'!I31</f>
        <v>18511461</v>
      </c>
      <c r="K62" s="112">
        <f>'A7-CFlow'!J31</f>
        <v>815521</v>
      </c>
      <c r="L62" s="110">
        <f>'A7-CFlow'!K31</f>
        <v>858849</v>
      </c>
      <c r="M62" s="116">
        <f>'A7-CFlow'!L31</f>
        <v>904368</v>
      </c>
    </row>
    <row r="63" spans="1:13">
      <c r="A63" s="70" t="s">
        <v>993</v>
      </c>
      <c r="B63" s="13"/>
      <c r="C63" s="13"/>
      <c r="D63" s="110">
        <f>IF('A7-CFlow'!C22&gt;0,'A7-CFlow'!C22,0)</f>
        <v>0</v>
      </c>
      <c r="E63" s="110">
        <f>IF('A7-CFlow'!D22&gt;0,'A7-CFlow'!D22,0)</f>
        <v>0</v>
      </c>
      <c r="F63" s="110">
        <f>IF('A7-CFlow'!E22&gt;0,'A7-CFlow'!E22,0)</f>
        <v>0</v>
      </c>
      <c r="G63" s="110">
        <f>IF('A7-CFlow'!F22&gt;0,'A7-CFlow'!F22,0)</f>
        <v>0</v>
      </c>
      <c r="H63" s="110">
        <f>IF('A7-CFlow'!G22&gt;0,'A7-CFlow'!G22,0)</f>
        <v>300000000</v>
      </c>
      <c r="I63" s="111">
        <f>IF('A7-CFlow'!H22&gt;0,'A7-CFlow'!H22,0)</f>
        <v>600000000</v>
      </c>
      <c r="J63" s="1017">
        <f>IF('A7-CFlow'!I22&gt;0,'A7-CFlow'!I22,0)</f>
        <v>600000000</v>
      </c>
      <c r="K63" s="112">
        <f>IF('A7-CFlow'!J22&gt;0,'A7-CFlow'!J22,0)</f>
        <v>200000000</v>
      </c>
      <c r="L63" s="110">
        <f>IF('A7-CFlow'!K22&gt;0,'A7-CFlow'!K22,0)</f>
        <v>150000000</v>
      </c>
      <c r="M63" s="116">
        <f>IF('A7-CFlow'!L22&gt;0,'A7-CFlow'!L22,0)</f>
        <v>100000000</v>
      </c>
    </row>
    <row r="64" spans="1:13">
      <c r="A64" s="70" t="s">
        <v>342</v>
      </c>
      <c r="B64" s="13"/>
      <c r="C64" s="13"/>
      <c r="D64" s="110">
        <f>IF('A7-CFlow'!C22&lt;0,'A7-CFlow'!C22,0)</f>
        <v>0</v>
      </c>
      <c r="E64" s="110">
        <f>IF('A7-CFlow'!D22&lt;0,'A7-CFlow'!D22,0)</f>
        <v>0</v>
      </c>
      <c r="F64" s="110">
        <f>IF('A7-CFlow'!E22&lt;0,'A7-CFlow'!E22,0)</f>
        <v>-106044</v>
      </c>
      <c r="G64" s="110">
        <f>IF('A7-CFlow'!F22&lt;0,'A7-CFlow'!F22,0)</f>
        <v>0</v>
      </c>
      <c r="H64" s="110">
        <f>IF('A7-CFlow'!G22&lt;0,'A7-CFlow'!G22,0)</f>
        <v>0</v>
      </c>
      <c r="I64" s="111">
        <f>IF('A7-CFlow'!H22&lt;0,'A7-CFlow'!H22,0)</f>
        <v>0</v>
      </c>
      <c r="J64" s="1017">
        <f>IF('A7-CFlow'!I22&lt;0,'A7-CFlow'!I22,0)</f>
        <v>0</v>
      </c>
      <c r="K64" s="112">
        <f>IF('A7-CFlow'!J22&lt;0,'A7-CFlow'!J22,0)</f>
        <v>0</v>
      </c>
      <c r="L64" s="110">
        <f>IF('A7-CFlow'!K22&lt;0,'A7-CFlow'!K22,0)</f>
        <v>0</v>
      </c>
      <c r="M64" s="116">
        <f>IF('A7-CFlow'!L22&lt;0,'A7-CFlow'!L22,0)</f>
        <v>0</v>
      </c>
    </row>
    <row r="65" spans="1:13">
      <c r="A65" s="70" t="str">
        <f>'A7-CFlow'!A33</f>
        <v>Repayment of borrowing</v>
      </c>
      <c r="B65" s="13"/>
      <c r="C65" s="13"/>
      <c r="D65" s="110">
        <f>'A7-CFlow'!C33</f>
        <v>-3311200</v>
      </c>
      <c r="E65" s="110">
        <f>'A7-CFlow'!D33</f>
        <v>685061</v>
      </c>
      <c r="F65" s="110">
        <f>'A7-CFlow'!E33</f>
        <v>-7636943</v>
      </c>
      <c r="G65" s="110">
        <f>'A7-CFlow'!F33</f>
        <v>-6529874</v>
      </c>
      <c r="H65" s="110">
        <f>'A7-CFlow'!G33</f>
        <v>-2529874</v>
      </c>
      <c r="I65" s="111">
        <f>'A7-CFlow'!H33</f>
        <v>-2529874</v>
      </c>
      <c r="J65" s="1017">
        <f>'A7-CFlow'!I33</f>
        <v>-2529874</v>
      </c>
      <c r="K65" s="112">
        <f>'A7-CFlow'!J33</f>
        <v>-43410840.799999997</v>
      </c>
      <c r="L65" s="110">
        <f>'A7-CFlow'!K33</f>
        <v>-49574020.240000002</v>
      </c>
      <c r="M65" s="116">
        <f>'A7-CFlow'!L33</f>
        <v>-55903232.640000001</v>
      </c>
    </row>
    <row r="66" spans="1:13">
      <c r="A66" s="37" t="str">
        <f>A59&amp;" and Financing"</f>
        <v>Receipts less payments and Financing</v>
      </c>
      <c r="B66" s="13"/>
      <c r="C66" s="13"/>
      <c r="D66" s="80" t="e">
        <f>SUM(D59:D65)</f>
        <v>#REF!</v>
      </c>
      <c r="E66" s="80" t="e">
        <f t="shared" ref="E66:M66" si="14">SUM(E59:E65)</f>
        <v>#REF!</v>
      </c>
      <c r="F66" s="80" t="e">
        <f t="shared" si="14"/>
        <v>#REF!</v>
      </c>
      <c r="G66" s="80" t="e">
        <f t="shared" si="14"/>
        <v>#REF!</v>
      </c>
      <c r="H66" s="80" t="e">
        <f t="shared" si="14"/>
        <v>#REF!</v>
      </c>
      <c r="I66" s="81" t="e">
        <f t="shared" si="14"/>
        <v>#REF!</v>
      </c>
      <c r="J66" s="1012" t="e">
        <f t="shared" si="14"/>
        <v>#REF!</v>
      </c>
      <c r="K66" s="82" t="e">
        <f t="shared" si="14"/>
        <v>#REF!</v>
      </c>
      <c r="L66" s="80" t="e">
        <f t="shared" si="14"/>
        <v>#REF!</v>
      </c>
      <c r="M66" s="83" t="e">
        <f t="shared" si="14"/>
        <v>#REF!</v>
      </c>
    </row>
    <row r="67" spans="1:13">
      <c r="A67" s="15" t="s">
        <v>278</v>
      </c>
      <c r="B67" s="13"/>
      <c r="C67" s="13"/>
      <c r="D67" s="80">
        <f>'A7-CFlow'!C36</f>
        <v>-47535209</v>
      </c>
      <c r="E67" s="80">
        <f>'A7-CFlow'!D36</f>
        <v>129809216</v>
      </c>
      <c r="F67" s="80">
        <f>'A7-CFlow'!E36</f>
        <v>226676635</v>
      </c>
      <c r="G67" s="80">
        <f>'A7-CFlow'!F36</f>
        <v>-88527451</v>
      </c>
      <c r="H67" s="80">
        <f>'A7-CFlow'!G36</f>
        <v>-64681400</v>
      </c>
      <c r="I67" s="81">
        <f>'A7-CFlow'!H36</f>
        <v>235318600</v>
      </c>
      <c r="J67" s="1012">
        <f>'A7-CFlow'!I36</f>
        <v>235318600</v>
      </c>
      <c r="K67" s="82">
        <f>'A7-CFlow'!J36</f>
        <v>61334418.580000103</v>
      </c>
      <c r="L67" s="80">
        <f>'A7-CFlow'!K36</f>
        <v>-226232323.83999991</v>
      </c>
      <c r="M67" s="83">
        <f>'A7-CFlow'!L36</f>
        <v>144771456.36000001</v>
      </c>
    </row>
    <row r="68" spans="1:13" ht="11" thickBot="1">
      <c r="A68" s="14"/>
      <c r="B68" s="14"/>
      <c r="C68" s="14"/>
      <c r="D68" s="96" t="e">
        <f>D66-D67</f>
        <v>#REF!</v>
      </c>
      <c r="E68" s="96" t="e">
        <f t="shared" ref="E68:M68" si="15">E66-E67</f>
        <v>#REF!</v>
      </c>
      <c r="F68" s="96" t="e">
        <f t="shared" si="15"/>
        <v>#REF!</v>
      </c>
      <c r="G68" s="96" t="e">
        <f t="shared" si="15"/>
        <v>#REF!</v>
      </c>
      <c r="H68" s="96" t="e">
        <f t="shared" si="15"/>
        <v>#REF!</v>
      </c>
      <c r="I68" s="126" t="e">
        <f t="shared" si="15"/>
        <v>#REF!</v>
      </c>
      <c r="J68" s="1021" t="e">
        <f t="shared" si="15"/>
        <v>#REF!</v>
      </c>
      <c r="K68" s="127" t="e">
        <f t="shared" si="15"/>
        <v>#REF!</v>
      </c>
      <c r="L68" s="128" t="e">
        <f t="shared" si="15"/>
        <v>#REF!</v>
      </c>
      <c r="M68" s="129" t="e">
        <f t="shared" si="15"/>
        <v>#REF!</v>
      </c>
    </row>
    <row r="70" spans="1:13">
      <c r="A70" s="2" t="s">
        <v>267</v>
      </c>
      <c r="C70" s="73"/>
      <c r="D70" s="72">
        <f>'A7-CFlow'!C20+'A7-CFlow'!C21-NERF!D74</f>
        <v>-3815584.8333333321</v>
      </c>
      <c r="E70" s="72">
        <f>'A7-CFlow'!D20+'A7-CFlow'!D21-NERF!E74</f>
        <v>-9378653</v>
      </c>
      <c r="F70" s="72">
        <f>'A7-CFlow'!E20+'A7-CFlow'!E21-NERF!F74</f>
        <v>-40741523</v>
      </c>
      <c r="G70" s="72">
        <f>'A7-CFlow'!F20+'A7-CFlow'!F21-NERF!G74</f>
        <v>49648352.960000001</v>
      </c>
      <c r="H70" s="72">
        <f>'A7-CFlow'!G20+'A7-CFlow'!G21-NERF!H74</f>
        <v>1550409</v>
      </c>
      <c r="I70" s="72">
        <f>'A7-CFlow'!H20+'A7-CFlow'!H21-NERF!I74</f>
        <v>1550409</v>
      </c>
      <c r="J70" s="72">
        <f>'A7-CFlow'!I20+'A7-CFlow'!I21-NERF!J74</f>
        <v>1550409</v>
      </c>
      <c r="K70" s="72">
        <f>'A7-CFlow'!J20+'A7-CFlow'!J21-NERF!K74</f>
        <v>-42922936.710000001</v>
      </c>
      <c r="L70" s="72">
        <f>'A7-CFlow'!K20+'A7-CFlow'!K21-NERF!L74</f>
        <v>-2813525.137500003</v>
      </c>
      <c r="M70" s="72">
        <f>'A7-CFlow'!L20+'A7-CFlow'!L21-NERF!M74</f>
        <v>-2954201.3943750039</v>
      </c>
    </row>
    <row r="71" spans="1:13">
      <c r="A71" s="2" t="s">
        <v>1600</v>
      </c>
      <c r="C71" s="77"/>
      <c r="D71" s="124">
        <f t="shared" ref="D71:M71" si="16">IF(ISERROR(ROUND(D70*D76,0)),0,(ROUND(D70*D76,0)))</f>
        <v>-408268</v>
      </c>
      <c r="E71" s="76">
        <f t="shared" si="16"/>
        <v>-937865</v>
      </c>
      <c r="F71" s="76">
        <f t="shared" si="16"/>
        <v>-4685275</v>
      </c>
      <c r="G71" s="76">
        <f t="shared" si="16"/>
        <v>4071165</v>
      </c>
      <c r="H71" s="76">
        <f t="shared" si="16"/>
        <v>119381</v>
      </c>
      <c r="I71" s="76">
        <f t="shared" si="16"/>
        <v>119381</v>
      </c>
      <c r="J71" s="76">
        <f t="shared" si="16"/>
        <v>119381</v>
      </c>
      <c r="K71" s="76">
        <f t="shared" si="16"/>
        <v>-3820141</v>
      </c>
      <c r="L71" s="76">
        <f t="shared" si="16"/>
        <v>-244777</v>
      </c>
      <c r="M71" s="76">
        <f t="shared" si="16"/>
        <v>-242245</v>
      </c>
    </row>
    <row r="72" spans="1:13">
      <c r="A72" s="2" t="s">
        <v>1602</v>
      </c>
      <c r="C72" s="10"/>
      <c r="D72" s="76">
        <f>D70-D71</f>
        <v>-3407316.8333333321</v>
      </c>
      <c r="E72" s="76">
        <f t="shared" ref="E72:M72" si="17">E70-E71</f>
        <v>-8440788</v>
      </c>
      <c r="F72" s="76">
        <f t="shared" si="17"/>
        <v>-36056248</v>
      </c>
      <c r="G72" s="76">
        <f t="shared" si="17"/>
        <v>45577187.960000001</v>
      </c>
      <c r="H72" s="76">
        <f t="shared" si="17"/>
        <v>1431028</v>
      </c>
      <c r="I72" s="76">
        <f t="shared" si="17"/>
        <v>1431028</v>
      </c>
      <c r="J72" s="76">
        <f t="shared" si="17"/>
        <v>1431028</v>
      </c>
      <c r="K72" s="76">
        <f t="shared" si="17"/>
        <v>-39102795.710000001</v>
      </c>
      <c r="L72" s="76">
        <f t="shared" si="17"/>
        <v>-2568748.137500003</v>
      </c>
      <c r="M72" s="76">
        <f t="shared" si="17"/>
        <v>-2711956.3943750039</v>
      </c>
    </row>
    <row r="73" spans="1:13">
      <c r="A73" s="2" t="str">
        <f>'A6-FinPos'!A9</f>
        <v>Other debtors</v>
      </c>
      <c r="C73" s="77">
        <f>TREND(D73:F73)</f>
        <v>4284887.1666666679</v>
      </c>
      <c r="D73" s="76">
        <f>'A6-FinPos'!C9</f>
        <v>9041076</v>
      </c>
      <c r="E73" s="76">
        <f>'A6-FinPos'!D9</f>
        <v>21245466</v>
      </c>
      <c r="F73" s="76">
        <f>'A6-FinPos'!E9</f>
        <v>61986989</v>
      </c>
      <c r="G73" s="76">
        <f>'A6-FinPos'!F9</f>
        <v>13889045.039999999</v>
      </c>
      <c r="H73" s="76">
        <f>'A6-FinPos'!G9</f>
        <v>13889045.039999999</v>
      </c>
      <c r="I73" s="76">
        <f>'A6-FinPos'!H9</f>
        <v>13889045.039999999</v>
      </c>
      <c r="J73" s="76">
        <f>'A6-FinPos'!I9</f>
        <v>13889045.039999999</v>
      </c>
      <c r="K73" s="76">
        <f>'A6-FinPos'!J9</f>
        <v>56811981.75</v>
      </c>
      <c r="L73" s="76">
        <f>'A6-FinPos'!K9</f>
        <v>59625506.887500003</v>
      </c>
      <c r="M73" s="76">
        <f>'A6-FinPos'!L9</f>
        <v>62579708.281875007</v>
      </c>
    </row>
    <row r="74" spans="1:13">
      <c r="A74" s="2" t="s">
        <v>268</v>
      </c>
      <c r="C74" s="77"/>
      <c r="D74" s="76">
        <f>D73-C73</f>
        <v>4756188.8333333321</v>
      </c>
      <c r="E74" s="76">
        <f t="shared" ref="E74:M74" si="18">E73-D73</f>
        <v>12204390</v>
      </c>
      <c r="F74" s="76">
        <f t="shared" si="18"/>
        <v>40741523</v>
      </c>
      <c r="G74" s="76">
        <f t="shared" si="18"/>
        <v>-48097943.960000001</v>
      </c>
      <c r="H74" s="76">
        <f t="shared" si="18"/>
        <v>0</v>
      </c>
      <c r="I74" s="76">
        <f t="shared" si="18"/>
        <v>0</v>
      </c>
      <c r="J74" s="76">
        <f t="shared" si="18"/>
        <v>0</v>
      </c>
      <c r="K74" s="76">
        <f>K73-I73</f>
        <v>42922936.710000001</v>
      </c>
      <c r="L74" s="76">
        <f t="shared" si="18"/>
        <v>2813525.137500003</v>
      </c>
      <c r="M74" s="76">
        <f t="shared" si="18"/>
        <v>2954201.3943750039</v>
      </c>
    </row>
    <row r="75" spans="1:13">
      <c r="C75" s="10"/>
      <c r="D75" s="13"/>
      <c r="E75" s="13"/>
      <c r="F75" s="13"/>
      <c r="G75" s="13"/>
      <c r="H75" s="13"/>
      <c r="I75" s="13"/>
      <c r="J75" s="13"/>
      <c r="K75" s="13"/>
      <c r="L75" s="13"/>
      <c r="M75" s="13"/>
    </row>
    <row r="76" spans="1:13">
      <c r="A76" s="2" t="s">
        <v>1601</v>
      </c>
      <c r="C76" s="10"/>
      <c r="D76" s="56">
        <f>IF(ISERROR(ROUND(('A4-FinPerf RE'!C5+'A4-FinPerf RE'!C6)/SUM('A4-FinPerf RE'!C5:C11),3)),0,(ROUND(('A4-FinPerf RE'!C5+'A4-FinPerf RE'!C6)/SUM('A4-FinPerf RE'!C5:C11),3)))</f>
        <v>0.107</v>
      </c>
      <c r="E76" s="56">
        <f>IF(ISERROR(ROUND(('A4-FinPerf RE'!D5+'A4-FinPerf RE'!D6)/SUM('A4-FinPerf RE'!D5:D11),3)),0,(ROUND(('A4-FinPerf RE'!D5+'A4-FinPerf RE'!D6)/SUM('A4-FinPerf RE'!D5:D11),3)))</f>
        <v>0.1</v>
      </c>
      <c r="F76" s="56">
        <f>IF(ISERROR(ROUND(('A4-FinPerf RE'!E5+'A4-FinPerf RE'!E6)/SUM('A4-FinPerf RE'!E5:E11),3)),0,(ROUND(('A4-FinPerf RE'!E5+'A4-FinPerf RE'!E6)/SUM('A4-FinPerf RE'!E5:E11),3)))</f>
        <v>0.115</v>
      </c>
      <c r="G76" s="56">
        <f>IF(ISERROR(ROUND(('A4-FinPerf RE'!F5+'A4-FinPerf RE'!F6)/SUM('A4-FinPerf RE'!F5:F11),3)),0,(ROUND(('A4-FinPerf RE'!F5+'A4-FinPerf RE'!F6)/SUM('A4-FinPerf RE'!F5:F11),3)))</f>
        <v>8.2000000000000003E-2</v>
      </c>
      <c r="H76" s="56">
        <f>IF(ISERROR(ROUND(('A4-FinPerf RE'!G5+'A4-FinPerf RE'!G6)/SUM('A4-FinPerf RE'!G5:G11),3)),0,(ROUND(('A4-FinPerf RE'!G5+'A4-FinPerf RE'!G6)/SUM('A4-FinPerf RE'!G5:G11),3)))</f>
        <v>7.6999999999999999E-2</v>
      </c>
      <c r="I76" s="56">
        <f>IF(ISERROR(ROUND(('A4-FinPerf RE'!H5+'A4-FinPerf RE'!H6)/SUM('A4-FinPerf RE'!H5:H11),3)),0,(ROUND(('A4-FinPerf RE'!H5+'A4-FinPerf RE'!H6)/SUM('A4-FinPerf RE'!H5:H11),3)))</f>
        <v>7.6999999999999999E-2</v>
      </c>
      <c r="J76" s="56">
        <f>IF(ISERROR(ROUND(('A4-FinPerf RE'!I5+'A4-FinPerf RE'!I6)/SUM('A4-FinPerf RE'!I5:I11),3)),0,(ROUND(('A4-FinPerf RE'!I5+'A4-FinPerf RE'!I6)/SUM('A4-FinPerf RE'!I5:I11),3)))</f>
        <v>7.6999999999999999E-2</v>
      </c>
      <c r="K76" s="56">
        <f>IF(ISERROR(ROUND(('A4-FinPerf RE'!J5+'A4-FinPerf RE'!J6)/SUM('A4-FinPerf RE'!J5:J11),3)),0,(ROUND(('A4-FinPerf RE'!J5+'A4-FinPerf RE'!J6)/SUM('A4-FinPerf RE'!J5:J11),3)))</f>
        <v>8.8999999999999996E-2</v>
      </c>
      <c r="L76" s="56">
        <f>IF(ISERROR(ROUND(('A4-FinPerf RE'!K5+'A4-FinPerf RE'!K6)/SUM('A4-FinPerf RE'!K5:K11),3)),0,(ROUND(('A4-FinPerf RE'!K5+'A4-FinPerf RE'!K6)/SUM('A4-FinPerf RE'!K5:K11),3)))</f>
        <v>8.6999999999999994E-2</v>
      </c>
      <c r="M76" s="56">
        <f>IF(ISERROR(ROUND(('A4-FinPerf RE'!L5+'A4-FinPerf RE'!L6)/SUM('A4-FinPerf RE'!L5:L11),3)),0,(ROUND(('A4-FinPerf RE'!L5+'A4-FinPerf RE'!L6)/SUM('A4-FinPerf RE'!L5:L11),3)))</f>
        <v>8.2000000000000003E-2</v>
      </c>
    </row>
    <row r="77" spans="1:13">
      <c r="A77" s="2" t="s">
        <v>1443</v>
      </c>
      <c r="C77" s="77"/>
      <c r="D77" s="76" t="e">
        <f>D31-'A7-CFlow'!C43</f>
        <v>#REF!</v>
      </c>
      <c r="E77" s="76" t="e">
        <f>E31-'A7-CFlow'!D43</f>
        <v>#REF!</v>
      </c>
      <c r="F77" s="76" t="e">
        <f>F31-'A7-CFlow'!E43</f>
        <v>#REF!</v>
      </c>
      <c r="G77" s="76" t="e">
        <f>G31-'A7-CFlow'!F43</f>
        <v>#REF!</v>
      </c>
      <c r="H77" s="76" t="e">
        <f>H31-'A7-CFlow'!G43</f>
        <v>#REF!</v>
      </c>
      <c r="I77" s="76" t="e">
        <f>I31-'A7-CFlow'!H43</f>
        <v>#REF!</v>
      </c>
      <c r="J77" s="76" t="e">
        <f>J31-'A7-CFlow'!I43</f>
        <v>#REF!</v>
      </c>
      <c r="K77" s="76" t="e">
        <f>K31-'A7-CFlow'!J43</f>
        <v>#REF!</v>
      </c>
      <c r="L77" s="76" t="e">
        <f>L31-'A7-CFlow'!K43</f>
        <v>#REF!</v>
      </c>
      <c r="M77" s="76" t="e">
        <f>M31-'A7-CFlow'!L43</f>
        <v>#REF!</v>
      </c>
    </row>
    <row r="78" spans="1:13">
      <c r="A78" s="2" t="s">
        <v>1441</v>
      </c>
      <c r="D78" s="76">
        <f>'A7-CFlow'!C20+'A7-CFlow'!C21-NERF!D71-NERF!D72-NERF!D74</f>
        <v>0</v>
      </c>
      <c r="E78" s="76">
        <f>'A7-CFlow'!D20+'A7-CFlow'!D21-NERF!E71-NERF!E72-NERF!E74</f>
        <v>0</v>
      </c>
      <c r="F78" s="76">
        <f>'A7-CFlow'!E20+'A7-CFlow'!E21-NERF!F71-NERF!F72-NERF!F74</f>
        <v>0</v>
      </c>
      <c r="G78" s="76">
        <f>'A7-CFlow'!F20+'A7-CFlow'!F21-NERF!G71-NERF!G72-NERF!G74</f>
        <v>0</v>
      </c>
      <c r="H78" s="76">
        <f>'A7-CFlow'!G20+'A7-CFlow'!G21-NERF!H71-NERF!H72-NERF!H74</f>
        <v>0</v>
      </c>
      <c r="I78" s="76">
        <f>'A7-CFlow'!H20+'A7-CFlow'!H21-NERF!I71-NERF!I72-NERF!I74</f>
        <v>0</v>
      </c>
      <c r="J78" s="76">
        <f>'A7-CFlow'!I20+'A7-CFlow'!I21-NERF!J71-NERF!J72-NERF!J74</f>
        <v>0</v>
      </c>
      <c r="K78" s="76">
        <f>'A7-CFlow'!J20+'A7-CFlow'!J21-NERF!K71-NERF!K72-NERF!K74</f>
        <v>0</v>
      </c>
      <c r="L78" s="76">
        <f>'A7-CFlow'!K20+'A7-CFlow'!K21-NERF!L71-NERF!L72-NERF!L74</f>
        <v>0</v>
      </c>
      <c r="M78" s="76">
        <f>'A7-CFlow'!L20+'A7-CFlow'!L21-NERF!M71-NERF!M72-NERF!M74</f>
        <v>0</v>
      </c>
    </row>
    <row r="79" spans="1:13">
      <c r="D79" s="13"/>
      <c r="E79" s="13"/>
      <c r="F79" s="13"/>
      <c r="G79" s="13"/>
      <c r="H79" s="13"/>
      <c r="I79" s="13"/>
      <c r="J79" s="13"/>
      <c r="K79" s="13"/>
      <c r="L79" s="13"/>
      <c r="M79" s="13"/>
    </row>
    <row r="80" spans="1:13">
      <c r="A80" s="2" t="s">
        <v>1442</v>
      </c>
      <c r="D80" s="76" t="e">
        <f>D58+'A7-CFlow'!C44</f>
        <v>#REF!</v>
      </c>
      <c r="E80" s="76" t="e">
        <f>E58+'A7-CFlow'!D44</f>
        <v>#REF!</v>
      </c>
      <c r="F80" s="76" t="e">
        <f>F58+'A7-CFlow'!E44</f>
        <v>#REF!</v>
      </c>
      <c r="G80" s="76" t="e">
        <f>G58+'A7-CFlow'!F44</f>
        <v>#REF!</v>
      </c>
      <c r="H80" s="76" t="e">
        <f>H58+'A7-CFlow'!G44</f>
        <v>#REF!</v>
      </c>
      <c r="I80" s="76" t="e">
        <f>I58+'A7-CFlow'!H44</f>
        <v>#REF!</v>
      </c>
      <c r="J80" s="76" t="e">
        <f>J58+'A7-CFlow'!I44</f>
        <v>#REF!</v>
      </c>
      <c r="K80" s="76" t="e">
        <f>K58+'A7-CFlow'!J44</f>
        <v>#REF!</v>
      </c>
      <c r="L80" s="76" t="e">
        <f>L58+'A7-CFlow'!K44</f>
        <v>#REF!</v>
      </c>
      <c r="M80" s="76" t="e">
        <f>M58+'A7-CFlow'!L44</f>
        <v>#REF!</v>
      </c>
    </row>
    <row r="81" spans="1:13">
      <c r="D81" s="13"/>
      <c r="E81" s="13"/>
      <c r="F81" s="13"/>
      <c r="G81" s="13"/>
      <c r="H81" s="13"/>
      <c r="I81" s="13"/>
      <c r="J81" s="13"/>
      <c r="K81" s="13"/>
      <c r="L81" s="13"/>
      <c r="M81" s="13"/>
    </row>
    <row r="82" spans="1:13">
      <c r="A82" s="2" t="s">
        <v>1444</v>
      </c>
      <c r="D82" s="14"/>
      <c r="E82" s="14"/>
      <c r="F82" s="14"/>
      <c r="G82" s="14"/>
      <c r="H82" s="14"/>
      <c r="I82" s="14"/>
      <c r="J82" s="14"/>
      <c r="K82" s="14"/>
      <c r="L82" s="14"/>
      <c r="M82" s="14"/>
    </row>
    <row r="83" spans="1:13">
      <c r="D83" s="123"/>
      <c r="E83" s="123"/>
      <c r="F83" s="123"/>
      <c r="G83" s="123"/>
      <c r="H83" s="123"/>
      <c r="I83" s="123"/>
      <c r="J83" s="123"/>
      <c r="K83" s="123"/>
      <c r="L83" s="123"/>
      <c r="M83" s="123"/>
    </row>
  </sheetData>
  <sheetProtection selectLockedCells="1"/>
  <mergeCells count="5">
    <mergeCell ref="A1:M1"/>
    <mergeCell ref="A3:A5"/>
    <mergeCell ref="B3:B4"/>
    <mergeCell ref="G3:I3"/>
    <mergeCell ref="K3:M3"/>
  </mergeCells>
  <phoneticPr fontId="5" type="noConversion"/>
  <printOptions horizontalCentered="1"/>
  <pageMargins left="0.35433070866141736" right="0.23622047244094491" top="0.78740157480314965" bottom="0.59055118110236227" header="0.51181102362204722" footer="0.39370078740157483"/>
  <headerFooter alignWithMargins="0"/>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indexed="45"/>
  </sheetPr>
  <dimension ref="A1:H37"/>
  <sheetViews>
    <sheetView workbookViewId="0">
      <pane xSplit="1" ySplit="3" topLeftCell="B4" activePane="bottomRight" state="frozen"/>
      <selection pane="topRight"/>
      <selection pane="bottomLeft"/>
      <selection pane="bottomRight"/>
    </sheetView>
  </sheetViews>
  <sheetFormatPr baseColWidth="10" defaultColWidth="8.83203125" defaultRowHeight="10" x14ac:dyDescent="0"/>
  <cols>
    <col min="1" max="1" width="20.6640625" style="2" customWidth="1"/>
    <col min="2" max="2" width="33.5" style="2" bestFit="1" customWidth="1"/>
    <col min="3" max="3" width="33.5" style="2" customWidth="1"/>
    <col min="4" max="4" width="23.5" style="2" bestFit="1" customWidth="1"/>
    <col min="5" max="5" width="33.1640625" style="2" bestFit="1" customWidth="1"/>
    <col min="6" max="6" width="29" style="2" bestFit="1" customWidth="1"/>
    <col min="7" max="7" width="38" style="2" bestFit="1" customWidth="1"/>
    <col min="8" max="8" width="16" style="2" bestFit="1" customWidth="1"/>
    <col min="9" max="16384" width="8.83203125" style="2"/>
  </cols>
  <sheetData>
    <row r="1" spans="1:8" ht="12">
      <c r="A1" s="1184" t="s">
        <v>1840</v>
      </c>
    </row>
    <row r="2" spans="1:8" s="130" customFormat="1" ht="20">
      <c r="A2" s="131" t="s">
        <v>1722</v>
      </c>
      <c r="B2" s="2849" t="str">
        <f>'A4-FinPerf RE'!A4</f>
        <v>Revenue By Source</v>
      </c>
      <c r="C2" s="2850"/>
      <c r="D2" s="2849" t="str">
        <f>'A4-FinPerf RE'!A24</f>
        <v>Expenditure By Type</v>
      </c>
      <c r="E2" s="2850"/>
      <c r="F2" s="131" t="s">
        <v>1671</v>
      </c>
      <c r="G2" s="131" t="s">
        <v>1465</v>
      </c>
      <c r="H2" s="131" t="s">
        <v>1466</v>
      </c>
    </row>
    <row r="3" spans="1:8" s="130" customFormat="1">
      <c r="A3" s="133"/>
      <c r="B3" s="131" t="s">
        <v>1266</v>
      </c>
      <c r="C3" s="135" t="s">
        <v>1467</v>
      </c>
      <c r="D3" s="135" t="str">
        <f>B3</f>
        <v>Top level</v>
      </c>
      <c r="E3" s="135" t="str">
        <f>C3</f>
        <v>Supporting table level</v>
      </c>
      <c r="F3" s="135"/>
      <c r="G3" s="135"/>
      <c r="H3" s="134"/>
    </row>
    <row r="4" spans="1:8">
      <c r="A4" s="2" t="str">
        <f>'A2-FinPerf SC'!A5</f>
        <v>Governance and administration</v>
      </c>
      <c r="B4" s="2" t="str">
        <f>'A4-FinPerf RE'!A5</f>
        <v>Property rates</v>
      </c>
      <c r="D4" s="2" t="str">
        <f>'A4-FinPerf RE'!A25</f>
        <v>Employee related costs</v>
      </c>
      <c r="E4" s="2" t="str">
        <f>'SA1'!A49</f>
        <v>Basic Salaries and Wages</v>
      </c>
      <c r="F4" s="3" t="str">
        <f>'A6-FinPos'!A4</f>
        <v>ASSETS</v>
      </c>
      <c r="G4" s="3" t="str">
        <f>'A7-CFlow'!A4</f>
        <v>CASH FLOW FROM OPERATING ACTIVITIES</v>
      </c>
      <c r="H4" s="2" t="str">
        <f>'A9-Asset'!A11</f>
        <v>Infrastructure</v>
      </c>
    </row>
    <row r="5" spans="1:8">
      <c r="A5" s="2" t="str">
        <f>'A2-FinPerf SC'!A6</f>
        <v>Executive and council</v>
      </c>
      <c r="B5" s="2" t="str">
        <f>'A4-FinPerf RE'!A6</f>
        <v>Property rates - penalties &amp; collection charges</v>
      </c>
      <c r="E5" s="2" t="str">
        <f>'SA1'!A50</f>
        <v>Pension and UIF Contributions</v>
      </c>
      <c r="F5" s="132" t="str">
        <f>'A6-FinPos'!A5</f>
        <v>Current assets</v>
      </c>
      <c r="G5" s="132" t="str">
        <f>'A7-CFlow'!A5</f>
        <v>Receipts</v>
      </c>
      <c r="H5" s="2" t="str">
        <f>'A9-Asset'!A12</f>
        <v>Community</v>
      </c>
    </row>
    <row r="6" spans="1:8">
      <c r="A6" s="2" t="str">
        <f>'A2-FinPerf SC'!A7</f>
        <v>Budget and treasury office</v>
      </c>
      <c r="B6" s="2" t="str">
        <f>'A4-FinPerf RE'!A7</f>
        <v>Service charges - electricity revenue</v>
      </c>
      <c r="E6" s="2" t="str">
        <f>'SA1'!A51</f>
        <v>Medical Aid Contributions</v>
      </c>
      <c r="F6" s="2" t="str">
        <f>'A6-FinPos'!A6</f>
        <v>Cash</v>
      </c>
      <c r="G6" s="2" t="str">
        <f>'A7-CFlow'!A6</f>
        <v>Ratepayers and other</v>
      </c>
      <c r="H6" s="2" t="str">
        <f>'A9-Asset'!A13</f>
        <v>Heritage assets</v>
      </c>
    </row>
    <row r="7" spans="1:8">
      <c r="A7" s="2" t="str">
        <f>'A2-FinPerf SC'!A8</f>
        <v>Corporate services</v>
      </c>
      <c r="B7" s="2" t="str">
        <f>'A4-FinPerf RE'!A8</f>
        <v>Service charges - water revenue</v>
      </c>
      <c r="E7" s="2" t="str">
        <f>'SA1'!A56</f>
        <v>Housing Allowances</v>
      </c>
      <c r="F7" s="2" t="str">
        <f>'A6-FinPos'!A7</f>
        <v>Call investment deposits</v>
      </c>
      <c r="G7" s="2" t="str">
        <f>'A7-CFlow'!A7</f>
        <v>Government - operating</v>
      </c>
      <c r="H7" s="2" t="str">
        <f>'A9-Asset'!A14</f>
        <v>Investment properties</v>
      </c>
    </row>
    <row r="8" spans="1:8">
      <c r="A8" s="2" t="str">
        <f>'A2-FinPerf SC'!A9</f>
        <v>Community and public safety</v>
      </c>
      <c r="B8" s="2" t="str">
        <f>'A4-FinPerf RE'!A9</f>
        <v>Service charges - sanitation revenue</v>
      </c>
      <c r="E8" s="2" t="str">
        <f>'SA1'!A57</f>
        <v>Other benefits and allowances</v>
      </c>
      <c r="F8" s="2" t="str">
        <f>'A6-FinPos'!A8</f>
        <v>Consumer debtors</v>
      </c>
      <c r="G8" s="2" t="str">
        <f>'A7-CFlow'!A8</f>
        <v>Government - capital</v>
      </c>
      <c r="H8" s="2" t="str">
        <f>'A9-Asset'!A15</f>
        <v>Other assets</v>
      </c>
    </row>
    <row r="9" spans="1:8">
      <c r="A9" s="2" t="str">
        <f>'A2-FinPerf SC'!A10</f>
        <v>Community and social services</v>
      </c>
      <c r="B9" s="2" t="str">
        <f>'A4-FinPerf RE'!A10</f>
        <v>Service charges - refuse revenue</v>
      </c>
      <c r="C9" s="2" t="str">
        <f>'SA1'!A27</f>
        <v>Total refuse removal revenue</v>
      </c>
      <c r="E9" s="2" t="str">
        <f>'SA1'!A58</f>
        <v>Payments in lieu of leave</v>
      </c>
      <c r="F9" s="2" t="str">
        <f>'A6-FinPos'!A9</f>
        <v>Other debtors</v>
      </c>
      <c r="G9" s="2" t="str">
        <f>'A7-CFlow'!A9</f>
        <v>Interest</v>
      </c>
      <c r="H9" s="2" t="str">
        <f>'A9-Asset'!A18</f>
        <v>Intangibles</v>
      </c>
    </row>
    <row r="10" spans="1:8">
      <c r="A10" s="2" t="str">
        <f>'A2-FinPerf SC'!A11</f>
        <v>Sport and recreation</v>
      </c>
      <c r="C10" s="2" t="e">
        <f>'SA1'!#REF!</f>
        <v>#REF!</v>
      </c>
      <c r="E10" s="2" t="str">
        <f>'SA1'!A59</f>
        <v>Long service awards</v>
      </c>
      <c r="F10" s="2" t="str">
        <f>'A6-FinPos'!A10</f>
        <v>Current portion of long-term receivables</v>
      </c>
      <c r="G10" s="2" t="str">
        <f>'A7-CFlow'!A10</f>
        <v>Dividends</v>
      </c>
      <c r="H10" s="2" t="str">
        <f>'A9-Asset'!A17</f>
        <v>Biological assets</v>
      </c>
    </row>
    <row r="11" spans="1:8">
      <c r="A11" s="2" t="str">
        <f>'A2-FinPerf SC'!A12</f>
        <v>Public safety</v>
      </c>
      <c r="B11" s="2" t="str">
        <f>'A4-FinPerf RE'!A11</f>
        <v>Service charges - other</v>
      </c>
      <c r="E11" s="2" t="str">
        <f>'SA1'!A60</f>
        <v>Post-retirement benefit obligations</v>
      </c>
      <c r="F11" s="2" t="str">
        <f>'A6-FinPos'!A11</f>
        <v>Inventory</v>
      </c>
      <c r="G11" s="132" t="str">
        <f>'A7-CFlow'!A11</f>
        <v>Payments</v>
      </c>
    </row>
    <row r="12" spans="1:8">
      <c r="A12" s="2" t="str">
        <f>'A2-FinPerf SC'!A13</f>
        <v>Housing</v>
      </c>
      <c r="B12" s="2" t="str">
        <f>'A4-FinPerf RE'!A12</f>
        <v>Rental of facilities and equipment</v>
      </c>
      <c r="E12" s="2" t="str">
        <f>'SA1'!A62</f>
        <v>Less: Employees costs capitalised to PPE</v>
      </c>
      <c r="F12" s="132" t="str">
        <f>'A6-FinPos'!A14</f>
        <v>Non current assets</v>
      </c>
      <c r="G12" s="2" t="str">
        <f>'A7-CFlow'!A12</f>
        <v>Suppliers and employees</v>
      </c>
    </row>
    <row r="13" spans="1:8">
      <c r="A13" s="2" t="str">
        <f>'A2-FinPerf SC'!A14</f>
        <v>Health</v>
      </c>
      <c r="B13" s="2" t="str">
        <f>'A4-FinPerf RE'!A13</f>
        <v>Interest earned - external investments</v>
      </c>
      <c r="D13" s="2" t="str">
        <f>'A4-FinPerf RE'!A26</f>
        <v>Remuneration of councillors</v>
      </c>
      <c r="F13" s="2" t="str">
        <f>'A6-FinPos'!A15</f>
        <v>Long-term receivables</v>
      </c>
      <c r="G13" s="2" t="str">
        <f>'A7-CFlow'!A13</f>
        <v>Finance charges</v>
      </c>
    </row>
    <row r="14" spans="1:8">
      <c r="A14" s="2" t="str">
        <f>'A2-FinPerf SC'!A20</f>
        <v>Electricity</v>
      </c>
      <c r="B14" s="2" t="str">
        <f>'A4-FinPerf RE'!A14</f>
        <v>Interest earned - outstanding debtors</v>
      </c>
      <c r="D14" s="2" t="str">
        <f>'A4-FinPerf RE'!A27</f>
        <v>Debt impairment</v>
      </c>
      <c r="F14" s="2" t="str">
        <f>'A6-FinPos'!A16</f>
        <v>Investments</v>
      </c>
      <c r="G14" s="2" t="str">
        <f>'A7-CFlow'!A14</f>
        <v>Transfers and Grants</v>
      </c>
    </row>
    <row r="15" spans="1:8">
      <c r="A15" s="2" t="str">
        <f>'A2-FinPerf SC'!A21</f>
        <v>Water</v>
      </c>
      <c r="B15" s="2" t="str">
        <f>'A4-FinPerf RE'!A15</f>
        <v>Dividends received</v>
      </c>
      <c r="D15" s="2" t="str">
        <f>'A4-FinPerf RE'!A15</f>
        <v>Dividends received</v>
      </c>
      <c r="F15" s="2" t="str">
        <f>'A6-FinPos'!A17</f>
        <v>Investment property</v>
      </c>
      <c r="G15" s="3" t="str">
        <f>'A7-CFlow'!A17</f>
        <v>CASH FLOWS FROM INVESTING ACTIVITIES</v>
      </c>
    </row>
    <row r="16" spans="1:8">
      <c r="A16" s="2" t="str">
        <f>'A2-FinPerf SC'!A22</f>
        <v>Waste water management</v>
      </c>
      <c r="B16" s="2" t="str">
        <f>'A4-FinPerf RE'!A16</f>
        <v>Fines</v>
      </c>
      <c r="D16" s="2" t="str">
        <f>'A4-FinPerf RE'!A28</f>
        <v>Depreciation &amp; asset impairment</v>
      </c>
      <c r="E16" s="2" t="str">
        <f>'SA1'!A75</f>
        <v>Depreciation of Property, Plant &amp; Equipment</v>
      </c>
      <c r="F16" s="2" t="str">
        <f>'A6-FinPos'!A18</f>
        <v>Investment in Associate</v>
      </c>
      <c r="G16" s="132" t="str">
        <f>'A7-CFlow'!A18</f>
        <v>Receipts</v>
      </c>
    </row>
    <row r="17" spans="1:7">
      <c r="A17" s="2" t="str">
        <f>'A2-FinPerf SC'!A23</f>
        <v>Waste management</v>
      </c>
      <c r="B17" s="2" t="str">
        <f>'A4-FinPerf RE'!A17</f>
        <v>Licences and permits</v>
      </c>
      <c r="E17" s="2" t="str">
        <f>'SA1'!A77</f>
        <v>Capital asset impairment</v>
      </c>
      <c r="F17" s="2" t="str">
        <f>'A6-FinPos'!A19</f>
        <v>Property, plant and equipment</v>
      </c>
      <c r="G17" s="2" t="str">
        <f>'A7-CFlow'!A19</f>
        <v>Proceeds on disposal of PPE</v>
      </c>
    </row>
    <row r="18" spans="1:7">
      <c r="A18" s="2" t="str">
        <f>'A2-FinPerf SC'!A24</f>
        <v>Other</v>
      </c>
      <c r="B18" s="2" t="str">
        <f>'A4-FinPerf RE'!A18</f>
        <v>Agency services</v>
      </c>
      <c r="D18" s="2" t="str">
        <f>'A4-FinPerf RE'!A29</f>
        <v>Finance charges</v>
      </c>
      <c r="F18" s="2" t="str">
        <f>'A6-FinPos'!A21</f>
        <v>Biological</v>
      </c>
    </row>
    <row r="19" spans="1:7">
      <c r="B19" s="2" t="str">
        <f>'A4-FinPerf RE'!A19</f>
        <v>Transfers recognised - operational</v>
      </c>
      <c r="D19" s="2" t="str">
        <f>'A4-FinPerf RE'!A30</f>
        <v>Bulk purchases</v>
      </c>
      <c r="E19" s="2" t="str">
        <f>'SA1'!A82</f>
        <v>Electricity Bulk Purchases</v>
      </c>
      <c r="F19" s="2" t="str">
        <f>'A6-FinPos'!A22</f>
        <v>Intangible</v>
      </c>
      <c r="G19" s="2" t="str">
        <f>'A7-CFlow'!A20</f>
        <v>Decrease (Increase) in non-current debtors</v>
      </c>
    </row>
    <row r="20" spans="1:7">
      <c r="B20" s="2" t="str">
        <f>'A4-FinPerf RE'!A20</f>
        <v>Other revenue</v>
      </c>
      <c r="C20" s="2" t="str">
        <f>'SA1'!A33</f>
        <v>Fuel levy</v>
      </c>
      <c r="E20" s="2" t="str">
        <f>'SA1'!A83</f>
        <v>Water Bulk Purchases</v>
      </c>
      <c r="F20" s="2" t="str">
        <f>'A6-FinPos'!A23</f>
        <v>Other non-current assets</v>
      </c>
      <c r="G20" s="2" t="str">
        <f>'A7-CFlow'!A21</f>
        <v>Decrease (increase) other non-current receivables</v>
      </c>
    </row>
    <row r="21" spans="1:7">
      <c r="C21" s="2" t="e">
        <f>'SA1'!#REF!</f>
        <v>#REF!</v>
      </c>
      <c r="D21" s="2" t="str">
        <f>'A4-FinPerf RE'!A31</f>
        <v>Other materials</v>
      </c>
      <c r="F21" s="3" t="str">
        <f>'A6-FinPos'!A27</f>
        <v>LIABILITIES</v>
      </c>
    </row>
    <row r="22" spans="1:7">
      <c r="C22" s="2">
        <f>'SA1'!A44</f>
        <v>0</v>
      </c>
      <c r="D22" s="2" t="str">
        <f>'A4-FinPerf RE'!A32</f>
        <v>Contracted services</v>
      </c>
      <c r="E22" s="2" t="str">
        <f>'SA1'!A119</f>
        <v>Electricity</v>
      </c>
      <c r="F22" s="132" t="str">
        <f>'A6-FinPos'!A28</f>
        <v>Current liabilities</v>
      </c>
      <c r="G22" s="2" t="str">
        <f>'A7-CFlow'!A22</f>
        <v>Decrease (increase) in non-current investments</v>
      </c>
    </row>
    <row r="23" spans="1:7">
      <c r="B23" s="2" t="str">
        <f>'A4-FinPerf RE'!A21</f>
        <v>Gains on disposal of PPE</v>
      </c>
      <c r="E23" s="2" t="str">
        <f>'SA1'!A120</f>
        <v>Water</v>
      </c>
      <c r="F23" s="2" t="str">
        <f>'A6-FinPos'!A29</f>
        <v>Bank overdraft</v>
      </c>
      <c r="G23" s="132" t="str">
        <f>'A7-CFlow'!A23</f>
        <v>Payments</v>
      </c>
    </row>
    <row r="24" spans="1:7">
      <c r="B24" s="2" t="str">
        <f>'A4-FinPerf RE'!A39</f>
        <v>Transfers recognised - capital</v>
      </c>
      <c r="E24" s="2" t="str">
        <f>'SA1'!A121</f>
        <v>Sanitation</v>
      </c>
      <c r="F24" s="2" t="str">
        <f>'A6-FinPos'!A30</f>
        <v>Borrowing</v>
      </c>
      <c r="G24" s="1" t="str">
        <f>'A7-CFlow'!A24</f>
        <v>Capital assets</v>
      </c>
    </row>
    <row r="25" spans="1:7">
      <c r="B25" s="2" t="str">
        <f>'A4-FinPerf RE'!A40</f>
        <v>Contributions recognised - capital</v>
      </c>
      <c r="E25" s="2" t="str">
        <f>'SA1'!A122</f>
        <v>Other</v>
      </c>
      <c r="F25" s="2" t="str">
        <f>'A6-FinPos'!A31</f>
        <v>Consumer deposits</v>
      </c>
      <c r="G25" s="3" t="str">
        <f>'A7-CFlow'!A27</f>
        <v>CASH FLOWS FROM FINANCING ACTIVITIES</v>
      </c>
    </row>
    <row r="26" spans="1:7">
      <c r="B26" s="2" t="str">
        <f>'A4-FinPerf RE'!A41</f>
        <v>Contributed assets</v>
      </c>
      <c r="D26" s="2" t="str">
        <f>'A4-FinPerf RE'!A33</f>
        <v>Transfers and grants</v>
      </c>
      <c r="F26" s="2" t="str">
        <f>'A6-FinPos'!A32</f>
        <v>Trade and other payables</v>
      </c>
      <c r="G26" s="132" t="str">
        <f>'A7-CFlow'!A28</f>
        <v>Receipts</v>
      </c>
    </row>
    <row r="27" spans="1:7">
      <c r="B27" s="2" t="str">
        <f>'A4-FinPerf RE'!A43</f>
        <v>Taxation</v>
      </c>
      <c r="D27" s="2" t="str">
        <f>'A4-FinPerf RE'!A34</f>
        <v>Other expenditure</v>
      </c>
      <c r="E27" s="2" t="str">
        <f>'SA1'!A126</f>
        <v>Collection costs</v>
      </c>
      <c r="F27" s="2" t="e">
        <f>'A6-FinPos'!#REF!</f>
        <v>#REF!</v>
      </c>
      <c r="G27" s="2" t="str">
        <f>'A7-CFlow'!A29</f>
        <v>Short term loans</v>
      </c>
    </row>
    <row r="28" spans="1:7">
      <c r="B28" s="2" t="str">
        <f>'A4-FinPerf RE'!A45</f>
        <v>Attributable to minorities</v>
      </c>
      <c r="E28" s="2" t="str">
        <f>'SA1'!A127</f>
        <v>Contributions to 'other' provisions</v>
      </c>
      <c r="F28" s="2" t="str">
        <f>'A6-FinPos'!A33</f>
        <v>Provisions</v>
      </c>
      <c r="G28" s="2" t="str">
        <f>'A7-CFlow'!A30</f>
        <v>Borrowing long term/refinancing</v>
      </c>
    </row>
    <row r="29" spans="1:7">
      <c r="E29" s="2" t="str">
        <f>'SA1'!A128</f>
        <v>Consultant fees</v>
      </c>
      <c r="F29" s="132" t="str">
        <f>'A6-FinPos'!A36</f>
        <v>Non current liabilities</v>
      </c>
      <c r="G29" s="2" t="str">
        <f>'A7-CFlow'!A31</f>
        <v>Increase (decrease) in consumer deposits</v>
      </c>
    </row>
    <row r="30" spans="1:7">
      <c r="E30" s="2" t="str">
        <f>'SA1'!A129</f>
        <v>Audit fees</v>
      </c>
      <c r="F30" s="2" t="str">
        <f>'A6-FinPos'!A37</f>
        <v>Borrowing</v>
      </c>
      <c r="G30" s="132" t="str">
        <f>'A7-CFlow'!A32</f>
        <v>Payments</v>
      </c>
    </row>
    <row r="31" spans="1:7">
      <c r="E31" s="2" t="str">
        <f>'SA1'!A130</f>
        <v>General expenses</v>
      </c>
      <c r="F31" s="2" t="str">
        <f>'A6-FinPos'!A38</f>
        <v>Provisions</v>
      </c>
      <c r="G31" s="2" t="str">
        <f>'A7-CFlow'!A33</f>
        <v>Repayment of borrowing</v>
      </c>
    </row>
    <row r="32" spans="1:7">
      <c r="D32" s="2" t="str">
        <f>'A4-FinPerf RE'!A35</f>
        <v>Loss on disposal of PPE</v>
      </c>
      <c r="F32" s="3" t="str">
        <f>'A6-FinPos'!A39</f>
        <v>Total non current liabilities</v>
      </c>
      <c r="G32" s="132" t="str">
        <f>'A7-CFlow'!A37</f>
        <v>Cash/cash equivalents at the year begin:</v>
      </c>
    </row>
    <row r="33" spans="6:7">
      <c r="F33" s="3" t="str">
        <f>'A6-FinPos'!A42</f>
        <v>NET ASSETS</v>
      </c>
      <c r="G33" s="132" t="str">
        <f>'A7-CFlow'!A38</f>
        <v>Cash/cash equivalents at the year end:</v>
      </c>
    </row>
    <row r="34" spans="6:7">
      <c r="F34" s="3" t="str">
        <f>'A6-FinPos'!A44</f>
        <v>COMMUNITY WEALTH/EQUITY</v>
      </c>
    </row>
    <row r="35" spans="6:7">
      <c r="F35" s="2" t="str">
        <f>'A6-FinPos'!A45</f>
        <v>Accumulated Surplus/(Deficit)</v>
      </c>
    </row>
    <row r="36" spans="6:7">
      <c r="F36" s="2" t="str">
        <f>'A6-FinPos'!A46</f>
        <v>Reserves</v>
      </c>
    </row>
    <row r="37" spans="6:7">
      <c r="F37" s="2" t="str">
        <f>'A6-FinPos'!A47</f>
        <v>Minorities' interests</v>
      </c>
    </row>
  </sheetData>
  <sheetProtection selectLockedCells="1"/>
  <mergeCells count="2">
    <mergeCell ref="B2:C2"/>
    <mergeCell ref="D2:E2"/>
  </mergeCells>
  <phoneticPr fontId="5" type="noConversion"/>
  <pageMargins left="0.75" right="0.75" top="1" bottom="1" header="0.5" footer="0.5"/>
  <headerFooter alignWithMargins="0"/>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0"/>
    <pageSetUpPr fitToPage="1"/>
  </sheetPr>
  <dimension ref="A1:L79"/>
  <sheetViews>
    <sheetView workbookViewId="0"/>
  </sheetViews>
  <sheetFormatPr baseColWidth="10" defaultColWidth="8.83203125" defaultRowHeight="12" x14ac:dyDescent="0"/>
  <sheetData>
    <row r="1" spans="1:12">
      <c r="A1" s="1184" t="s">
        <v>1839</v>
      </c>
    </row>
    <row r="2" spans="1:12">
      <c r="A2" s="2851" t="s">
        <v>1727</v>
      </c>
      <c r="B2" s="2852"/>
      <c r="C2" s="2852"/>
      <c r="D2" s="2852"/>
      <c r="E2" s="2852"/>
      <c r="F2" s="2852"/>
      <c r="G2" s="2852"/>
      <c r="H2" s="2852"/>
      <c r="I2" s="2852"/>
      <c r="J2" s="2853"/>
      <c r="K2" s="2"/>
      <c r="L2" s="2"/>
    </row>
    <row r="3" spans="1:12">
      <c r="A3" s="41" t="s">
        <v>1675</v>
      </c>
      <c r="B3" s="49"/>
      <c r="C3" s="49"/>
      <c r="D3" s="49"/>
      <c r="E3" s="42"/>
      <c r="F3" s="42"/>
      <c r="G3" s="42"/>
      <c r="H3" s="42"/>
      <c r="I3" s="42"/>
      <c r="J3" s="43"/>
      <c r="K3" s="2"/>
      <c r="L3" s="2"/>
    </row>
    <row r="4" spans="1:12">
      <c r="A4" s="44" t="s">
        <v>677</v>
      </c>
      <c r="B4" s="50"/>
      <c r="C4" s="50"/>
      <c r="D4" s="50"/>
      <c r="E4" s="45"/>
      <c r="F4" s="45"/>
      <c r="G4" s="45"/>
      <c r="H4" s="45"/>
      <c r="I4" s="45"/>
      <c r="J4" s="46"/>
      <c r="K4" s="2"/>
      <c r="L4" s="2"/>
    </row>
    <row r="5" spans="1:12">
      <c r="A5" s="44" t="s">
        <v>1729</v>
      </c>
      <c r="B5" s="50"/>
      <c r="C5" s="50"/>
      <c r="D5" s="50"/>
      <c r="E5" s="45"/>
      <c r="F5" s="45"/>
      <c r="G5" s="45"/>
      <c r="H5" s="45"/>
      <c r="I5" s="45"/>
      <c r="J5" s="46"/>
      <c r="K5" s="2"/>
      <c r="L5" s="2"/>
    </row>
    <row r="6" spans="1:12">
      <c r="A6" s="44" t="s">
        <v>1728</v>
      </c>
      <c r="B6" s="50"/>
      <c r="C6" s="50"/>
      <c r="D6" s="50"/>
      <c r="E6" s="45"/>
      <c r="F6" s="45"/>
      <c r="G6" s="45"/>
      <c r="H6" s="45"/>
      <c r="I6" s="45"/>
      <c r="J6" s="46"/>
      <c r="K6" s="2"/>
      <c r="L6" s="2"/>
    </row>
    <row r="7" spans="1:12">
      <c r="A7" s="44" t="s">
        <v>1683</v>
      </c>
      <c r="B7" s="50"/>
      <c r="C7" s="50"/>
      <c r="D7" s="50"/>
      <c r="E7" s="45"/>
      <c r="F7" s="45"/>
      <c r="G7" s="45"/>
      <c r="H7" s="45"/>
      <c r="I7" s="45"/>
      <c r="J7" s="46"/>
      <c r="K7" s="2"/>
      <c r="L7" s="2"/>
    </row>
    <row r="8" spans="1:12">
      <c r="A8" s="2851" t="s">
        <v>1676</v>
      </c>
      <c r="B8" s="2852"/>
      <c r="C8" s="2852"/>
      <c r="D8" s="2852"/>
      <c r="E8" s="2852"/>
      <c r="F8" s="2852"/>
      <c r="G8" s="2852"/>
      <c r="H8" s="2852"/>
      <c r="I8" s="2852"/>
      <c r="J8" s="2853"/>
      <c r="K8" s="2"/>
      <c r="L8" s="2"/>
    </row>
    <row r="9" spans="1:12">
      <c r="A9" s="47" t="s">
        <v>1677</v>
      </c>
      <c r="B9" s="40" t="s">
        <v>1694</v>
      </c>
      <c r="C9" s="40" t="s">
        <v>1695</v>
      </c>
      <c r="D9" s="40" t="s">
        <v>1696</v>
      </c>
      <c r="E9" s="2854" t="s">
        <v>1678</v>
      </c>
      <c r="F9" s="2855"/>
      <c r="G9" s="2855"/>
      <c r="H9" s="2856"/>
      <c r="I9" s="48" t="s">
        <v>1679</v>
      </c>
      <c r="J9" s="48" t="s">
        <v>1531</v>
      </c>
      <c r="K9" s="48" t="s">
        <v>1719</v>
      </c>
      <c r="L9" s="48" t="s">
        <v>1720</v>
      </c>
    </row>
    <row r="10" spans="1:12">
      <c r="A10" s="21">
        <v>3</v>
      </c>
      <c r="B10" s="21" t="s">
        <v>1680</v>
      </c>
      <c r="C10" s="21" t="s">
        <v>1680</v>
      </c>
      <c r="D10" s="21" t="s">
        <v>1680</v>
      </c>
      <c r="E10" s="10" t="str">
        <f t="shared" ref="E10:E19" si="0">IF(A10=3,"Fully completed",IF(A10=2,"Substantially completed with missing information",IF(A10=1,"Presented but with numerous information gaps",IF(A10=0,"Not presented","error"))))</f>
        <v>Fully completed</v>
      </c>
      <c r="F10" s="6"/>
      <c r="G10" s="6"/>
      <c r="H10" s="18"/>
      <c r="I10" s="52">
        <v>0.01</v>
      </c>
      <c r="J10" s="64">
        <f t="shared" ref="J10:J19" si="1">ROUND(((A10*I10)*100)/Scale,2)</f>
        <v>0.98</v>
      </c>
      <c r="K10" s="4">
        <v>3</v>
      </c>
      <c r="L10" s="60">
        <f t="shared" ref="L10:L19" si="2">ROUND((K10*I10)*100,0)</f>
        <v>3</v>
      </c>
    </row>
    <row r="11" spans="1:12">
      <c r="A11" s="4">
        <v>3</v>
      </c>
      <c r="B11" s="4" t="s">
        <v>1680</v>
      </c>
      <c r="C11" s="4" t="s">
        <v>1680</v>
      </c>
      <c r="D11" s="4" t="s">
        <v>1680</v>
      </c>
      <c r="E11" s="10" t="str">
        <f t="shared" si="0"/>
        <v>Fully completed</v>
      </c>
      <c r="F11" s="6"/>
      <c r="G11" s="6"/>
      <c r="H11" s="18"/>
      <c r="I11" s="52">
        <v>0.06</v>
      </c>
      <c r="J11" s="64">
        <f t="shared" si="1"/>
        <v>5.9</v>
      </c>
      <c r="K11" s="4">
        <v>3</v>
      </c>
      <c r="L11" s="60">
        <f t="shared" si="2"/>
        <v>18</v>
      </c>
    </row>
    <row r="12" spans="1:12">
      <c r="A12" s="4">
        <v>3</v>
      </c>
      <c r="B12" s="4" t="s">
        <v>1680</v>
      </c>
      <c r="C12" s="4" t="s">
        <v>1680</v>
      </c>
      <c r="D12" s="4" t="s">
        <v>1680</v>
      </c>
      <c r="E12" s="10" t="str">
        <f t="shared" si="0"/>
        <v>Fully completed</v>
      </c>
      <c r="F12" s="6"/>
      <c r="G12" s="6"/>
      <c r="H12" s="18"/>
      <c r="I12" s="52">
        <v>0.03</v>
      </c>
      <c r="J12" s="64">
        <f t="shared" si="1"/>
        <v>2.95</v>
      </c>
      <c r="K12" s="4">
        <v>3</v>
      </c>
      <c r="L12" s="60">
        <f t="shared" si="2"/>
        <v>9</v>
      </c>
    </row>
    <row r="13" spans="1:12">
      <c r="A13" s="4">
        <v>3</v>
      </c>
      <c r="B13" s="4" t="s">
        <v>1680</v>
      </c>
      <c r="C13" s="4" t="s">
        <v>1680</v>
      </c>
      <c r="D13" s="4" t="s">
        <v>1680</v>
      </c>
      <c r="E13" s="10" t="str">
        <f t="shared" si="0"/>
        <v>Fully completed</v>
      </c>
      <c r="F13" s="6"/>
      <c r="G13" s="6"/>
      <c r="H13" s="18"/>
      <c r="I13" s="52">
        <v>0.04</v>
      </c>
      <c r="J13" s="64">
        <f t="shared" si="1"/>
        <v>3.93</v>
      </c>
      <c r="K13" s="4">
        <v>3</v>
      </c>
      <c r="L13" s="60">
        <f t="shared" si="2"/>
        <v>12</v>
      </c>
    </row>
    <row r="14" spans="1:12">
      <c r="A14" s="4">
        <v>3</v>
      </c>
      <c r="B14" s="4" t="s">
        <v>1680</v>
      </c>
      <c r="C14" s="4" t="s">
        <v>1680</v>
      </c>
      <c r="D14" s="4" t="s">
        <v>1680</v>
      </c>
      <c r="E14" s="10" t="str">
        <f t="shared" si="0"/>
        <v>Fully completed</v>
      </c>
      <c r="F14" s="6"/>
      <c r="G14" s="6"/>
      <c r="H14" s="18"/>
      <c r="I14" s="52">
        <v>0.06</v>
      </c>
      <c r="J14" s="64">
        <f t="shared" si="1"/>
        <v>5.9</v>
      </c>
      <c r="K14" s="4">
        <v>3</v>
      </c>
      <c r="L14" s="60">
        <f t="shared" si="2"/>
        <v>18</v>
      </c>
    </row>
    <row r="15" spans="1:12">
      <c r="A15" s="4">
        <v>3</v>
      </c>
      <c r="B15" s="4" t="s">
        <v>1680</v>
      </c>
      <c r="C15" s="4" t="s">
        <v>1680</v>
      </c>
      <c r="D15" s="4" t="s">
        <v>1680</v>
      </c>
      <c r="E15" s="10" t="str">
        <f t="shared" si="0"/>
        <v>Fully completed</v>
      </c>
      <c r="F15" s="6"/>
      <c r="G15" s="6"/>
      <c r="H15" s="18"/>
      <c r="I15" s="52">
        <v>0.03</v>
      </c>
      <c r="J15" s="64">
        <f t="shared" si="1"/>
        <v>2.95</v>
      </c>
      <c r="K15" s="4">
        <v>3</v>
      </c>
      <c r="L15" s="60">
        <f t="shared" si="2"/>
        <v>9</v>
      </c>
    </row>
    <row r="16" spans="1:12">
      <c r="A16" s="4">
        <v>3</v>
      </c>
      <c r="B16" s="4" t="s">
        <v>1680</v>
      </c>
      <c r="C16" s="4" t="s">
        <v>1680</v>
      </c>
      <c r="D16" s="4" t="s">
        <v>1680</v>
      </c>
      <c r="E16" s="10" t="str">
        <f t="shared" si="0"/>
        <v>Fully completed</v>
      </c>
      <c r="F16" s="6"/>
      <c r="G16" s="6"/>
      <c r="H16" s="18"/>
      <c r="I16" s="52">
        <v>0.04</v>
      </c>
      <c r="J16" s="64">
        <f t="shared" si="1"/>
        <v>3.93</v>
      </c>
      <c r="K16" s="4">
        <v>3</v>
      </c>
      <c r="L16" s="60">
        <f t="shared" si="2"/>
        <v>12</v>
      </c>
    </row>
    <row r="17" spans="1:12">
      <c r="A17" s="4">
        <v>2</v>
      </c>
      <c r="B17" s="4" t="s">
        <v>1680</v>
      </c>
      <c r="C17" s="4" t="s">
        <v>1680</v>
      </c>
      <c r="D17" s="4" t="s">
        <v>1680</v>
      </c>
      <c r="E17" s="10" t="str">
        <f t="shared" si="0"/>
        <v>Substantially completed with missing information</v>
      </c>
      <c r="F17" s="6"/>
      <c r="G17" s="6"/>
      <c r="H17" s="18"/>
      <c r="I17" s="52">
        <v>0.03</v>
      </c>
      <c r="J17" s="64">
        <f t="shared" si="1"/>
        <v>1.97</v>
      </c>
      <c r="K17" s="4">
        <v>3</v>
      </c>
      <c r="L17" s="60">
        <f t="shared" si="2"/>
        <v>9</v>
      </c>
    </row>
    <row r="18" spans="1:12">
      <c r="A18" s="4">
        <v>2</v>
      </c>
      <c r="B18" s="4" t="s">
        <v>1681</v>
      </c>
      <c r="C18" s="4" t="s">
        <v>1681</v>
      </c>
      <c r="D18" s="24" t="s">
        <v>1680</v>
      </c>
      <c r="E18" s="10" t="str">
        <f t="shared" si="0"/>
        <v>Substantially completed with missing information</v>
      </c>
      <c r="F18" s="6"/>
      <c r="G18" s="6"/>
      <c r="H18" s="18"/>
      <c r="I18" s="52">
        <v>0.02</v>
      </c>
      <c r="J18" s="64">
        <f t="shared" si="1"/>
        <v>1.31</v>
      </c>
      <c r="K18" s="4">
        <v>3</v>
      </c>
      <c r="L18" s="60">
        <f t="shared" si="2"/>
        <v>6</v>
      </c>
    </row>
    <row r="19" spans="1:12">
      <c r="A19" s="22">
        <v>1</v>
      </c>
      <c r="B19" s="22" t="s">
        <v>1681</v>
      </c>
      <c r="C19" s="25" t="s">
        <v>1680</v>
      </c>
      <c r="D19" s="25" t="s">
        <v>1680</v>
      </c>
      <c r="E19" s="11" t="str">
        <f t="shared" si="0"/>
        <v>Presented but with numerous information gaps</v>
      </c>
      <c r="F19" s="19"/>
      <c r="G19" s="19"/>
      <c r="H19" s="20"/>
      <c r="I19" s="53">
        <v>0.03</v>
      </c>
      <c r="J19" s="65">
        <f t="shared" si="1"/>
        <v>0.98</v>
      </c>
      <c r="K19" s="4">
        <v>3</v>
      </c>
      <c r="L19" s="60">
        <f t="shared" si="2"/>
        <v>9</v>
      </c>
    </row>
    <row r="20" spans="1:12">
      <c r="A20" s="9"/>
      <c r="B20" s="9"/>
      <c r="C20" s="9"/>
      <c r="D20" s="9"/>
      <c r="E20" s="2"/>
      <c r="F20" s="2"/>
      <c r="G20" s="2"/>
      <c r="H20" s="51" t="s">
        <v>1682</v>
      </c>
      <c r="I20" s="7">
        <f>SUM(I10:I19)</f>
        <v>0.35</v>
      </c>
      <c r="J20" s="62">
        <f>SUM(J10:J19)</f>
        <v>30.8</v>
      </c>
      <c r="K20" s="12"/>
      <c r="L20" s="60"/>
    </row>
    <row r="21" spans="1:12">
      <c r="A21" s="21">
        <v>3</v>
      </c>
      <c r="B21" s="21" t="s">
        <v>1680</v>
      </c>
      <c r="C21" s="23" t="s">
        <v>1680</v>
      </c>
      <c r="D21" s="23" t="s">
        <v>1680</v>
      </c>
      <c r="E21" s="54" t="str">
        <f t="shared" ref="E21:E35" si="3">IF(A21=3,"Fully completed",IF(A21=2,"Substantially completed with missing information",IF(A21=1,"Presented but with numerous information gaps",IF(A21=0,"Not presented","error"))))</f>
        <v>Fully completed</v>
      </c>
      <c r="F21" s="16"/>
      <c r="G21" s="16"/>
      <c r="H21" s="17"/>
      <c r="I21" s="55">
        <v>0.02</v>
      </c>
      <c r="J21" s="66">
        <f t="shared" ref="J21:J35" si="4">ROUND(((A21*I21)*100)/Scale,2)</f>
        <v>1.97</v>
      </c>
      <c r="K21" s="4">
        <v>3</v>
      </c>
      <c r="L21" s="60">
        <f t="shared" ref="L21:L35" si="5">ROUND((K21*I21)*100,0)</f>
        <v>6</v>
      </c>
    </row>
    <row r="22" spans="1:12">
      <c r="A22" s="4">
        <v>1</v>
      </c>
      <c r="B22" s="4" t="s">
        <v>1681</v>
      </c>
      <c r="C22" s="4" t="s">
        <v>1681</v>
      </c>
      <c r="D22" s="24" t="s">
        <v>1680</v>
      </c>
      <c r="E22" s="10" t="str">
        <f t="shared" si="3"/>
        <v>Presented but with numerous information gaps</v>
      </c>
      <c r="F22" s="6"/>
      <c r="G22" s="6"/>
      <c r="H22" s="18"/>
      <c r="I22" s="52">
        <v>0.01</v>
      </c>
      <c r="J22" s="64">
        <f t="shared" si="4"/>
        <v>0.33</v>
      </c>
      <c r="K22" s="4">
        <v>3</v>
      </c>
      <c r="L22" s="60">
        <f t="shared" si="5"/>
        <v>3</v>
      </c>
    </row>
    <row r="23" spans="1:12">
      <c r="A23" s="4">
        <v>3</v>
      </c>
      <c r="B23" s="4" t="s">
        <v>1680</v>
      </c>
      <c r="C23" s="4" t="s">
        <v>1680</v>
      </c>
      <c r="D23" s="24" t="s">
        <v>1680</v>
      </c>
      <c r="E23" s="10" t="str">
        <f t="shared" si="3"/>
        <v>Fully completed</v>
      </c>
      <c r="F23" s="6"/>
      <c r="G23" s="6"/>
      <c r="H23" s="18"/>
      <c r="I23" s="52">
        <v>0.02</v>
      </c>
      <c r="J23" s="64">
        <f t="shared" si="4"/>
        <v>1.97</v>
      </c>
      <c r="K23" s="4">
        <v>3</v>
      </c>
      <c r="L23" s="60">
        <f t="shared" si="5"/>
        <v>6</v>
      </c>
    </row>
    <row r="24" spans="1:12">
      <c r="A24" s="4">
        <v>3</v>
      </c>
      <c r="B24" s="4" t="s">
        <v>1681</v>
      </c>
      <c r="C24" s="24" t="s">
        <v>1680</v>
      </c>
      <c r="D24" s="24" t="s">
        <v>1680</v>
      </c>
      <c r="E24" s="10" t="str">
        <f t="shared" si="3"/>
        <v>Fully completed</v>
      </c>
      <c r="F24" s="6"/>
      <c r="G24" s="6"/>
      <c r="H24" s="18"/>
      <c r="I24" s="52">
        <v>0.01</v>
      </c>
      <c r="J24" s="64">
        <f t="shared" si="4"/>
        <v>0.98</v>
      </c>
      <c r="K24" s="4">
        <v>3</v>
      </c>
      <c r="L24" s="60">
        <f t="shared" si="5"/>
        <v>3</v>
      </c>
    </row>
    <row r="25" spans="1:12">
      <c r="A25" s="4">
        <v>3</v>
      </c>
      <c r="B25" s="4" t="s">
        <v>1681</v>
      </c>
      <c r="C25" s="24" t="s">
        <v>1680</v>
      </c>
      <c r="D25" s="24" t="s">
        <v>1680</v>
      </c>
      <c r="E25" s="10" t="str">
        <f t="shared" si="3"/>
        <v>Fully completed</v>
      </c>
      <c r="F25" s="6"/>
      <c r="G25" s="6"/>
      <c r="H25" s="18"/>
      <c r="I25" s="52">
        <v>0.01</v>
      </c>
      <c r="J25" s="64">
        <f t="shared" si="4"/>
        <v>0.98</v>
      </c>
      <c r="K25" s="4">
        <v>3</v>
      </c>
      <c r="L25" s="60">
        <f t="shared" si="5"/>
        <v>3</v>
      </c>
    </row>
    <row r="26" spans="1:12">
      <c r="A26" s="4">
        <v>3</v>
      </c>
      <c r="B26" s="4" t="s">
        <v>1681</v>
      </c>
      <c r="C26" s="24" t="s">
        <v>1680</v>
      </c>
      <c r="D26" s="24" t="s">
        <v>1680</v>
      </c>
      <c r="E26" s="10" t="str">
        <f t="shared" si="3"/>
        <v>Fully completed</v>
      </c>
      <c r="F26" s="6"/>
      <c r="G26" s="6"/>
      <c r="H26" s="18"/>
      <c r="I26" s="52">
        <v>0.01</v>
      </c>
      <c r="J26" s="64">
        <f t="shared" si="4"/>
        <v>0.98</v>
      </c>
      <c r="K26" s="4">
        <v>3</v>
      </c>
      <c r="L26" s="60">
        <f t="shared" si="5"/>
        <v>3</v>
      </c>
    </row>
    <row r="27" spans="1:12">
      <c r="A27" s="4">
        <v>0</v>
      </c>
      <c r="B27" s="4" t="s">
        <v>1681</v>
      </c>
      <c r="C27" s="24" t="s">
        <v>1680</v>
      </c>
      <c r="D27" s="24" t="s">
        <v>1680</v>
      </c>
      <c r="E27" s="10" t="str">
        <f t="shared" si="3"/>
        <v>Not presented</v>
      </c>
      <c r="F27" s="6"/>
      <c r="G27" s="6"/>
      <c r="H27" s="18"/>
      <c r="I27" s="52">
        <v>0.01</v>
      </c>
      <c r="J27" s="64">
        <f t="shared" si="4"/>
        <v>0</v>
      </c>
      <c r="K27" s="4">
        <v>3</v>
      </c>
      <c r="L27" s="60">
        <f t="shared" si="5"/>
        <v>3</v>
      </c>
    </row>
    <row r="28" spans="1:12">
      <c r="A28" s="4">
        <v>2</v>
      </c>
      <c r="B28" s="4" t="s">
        <v>1680</v>
      </c>
      <c r="C28" s="4" t="s">
        <v>1680</v>
      </c>
      <c r="D28" s="4" t="s">
        <v>1680</v>
      </c>
      <c r="E28" s="10" t="str">
        <f t="shared" si="3"/>
        <v>Substantially completed with missing information</v>
      </c>
      <c r="F28" s="6"/>
      <c r="G28" s="6"/>
      <c r="H28" s="18"/>
      <c r="I28" s="52">
        <v>0.01</v>
      </c>
      <c r="J28" s="64">
        <f t="shared" si="4"/>
        <v>0.66</v>
      </c>
      <c r="K28" s="4">
        <v>3</v>
      </c>
      <c r="L28" s="60">
        <f t="shared" si="5"/>
        <v>3</v>
      </c>
    </row>
    <row r="29" spans="1:12">
      <c r="A29" s="4">
        <v>3</v>
      </c>
      <c r="B29" s="4" t="s">
        <v>1681</v>
      </c>
      <c r="C29" s="24" t="s">
        <v>1681</v>
      </c>
      <c r="D29" s="4" t="s">
        <v>1680</v>
      </c>
      <c r="E29" s="10" t="str">
        <f t="shared" si="3"/>
        <v>Fully completed</v>
      </c>
      <c r="F29" s="6"/>
      <c r="G29" s="6"/>
      <c r="H29" s="18"/>
      <c r="I29" s="52">
        <v>0.01</v>
      </c>
      <c r="J29" s="64">
        <f t="shared" si="4"/>
        <v>0.98</v>
      </c>
      <c r="K29" s="4">
        <v>3</v>
      </c>
      <c r="L29" s="60">
        <f t="shared" si="5"/>
        <v>3</v>
      </c>
    </row>
    <row r="30" spans="1:12">
      <c r="A30" s="4">
        <v>2</v>
      </c>
      <c r="B30" s="4" t="s">
        <v>1680</v>
      </c>
      <c r="C30" s="4" t="s">
        <v>1680</v>
      </c>
      <c r="D30" s="4" t="s">
        <v>1680</v>
      </c>
      <c r="E30" s="10" t="str">
        <f t="shared" si="3"/>
        <v>Substantially completed with missing information</v>
      </c>
      <c r="F30" s="6"/>
      <c r="G30" s="6"/>
      <c r="H30" s="18"/>
      <c r="I30" s="52">
        <v>0.03</v>
      </c>
      <c r="J30" s="64">
        <f t="shared" si="4"/>
        <v>1.97</v>
      </c>
      <c r="K30" s="4">
        <v>3</v>
      </c>
      <c r="L30" s="60">
        <f t="shared" si="5"/>
        <v>9</v>
      </c>
    </row>
    <row r="31" spans="1:12">
      <c r="A31" s="4">
        <v>3</v>
      </c>
      <c r="B31" s="4" t="s">
        <v>1680</v>
      </c>
      <c r="C31" s="4" t="s">
        <v>1680</v>
      </c>
      <c r="D31" s="4" t="s">
        <v>1680</v>
      </c>
      <c r="E31" s="10" t="str">
        <f t="shared" si="3"/>
        <v>Fully completed</v>
      </c>
      <c r="F31" s="6"/>
      <c r="G31" s="6"/>
      <c r="H31" s="18"/>
      <c r="I31" s="52">
        <v>0.01</v>
      </c>
      <c r="J31" s="64">
        <f t="shared" si="4"/>
        <v>0.98</v>
      </c>
      <c r="K31" s="4">
        <v>3</v>
      </c>
      <c r="L31" s="60">
        <f t="shared" si="5"/>
        <v>3</v>
      </c>
    </row>
    <row r="32" spans="1:12">
      <c r="A32" s="4">
        <v>3</v>
      </c>
      <c r="B32" s="4" t="s">
        <v>1680</v>
      </c>
      <c r="C32" s="4" t="s">
        <v>1680</v>
      </c>
      <c r="D32" s="4" t="s">
        <v>1680</v>
      </c>
      <c r="E32" s="10" t="str">
        <f t="shared" si="3"/>
        <v>Fully completed</v>
      </c>
      <c r="F32" s="6"/>
      <c r="G32" s="6"/>
      <c r="H32" s="18"/>
      <c r="I32" s="52">
        <v>0.01</v>
      </c>
      <c r="J32" s="64">
        <f t="shared" si="4"/>
        <v>0.98</v>
      </c>
      <c r="K32" s="4">
        <v>3</v>
      </c>
      <c r="L32" s="60">
        <f t="shared" si="5"/>
        <v>3</v>
      </c>
    </row>
    <row r="33" spans="1:12">
      <c r="A33" s="4">
        <v>3</v>
      </c>
      <c r="B33" s="4" t="s">
        <v>1680</v>
      </c>
      <c r="C33" s="4" t="s">
        <v>1680</v>
      </c>
      <c r="D33" s="4" t="s">
        <v>1680</v>
      </c>
      <c r="E33" s="10" t="str">
        <f t="shared" si="3"/>
        <v>Fully completed</v>
      </c>
      <c r="F33" s="6"/>
      <c r="G33" s="6"/>
      <c r="H33" s="18"/>
      <c r="I33" s="52">
        <v>0.01</v>
      </c>
      <c r="J33" s="64">
        <f t="shared" si="4"/>
        <v>0.98</v>
      </c>
      <c r="K33" s="4">
        <v>3</v>
      </c>
      <c r="L33" s="60">
        <f t="shared" si="5"/>
        <v>3</v>
      </c>
    </row>
    <row r="34" spans="1:12">
      <c r="A34" s="4">
        <v>0</v>
      </c>
      <c r="B34" s="4" t="s">
        <v>1680</v>
      </c>
      <c r="C34" s="4" t="s">
        <v>1680</v>
      </c>
      <c r="D34" s="4" t="s">
        <v>1680</v>
      </c>
      <c r="E34" s="10" t="str">
        <f t="shared" si="3"/>
        <v>Not presented</v>
      </c>
      <c r="F34" s="6"/>
      <c r="G34" s="6"/>
      <c r="H34" s="18"/>
      <c r="I34" s="52">
        <v>0.02</v>
      </c>
      <c r="J34" s="64">
        <f t="shared" si="4"/>
        <v>0</v>
      </c>
      <c r="K34" s="4">
        <v>3</v>
      </c>
      <c r="L34" s="60">
        <f t="shared" si="5"/>
        <v>6</v>
      </c>
    </row>
    <row r="35" spans="1:12">
      <c r="A35" s="4">
        <v>0</v>
      </c>
      <c r="B35" s="4" t="s">
        <v>1681</v>
      </c>
      <c r="C35" s="24" t="s">
        <v>1680</v>
      </c>
      <c r="D35" s="24" t="s">
        <v>1680</v>
      </c>
      <c r="E35" s="10" t="str">
        <f t="shared" si="3"/>
        <v>Not presented</v>
      </c>
      <c r="F35" s="6"/>
      <c r="G35" s="6"/>
      <c r="H35" s="18"/>
      <c r="I35" s="52">
        <v>0.02</v>
      </c>
      <c r="J35" s="64">
        <f t="shared" si="4"/>
        <v>0</v>
      </c>
      <c r="K35" s="4">
        <v>3</v>
      </c>
      <c r="L35" s="60">
        <f t="shared" si="5"/>
        <v>6</v>
      </c>
    </row>
    <row r="36" spans="1:12">
      <c r="A36" s="4"/>
      <c r="B36" s="4"/>
      <c r="C36" s="24"/>
      <c r="D36" s="24"/>
      <c r="E36" s="10"/>
      <c r="F36" s="6"/>
      <c r="G36" s="6"/>
      <c r="H36" s="18"/>
      <c r="I36" s="52"/>
      <c r="J36" s="64"/>
      <c r="K36" s="4"/>
      <c r="L36" s="60"/>
    </row>
    <row r="37" spans="1:12">
      <c r="A37" s="4">
        <v>0</v>
      </c>
      <c r="B37" s="4" t="s">
        <v>1681</v>
      </c>
      <c r="C37" s="24" t="s">
        <v>1680</v>
      </c>
      <c r="D37" s="24" t="s">
        <v>1680</v>
      </c>
      <c r="E37" s="10" t="str">
        <f t="shared" ref="E37:E53" si="6">IF(A37=3,"Fully completed",IF(A37=2,"Substantially completed with missing information",IF(A37=1,"Presented but with numerous information gaps",IF(A37=0,"Not presented","error"))))</f>
        <v>Not presented</v>
      </c>
      <c r="F37" s="6"/>
      <c r="G37" s="6"/>
      <c r="H37" s="18"/>
      <c r="I37" s="52">
        <v>0.01</v>
      </c>
      <c r="J37" s="64">
        <f t="shared" ref="J37:J53" si="7">ROUND(((A37*I37)*100)/Scale,2)</f>
        <v>0</v>
      </c>
      <c r="K37" s="4">
        <v>3</v>
      </c>
      <c r="L37" s="60">
        <f t="shared" ref="L37:L53" si="8">ROUND((K37*I37)*100,0)</f>
        <v>3</v>
      </c>
    </row>
    <row r="38" spans="1:12">
      <c r="A38" s="4">
        <v>3</v>
      </c>
      <c r="B38" s="4" t="s">
        <v>1680</v>
      </c>
      <c r="C38" s="4" t="s">
        <v>1680</v>
      </c>
      <c r="D38" s="4" t="s">
        <v>1680</v>
      </c>
      <c r="E38" s="10" t="str">
        <f t="shared" si="6"/>
        <v>Fully completed</v>
      </c>
      <c r="F38" s="6"/>
      <c r="G38" s="6"/>
      <c r="H38" s="18"/>
      <c r="I38" s="52">
        <v>0.01</v>
      </c>
      <c r="J38" s="64">
        <f t="shared" si="7"/>
        <v>0.98</v>
      </c>
      <c r="K38" s="4">
        <v>3</v>
      </c>
      <c r="L38" s="60">
        <f t="shared" si="8"/>
        <v>3</v>
      </c>
    </row>
    <row r="39" spans="1:12">
      <c r="A39" s="4">
        <v>2</v>
      </c>
      <c r="B39" s="4" t="s">
        <v>1680</v>
      </c>
      <c r="C39" s="4" t="s">
        <v>1680</v>
      </c>
      <c r="D39" s="4" t="s">
        <v>1680</v>
      </c>
      <c r="E39" s="10" t="str">
        <f t="shared" si="6"/>
        <v>Substantially completed with missing information</v>
      </c>
      <c r="F39" s="6"/>
      <c r="G39" s="6"/>
      <c r="H39" s="18"/>
      <c r="I39" s="52">
        <v>0.01</v>
      </c>
      <c r="J39" s="64">
        <f t="shared" si="7"/>
        <v>0.66</v>
      </c>
      <c r="K39" s="4">
        <v>3</v>
      </c>
      <c r="L39" s="60">
        <f t="shared" si="8"/>
        <v>3</v>
      </c>
    </row>
    <row r="40" spans="1:12">
      <c r="A40" s="4">
        <v>1</v>
      </c>
      <c r="B40" s="4" t="s">
        <v>1681</v>
      </c>
      <c r="C40" s="24" t="s">
        <v>1680</v>
      </c>
      <c r="D40" s="24" t="s">
        <v>1680</v>
      </c>
      <c r="E40" s="10" t="str">
        <f t="shared" si="6"/>
        <v>Presented but with numerous information gaps</v>
      </c>
      <c r="F40" s="6"/>
      <c r="G40" s="6"/>
      <c r="H40" s="18"/>
      <c r="I40" s="52">
        <v>0.01</v>
      </c>
      <c r="J40" s="64">
        <f t="shared" si="7"/>
        <v>0.33</v>
      </c>
      <c r="K40" s="4">
        <v>3</v>
      </c>
      <c r="L40" s="60">
        <f t="shared" si="8"/>
        <v>3</v>
      </c>
    </row>
    <row r="41" spans="1:12">
      <c r="A41" s="4">
        <v>3</v>
      </c>
      <c r="B41" s="4" t="s">
        <v>1680</v>
      </c>
      <c r="C41" s="4" t="s">
        <v>1680</v>
      </c>
      <c r="D41" s="4" t="s">
        <v>1680</v>
      </c>
      <c r="E41" s="10" t="str">
        <f t="shared" si="6"/>
        <v>Fully completed</v>
      </c>
      <c r="F41" s="6"/>
      <c r="G41" s="6"/>
      <c r="H41" s="18"/>
      <c r="I41" s="52">
        <v>0.01</v>
      </c>
      <c r="J41" s="64">
        <f t="shared" si="7"/>
        <v>0.98</v>
      </c>
      <c r="K41" s="4">
        <v>3</v>
      </c>
      <c r="L41" s="60">
        <f t="shared" si="8"/>
        <v>3</v>
      </c>
    </row>
    <row r="42" spans="1:12">
      <c r="A42" s="4">
        <v>3</v>
      </c>
      <c r="B42" s="4" t="s">
        <v>1680</v>
      </c>
      <c r="C42" s="4" t="s">
        <v>1680</v>
      </c>
      <c r="D42" s="4" t="s">
        <v>1680</v>
      </c>
      <c r="E42" s="10" t="str">
        <f t="shared" si="6"/>
        <v>Fully completed</v>
      </c>
      <c r="F42" s="6"/>
      <c r="G42" s="6"/>
      <c r="H42" s="18"/>
      <c r="I42" s="52">
        <v>0.01</v>
      </c>
      <c r="J42" s="64">
        <f t="shared" si="7"/>
        <v>0.98</v>
      </c>
      <c r="K42" s="4">
        <v>3</v>
      </c>
      <c r="L42" s="60">
        <f t="shared" si="8"/>
        <v>3</v>
      </c>
    </row>
    <row r="43" spans="1:12">
      <c r="A43" s="4">
        <v>3</v>
      </c>
      <c r="B43" s="4" t="s">
        <v>1680</v>
      </c>
      <c r="C43" s="4" t="s">
        <v>1680</v>
      </c>
      <c r="D43" s="4" t="s">
        <v>1680</v>
      </c>
      <c r="E43" s="10" t="str">
        <f t="shared" si="6"/>
        <v>Fully completed</v>
      </c>
      <c r="F43" s="6"/>
      <c r="G43" s="6"/>
      <c r="H43" s="18"/>
      <c r="I43" s="52">
        <v>0.01</v>
      </c>
      <c r="J43" s="64">
        <f t="shared" si="7"/>
        <v>0.98</v>
      </c>
      <c r="K43" s="4">
        <v>3</v>
      </c>
      <c r="L43" s="60">
        <f t="shared" si="8"/>
        <v>3</v>
      </c>
    </row>
    <row r="44" spans="1:12">
      <c r="A44" s="4">
        <v>3</v>
      </c>
      <c r="B44" s="4" t="s">
        <v>1680</v>
      </c>
      <c r="C44" s="4" t="s">
        <v>1680</v>
      </c>
      <c r="D44" s="4" t="s">
        <v>1680</v>
      </c>
      <c r="E44" s="10" t="str">
        <f t="shared" si="6"/>
        <v>Fully completed</v>
      </c>
      <c r="F44" s="6"/>
      <c r="G44" s="6"/>
      <c r="H44" s="18"/>
      <c r="I44" s="52">
        <v>0.01</v>
      </c>
      <c r="J44" s="64">
        <f t="shared" si="7"/>
        <v>0.98</v>
      </c>
      <c r="K44" s="4">
        <v>3</v>
      </c>
      <c r="L44" s="60">
        <f t="shared" si="8"/>
        <v>3</v>
      </c>
    </row>
    <row r="45" spans="1:12">
      <c r="A45" s="4">
        <v>1</v>
      </c>
      <c r="B45" s="4" t="s">
        <v>1680</v>
      </c>
      <c r="C45" s="4" t="s">
        <v>1680</v>
      </c>
      <c r="D45" s="4" t="s">
        <v>1680</v>
      </c>
      <c r="E45" s="10" t="str">
        <f t="shared" si="6"/>
        <v>Presented but with numerous information gaps</v>
      </c>
      <c r="F45" s="6"/>
      <c r="G45" s="6"/>
      <c r="H45" s="18"/>
      <c r="I45" s="52">
        <v>0.01</v>
      </c>
      <c r="J45" s="64">
        <f t="shared" si="7"/>
        <v>0.33</v>
      </c>
      <c r="K45" s="4">
        <v>3</v>
      </c>
      <c r="L45" s="60">
        <f t="shared" si="8"/>
        <v>3</v>
      </c>
    </row>
    <row r="46" spans="1:12">
      <c r="A46" s="4">
        <v>0</v>
      </c>
      <c r="B46" s="4" t="s">
        <v>1680</v>
      </c>
      <c r="C46" s="4" t="s">
        <v>1680</v>
      </c>
      <c r="D46" s="4" t="s">
        <v>1680</v>
      </c>
      <c r="E46" s="10" t="str">
        <f t="shared" si="6"/>
        <v>Not presented</v>
      </c>
      <c r="F46" s="6"/>
      <c r="G46" s="6"/>
      <c r="H46" s="18"/>
      <c r="I46" s="52">
        <v>0.01</v>
      </c>
      <c r="J46" s="64">
        <f t="shared" si="7"/>
        <v>0</v>
      </c>
      <c r="K46" s="4">
        <v>3</v>
      </c>
      <c r="L46" s="60">
        <f t="shared" si="8"/>
        <v>3</v>
      </c>
    </row>
    <row r="47" spans="1:12">
      <c r="A47" s="4">
        <v>0</v>
      </c>
      <c r="B47" s="4" t="s">
        <v>1681</v>
      </c>
      <c r="C47" s="24" t="s">
        <v>1680</v>
      </c>
      <c r="D47" s="24" t="s">
        <v>1680</v>
      </c>
      <c r="E47" s="10" t="str">
        <f t="shared" si="6"/>
        <v>Not presented</v>
      </c>
      <c r="F47" s="6"/>
      <c r="G47" s="6"/>
      <c r="H47" s="18"/>
      <c r="I47" s="52">
        <v>0.01</v>
      </c>
      <c r="J47" s="64">
        <f t="shared" si="7"/>
        <v>0</v>
      </c>
      <c r="K47" s="4">
        <v>3</v>
      </c>
      <c r="L47" s="60">
        <f t="shared" si="8"/>
        <v>3</v>
      </c>
    </row>
    <row r="48" spans="1:12">
      <c r="A48" s="4">
        <v>0</v>
      </c>
      <c r="B48" s="4" t="s">
        <v>1681</v>
      </c>
      <c r="C48" s="24" t="s">
        <v>1680</v>
      </c>
      <c r="D48" s="24" t="s">
        <v>1680</v>
      </c>
      <c r="E48" s="10" t="str">
        <f t="shared" si="6"/>
        <v>Not presented</v>
      </c>
      <c r="F48" s="6"/>
      <c r="G48" s="6"/>
      <c r="H48" s="18"/>
      <c r="I48" s="52">
        <v>0.01</v>
      </c>
      <c r="J48" s="64">
        <f t="shared" si="7"/>
        <v>0</v>
      </c>
      <c r="K48" s="4">
        <v>3</v>
      </c>
      <c r="L48" s="60">
        <f t="shared" si="8"/>
        <v>3</v>
      </c>
    </row>
    <row r="49" spans="1:12">
      <c r="A49" s="4">
        <v>0</v>
      </c>
      <c r="B49" s="4" t="s">
        <v>1681</v>
      </c>
      <c r="C49" s="24" t="s">
        <v>1680</v>
      </c>
      <c r="D49" s="24" t="s">
        <v>1680</v>
      </c>
      <c r="E49" s="10" t="str">
        <f t="shared" si="6"/>
        <v>Not presented</v>
      </c>
      <c r="F49" s="6"/>
      <c r="G49" s="6"/>
      <c r="H49" s="18"/>
      <c r="I49" s="52">
        <v>0.02</v>
      </c>
      <c r="J49" s="64">
        <f t="shared" si="7"/>
        <v>0</v>
      </c>
      <c r="K49" s="4">
        <v>3</v>
      </c>
      <c r="L49" s="60">
        <f t="shared" si="8"/>
        <v>6</v>
      </c>
    </row>
    <row r="50" spans="1:12">
      <c r="A50" s="4">
        <v>2</v>
      </c>
      <c r="B50" s="4" t="s">
        <v>1681</v>
      </c>
      <c r="C50" s="24" t="s">
        <v>1680</v>
      </c>
      <c r="D50" s="24" t="s">
        <v>1680</v>
      </c>
      <c r="E50" s="10" t="str">
        <f t="shared" si="6"/>
        <v>Substantially completed with missing information</v>
      </c>
      <c r="F50" s="6"/>
      <c r="G50" s="6"/>
      <c r="H50" s="18"/>
      <c r="I50" s="52">
        <v>0.01</v>
      </c>
      <c r="J50" s="64">
        <f t="shared" si="7"/>
        <v>0.66</v>
      </c>
      <c r="K50" s="4">
        <v>3</v>
      </c>
      <c r="L50" s="60">
        <f t="shared" si="8"/>
        <v>3</v>
      </c>
    </row>
    <row r="51" spans="1:12">
      <c r="A51" s="4">
        <v>1</v>
      </c>
      <c r="B51" s="4" t="s">
        <v>1681</v>
      </c>
      <c r="C51" s="24" t="s">
        <v>1680</v>
      </c>
      <c r="D51" s="24" t="s">
        <v>1680</v>
      </c>
      <c r="E51" s="10" t="str">
        <f t="shared" si="6"/>
        <v>Presented but with numerous information gaps</v>
      </c>
      <c r="F51" s="6"/>
      <c r="G51" s="6"/>
      <c r="H51" s="18"/>
      <c r="I51" s="52">
        <v>0.02</v>
      </c>
      <c r="J51" s="64">
        <f t="shared" si="7"/>
        <v>0.66</v>
      </c>
      <c r="K51" s="4">
        <v>3</v>
      </c>
      <c r="L51" s="60">
        <f t="shared" si="8"/>
        <v>6</v>
      </c>
    </row>
    <row r="52" spans="1:12">
      <c r="A52" s="4">
        <v>0</v>
      </c>
      <c r="B52" s="4" t="s">
        <v>1680</v>
      </c>
      <c r="C52" s="4" t="s">
        <v>1680</v>
      </c>
      <c r="D52" s="4" t="s">
        <v>1680</v>
      </c>
      <c r="E52" s="10" t="str">
        <f t="shared" si="6"/>
        <v>Not presented</v>
      </c>
      <c r="F52" s="6"/>
      <c r="G52" s="6"/>
      <c r="H52" s="18"/>
      <c r="I52" s="52">
        <v>0.01</v>
      </c>
      <c r="J52" s="64">
        <f t="shared" si="7"/>
        <v>0</v>
      </c>
      <c r="K52" s="4">
        <v>3</v>
      </c>
      <c r="L52" s="60">
        <f t="shared" si="8"/>
        <v>3</v>
      </c>
    </row>
    <row r="53" spans="1:12">
      <c r="A53" s="22">
        <v>0</v>
      </c>
      <c r="B53" s="22" t="s">
        <v>1681</v>
      </c>
      <c r="C53" s="25" t="s">
        <v>1680</v>
      </c>
      <c r="D53" s="25" t="s">
        <v>1680</v>
      </c>
      <c r="E53" s="11" t="str">
        <f t="shared" si="6"/>
        <v>Not presented</v>
      </c>
      <c r="F53" s="19"/>
      <c r="G53" s="19"/>
      <c r="H53" s="20"/>
      <c r="I53" s="53">
        <v>0.02</v>
      </c>
      <c r="J53" s="65">
        <f t="shared" si="7"/>
        <v>0</v>
      </c>
      <c r="K53" s="4">
        <v>3</v>
      </c>
      <c r="L53" s="60">
        <f t="shared" si="8"/>
        <v>6</v>
      </c>
    </row>
    <row r="54" spans="1:12">
      <c r="A54" s="9"/>
      <c r="B54" s="9"/>
      <c r="C54" s="9"/>
      <c r="D54" s="9"/>
      <c r="E54" s="2"/>
      <c r="F54" s="2"/>
      <c r="G54" s="2"/>
      <c r="H54" s="51" t="s">
        <v>1682</v>
      </c>
      <c r="I54" s="7">
        <f>SUM(I21:I53)</f>
        <v>0.41000000000000014</v>
      </c>
      <c r="J54" s="62">
        <f>SUM(J21:J53)</f>
        <v>21.300000000000004</v>
      </c>
      <c r="K54" s="12"/>
      <c r="L54" s="60"/>
    </row>
    <row r="55" spans="1:12">
      <c r="A55" s="9"/>
      <c r="B55" s="9"/>
      <c r="C55" s="9"/>
      <c r="D55" s="9"/>
      <c r="E55" s="2"/>
      <c r="F55" s="2"/>
      <c r="G55" s="2"/>
      <c r="H55" s="51"/>
      <c r="I55" s="136"/>
      <c r="J55" s="137"/>
      <c r="K55" s="12"/>
      <c r="L55" s="60"/>
    </row>
    <row r="56" spans="1:12">
      <c r="A56" s="21">
        <v>3</v>
      </c>
      <c r="B56" s="21" t="s">
        <v>1680</v>
      </c>
      <c r="C56" s="21" t="s">
        <v>1680</v>
      </c>
      <c r="D56" s="21" t="s">
        <v>1680</v>
      </c>
      <c r="E56" s="54" t="str">
        <f t="shared" ref="E56:E75" si="9">IF(A56=3,"Fully completed",IF(A56=2,"Substantially completed with missing information",IF(A56=1,"Presented but with numerous information gaps",IF(A56=0,"Not presented","error"))))</f>
        <v>Fully completed</v>
      </c>
      <c r="F56" s="16"/>
      <c r="G56" s="16"/>
      <c r="H56" s="17"/>
      <c r="I56" s="55">
        <v>0.01</v>
      </c>
      <c r="J56" s="21">
        <f t="shared" ref="J56:J75" si="10">ROUND(((A56*I56)*100)/Scale,2)</f>
        <v>0.98</v>
      </c>
      <c r="K56" s="4">
        <v>3</v>
      </c>
      <c r="L56" s="60">
        <f t="shared" ref="L56:L75" si="11">ROUND((K56*I56)*100,0)</f>
        <v>3</v>
      </c>
    </row>
    <row r="57" spans="1:12">
      <c r="A57" s="4">
        <v>3</v>
      </c>
      <c r="B57" s="4" t="s">
        <v>1680</v>
      </c>
      <c r="C57" s="4" t="s">
        <v>1680</v>
      </c>
      <c r="D57" s="4" t="s">
        <v>1680</v>
      </c>
      <c r="E57" s="10" t="str">
        <f t="shared" si="9"/>
        <v>Fully completed</v>
      </c>
      <c r="F57" s="6"/>
      <c r="G57" s="6"/>
      <c r="H57" s="18"/>
      <c r="I57" s="52">
        <v>0.01</v>
      </c>
      <c r="J57" s="4">
        <f t="shared" si="10"/>
        <v>0.98</v>
      </c>
      <c r="K57" s="4">
        <v>3</v>
      </c>
      <c r="L57" s="60">
        <f t="shared" si="11"/>
        <v>3</v>
      </c>
    </row>
    <row r="58" spans="1:12">
      <c r="A58" s="4">
        <v>3</v>
      </c>
      <c r="B58" s="4" t="s">
        <v>1680</v>
      </c>
      <c r="C58" s="4" t="s">
        <v>1680</v>
      </c>
      <c r="D58" s="4" t="s">
        <v>1680</v>
      </c>
      <c r="E58" s="10" t="str">
        <f t="shared" si="9"/>
        <v>Fully completed</v>
      </c>
      <c r="F58" s="6"/>
      <c r="G58" s="6"/>
      <c r="H58" s="18"/>
      <c r="I58" s="52">
        <v>0.01</v>
      </c>
      <c r="J58" s="4">
        <f t="shared" si="10"/>
        <v>0.98</v>
      </c>
      <c r="K58" s="4">
        <v>3</v>
      </c>
      <c r="L58" s="60">
        <f t="shared" si="11"/>
        <v>3</v>
      </c>
    </row>
    <row r="59" spans="1:12">
      <c r="A59" s="4">
        <v>3</v>
      </c>
      <c r="B59" s="4" t="s">
        <v>1681</v>
      </c>
      <c r="C59" s="4" t="s">
        <v>1681</v>
      </c>
      <c r="D59" s="4" t="s">
        <v>1681</v>
      </c>
      <c r="E59" s="10" t="str">
        <f t="shared" si="9"/>
        <v>Fully completed</v>
      </c>
      <c r="F59" s="6"/>
      <c r="G59" s="6"/>
      <c r="H59" s="18"/>
      <c r="I59" s="56">
        <v>5.0000000000000001E-3</v>
      </c>
      <c r="J59" s="4">
        <f t="shared" si="10"/>
        <v>0.49</v>
      </c>
      <c r="K59" s="4">
        <v>3</v>
      </c>
      <c r="L59" s="60">
        <f t="shared" si="11"/>
        <v>2</v>
      </c>
    </row>
    <row r="60" spans="1:12">
      <c r="A60" s="4">
        <v>3</v>
      </c>
      <c r="B60" s="4" t="s">
        <v>1680</v>
      </c>
      <c r="C60" s="4" t="s">
        <v>1680</v>
      </c>
      <c r="D60" s="4" t="s">
        <v>1680</v>
      </c>
      <c r="E60" s="10" t="str">
        <f t="shared" si="9"/>
        <v>Fully completed</v>
      </c>
      <c r="F60" s="6"/>
      <c r="G60" s="6"/>
      <c r="H60" s="18"/>
      <c r="I60" s="52">
        <v>0.01</v>
      </c>
      <c r="J60" s="4">
        <f t="shared" si="10"/>
        <v>0.98</v>
      </c>
      <c r="K60" s="4">
        <v>3</v>
      </c>
      <c r="L60" s="60">
        <f t="shared" si="11"/>
        <v>3</v>
      </c>
    </row>
    <row r="61" spans="1:12">
      <c r="A61" s="4">
        <v>3</v>
      </c>
      <c r="B61" s="4" t="s">
        <v>1681</v>
      </c>
      <c r="C61" s="4" t="s">
        <v>1681</v>
      </c>
      <c r="D61" s="4" t="s">
        <v>1681</v>
      </c>
      <c r="E61" s="10" t="str">
        <f t="shared" si="9"/>
        <v>Fully completed</v>
      </c>
      <c r="F61" s="6"/>
      <c r="G61" s="6"/>
      <c r="H61" s="18"/>
      <c r="I61" s="56">
        <v>5.0000000000000001E-3</v>
      </c>
      <c r="J61" s="4">
        <f t="shared" si="10"/>
        <v>0.49</v>
      </c>
      <c r="K61" s="4">
        <v>3</v>
      </c>
      <c r="L61" s="60">
        <f t="shared" si="11"/>
        <v>2</v>
      </c>
    </row>
    <row r="62" spans="1:12">
      <c r="A62" s="4">
        <v>3</v>
      </c>
      <c r="B62" s="4" t="s">
        <v>1680</v>
      </c>
      <c r="C62" s="4" t="s">
        <v>1680</v>
      </c>
      <c r="D62" s="4" t="s">
        <v>1680</v>
      </c>
      <c r="E62" s="10" t="str">
        <f t="shared" si="9"/>
        <v>Fully completed</v>
      </c>
      <c r="F62" s="6"/>
      <c r="G62" s="6"/>
      <c r="H62" s="18"/>
      <c r="I62" s="52">
        <v>0.01</v>
      </c>
      <c r="J62" s="4">
        <f t="shared" si="10"/>
        <v>0.98</v>
      </c>
      <c r="K62" s="4">
        <v>3</v>
      </c>
      <c r="L62" s="60">
        <f t="shared" si="11"/>
        <v>3</v>
      </c>
    </row>
    <row r="63" spans="1:12">
      <c r="A63" s="4">
        <v>3</v>
      </c>
      <c r="B63" s="4" t="s">
        <v>1681</v>
      </c>
      <c r="C63" s="4" t="s">
        <v>1681</v>
      </c>
      <c r="D63" s="4" t="s">
        <v>1681</v>
      </c>
      <c r="E63" s="10" t="str">
        <f t="shared" si="9"/>
        <v>Fully completed</v>
      </c>
      <c r="F63" s="6"/>
      <c r="G63" s="6"/>
      <c r="H63" s="18"/>
      <c r="I63" s="56">
        <v>5.0000000000000001E-3</v>
      </c>
      <c r="J63" s="4">
        <f t="shared" si="10"/>
        <v>0.49</v>
      </c>
      <c r="K63" s="4">
        <v>3</v>
      </c>
      <c r="L63" s="60">
        <f t="shared" si="11"/>
        <v>2</v>
      </c>
    </row>
    <row r="64" spans="1:12">
      <c r="A64" s="4">
        <v>3</v>
      </c>
      <c r="B64" s="4" t="s">
        <v>1681</v>
      </c>
      <c r="C64" s="4" t="s">
        <v>1681</v>
      </c>
      <c r="D64" s="4" t="s">
        <v>1681</v>
      </c>
      <c r="E64" s="10" t="str">
        <f t="shared" si="9"/>
        <v>Fully completed</v>
      </c>
      <c r="F64" s="6"/>
      <c r="G64" s="6"/>
      <c r="H64" s="18"/>
      <c r="I64" s="56">
        <v>5.0000000000000001E-3</v>
      </c>
      <c r="J64" s="4">
        <f t="shared" si="10"/>
        <v>0.49</v>
      </c>
      <c r="K64" s="4">
        <v>3</v>
      </c>
      <c r="L64" s="60">
        <f t="shared" si="11"/>
        <v>2</v>
      </c>
    </row>
    <row r="65" spans="1:12">
      <c r="A65" s="4">
        <v>3</v>
      </c>
      <c r="B65" s="4" t="s">
        <v>1680</v>
      </c>
      <c r="C65" s="4" t="s">
        <v>1680</v>
      </c>
      <c r="D65" s="4" t="s">
        <v>1680</v>
      </c>
      <c r="E65" s="10" t="str">
        <f t="shared" si="9"/>
        <v>Fully completed</v>
      </c>
      <c r="F65" s="6"/>
      <c r="G65" s="6"/>
      <c r="H65" s="18"/>
      <c r="I65" s="52">
        <v>0.01</v>
      </c>
      <c r="J65" s="4">
        <f t="shared" si="10"/>
        <v>0.98</v>
      </c>
      <c r="K65" s="4">
        <v>3</v>
      </c>
      <c r="L65" s="60">
        <f t="shared" si="11"/>
        <v>3</v>
      </c>
    </row>
    <row r="66" spans="1:12">
      <c r="A66" s="4">
        <v>3</v>
      </c>
      <c r="B66" s="4" t="s">
        <v>1681</v>
      </c>
      <c r="C66" s="4" t="s">
        <v>1681</v>
      </c>
      <c r="D66" s="4" t="s">
        <v>1681</v>
      </c>
      <c r="E66" s="10" t="str">
        <f t="shared" si="9"/>
        <v>Fully completed</v>
      </c>
      <c r="F66" s="6"/>
      <c r="G66" s="6"/>
      <c r="H66" s="18"/>
      <c r="I66" s="56">
        <v>5.0000000000000001E-3</v>
      </c>
      <c r="J66" s="4">
        <f t="shared" si="10"/>
        <v>0.49</v>
      </c>
      <c r="K66" s="4">
        <v>3</v>
      </c>
      <c r="L66" s="60">
        <f t="shared" si="11"/>
        <v>2</v>
      </c>
    </row>
    <row r="67" spans="1:12">
      <c r="A67" s="4">
        <v>3</v>
      </c>
      <c r="B67" s="4" t="s">
        <v>1681</v>
      </c>
      <c r="C67" s="4" t="s">
        <v>1681</v>
      </c>
      <c r="D67" s="4" t="s">
        <v>1681</v>
      </c>
      <c r="E67" s="10" t="str">
        <f t="shared" si="9"/>
        <v>Fully completed</v>
      </c>
      <c r="F67" s="6"/>
      <c r="G67" s="6"/>
      <c r="H67" s="18"/>
      <c r="I67" s="56">
        <v>5.0000000000000001E-3</v>
      </c>
      <c r="J67" s="4">
        <f t="shared" si="10"/>
        <v>0.49</v>
      </c>
      <c r="K67" s="4">
        <v>3</v>
      </c>
      <c r="L67" s="60">
        <f t="shared" si="11"/>
        <v>2</v>
      </c>
    </row>
    <row r="68" spans="1:12">
      <c r="A68" s="4">
        <v>3</v>
      </c>
      <c r="B68" s="4" t="s">
        <v>1681</v>
      </c>
      <c r="C68" s="4" t="s">
        <v>1681</v>
      </c>
      <c r="D68" s="4" t="s">
        <v>1681</v>
      </c>
      <c r="E68" s="10" t="str">
        <f t="shared" si="9"/>
        <v>Fully completed</v>
      </c>
      <c r="F68" s="6"/>
      <c r="G68" s="6"/>
      <c r="H68" s="18"/>
      <c r="I68" s="56">
        <v>5.0000000000000001E-3</v>
      </c>
      <c r="J68" s="4">
        <f t="shared" si="10"/>
        <v>0.49</v>
      </c>
      <c r="K68" s="4">
        <v>3</v>
      </c>
      <c r="L68" s="60">
        <f t="shared" si="11"/>
        <v>2</v>
      </c>
    </row>
    <row r="69" spans="1:12">
      <c r="A69" s="4">
        <v>3</v>
      </c>
      <c r="B69" s="4" t="s">
        <v>1681</v>
      </c>
      <c r="C69" s="4" t="s">
        <v>1681</v>
      </c>
      <c r="D69" s="4" t="s">
        <v>1681</v>
      </c>
      <c r="E69" s="10" t="str">
        <f t="shared" si="9"/>
        <v>Fully completed</v>
      </c>
      <c r="F69" s="6"/>
      <c r="G69" s="6"/>
      <c r="H69" s="18"/>
      <c r="I69" s="56">
        <v>5.0000000000000001E-3</v>
      </c>
      <c r="J69" s="4">
        <f t="shared" si="10"/>
        <v>0.49</v>
      </c>
      <c r="K69" s="4">
        <v>3</v>
      </c>
      <c r="L69" s="60">
        <f t="shared" si="11"/>
        <v>2</v>
      </c>
    </row>
    <row r="70" spans="1:12">
      <c r="A70" s="4">
        <v>3</v>
      </c>
      <c r="B70" s="4" t="s">
        <v>1681</v>
      </c>
      <c r="C70" s="4" t="s">
        <v>1681</v>
      </c>
      <c r="D70" s="4" t="s">
        <v>1681</v>
      </c>
      <c r="E70" s="10" t="str">
        <f t="shared" si="9"/>
        <v>Fully completed</v>
      </c>
      <c r="F70" s="6"/>
      <c r="G70" s="6"/>
      <c r="H70" s="18"/>
      <c r="I70" s="56">
        <v>5.0000000000000001E-3</v>
      </c>
      <c r="J70" s="4">
        <f t="shared" si="10"/>
        <v>0.49</v>
      </c>
      <c r="K70" s="4">
        <v>3</v>
      </c>
      <c r="L70" s="60">
        <f t="shared" si="11"/>
        <v>2</v>
      </c>
    </row>
    <row r="71" spans="1:12">
      <c r="A71" s="4">
        <v>3</v>
      </c>
      <c r="B71" s="4" t="s">
        <v>1680</v>
      </c>
      <c r="C71" s="4" t="s">
        <v>1680</v>
      </c>
      <c r="D71" s="4" t="s">
        <v>1680</v>
      </c>
      <c r="E71" s="10" t="str">
        <f t="shared" si="9"/>
        <v>Fully completed</v>
      </c>
      <c r="F71" s="6"/>
      <c r="G71" s="6"/>
      <c r="H71" s="18"/>
      <c r="I71" s="52">
        <v>0.01</v>
      </c>
      <c r="J71" s="4">
        <f t="shared" si="10"/>
        <v>0.98</v>
      </c>
      <c r="K71" s="4">
        <v>3</v>
      </c>
      <c r="L71" s="60">
        <f t="shared" si="11"/>
        <v>3</v>
      </c>
    </row>
    <row r="72" spans="1:12">
      <c r="A72" s="4">
        <v>1</v>
      </c>
      <c r="B72" s="4" t="s">
        <v>1680</v>
      </c>
      <c r="C72" s="4" t="s">
        <v>1680</v>
      </c>
      <c r="D72" s="4" t="s">
        <v>1680</v>
      </c>
      <c r="E72" s="10" t="str">
        <f t="shared" si="9"/>
        <v>Presented but with numerous information gaps</v>
      </c>
      <c r="F72" s="6"/>
      <c r="G72" s="6"/>
      <c r="H72" s="18"/>
      <c r="I72" s="58">
        <v>7.4999999999999997E-3</v>
      </c>
      <c r="J72" s="4">
        <f t="shared" si="10"/>
        <v>0.25</v>
      </c>
      <c r="K72" s="4">
        <v>3</v>
      </c>
      <c r="L72" s="60">
        <f t="shared" si="11"/>
        <v>2</v>
      </c>
    </row>
    <row r="73" spans="1:12">
      <c r="A73" s="4">
        <v>2</v>
      </c>
      <c r="B73" s="4" t="s">
        <v>1680</v>
      </c>
      <c r="C73" s="4" t="s">
        <v>1680</v>
      </c>
      <c r="D73" s="4" t="s">
        <v>1680</v>
      </c>
      <c r="E73" s="10" t="str">
        <f t="shared" si="9"/>
        <v>Substantially completed with missing information</v>
      </c>
      <c r="F73" s="6"/>
      <c r="G73" s="6"/>
      <c r="H73" s="18"/>
      <c r="I73" s="58">
        <v>7.4999999999999997E-3</v>
      </c>
      <c r="J73" s="4">
        <f t="shared" si="10"/>
        <v>0.49</v>
      </c>
      <c r="K73" s="4">
        <v>3</v>
      </c>
      <c r="L73" s="60">
        <f t="shared" si="11"/>
        <v>2</v>
      </c>
    </row>
    <row r="74" spans="1:12">
      <c r="A74" s="4">
        <v>3</v>
      </c>
      <c r="B74" s="4" t="s">
        <v>1681</v>
      </c>
      <c r="C74" s="4" t="s">
        <v>1681</v>
      </c>
      <c r="D74" s="4" t="s">
        <v>1681</v>
      </c>
      <c r="E74" s="10" t="str">
        <f t="shared" si="9"/>
        <v>Fully completed</v>
      </c>
      <c r="F74" s="6"/>
      <c r="G74" s="6"/>
      <c r="H74" s="18"/>
      <c r="I74" s="56">
        <v>5.0000000000000001E-3</v>
      </c>
      <c r="J74" s="4">
        <f t="shared" si="10"/>
        <v>0.49</v>
      </c>
      <c r="K74" s="4">
        <v>3</v>
      </c>
      <c r="L74" s="60">
        <f t="shared" si="11"/>
        <v>2</v>
      </c>
    </row>
    <row r="75" spans="1:12">
      <c r="A75" s="22">
        <v>3</v>
      </c>
      <c r="B75" s="22" t="s">
        <v>1680</v>
      </c>
      <c r="C75" s="22" t="s">
        <v>1680</v>
      </c>
      <c r="D75" s="22" t="s">
        <v>1680</v>
      </c>
      <c r="E75" s="11" t="str">
        <f t="shared" si="9"/>
        <v>Fully completed</v>
      </c>
      <c r="F75" s="19"/>
      <c r="G75" s="19"/>
      <c r="H75" s="20"/>
      <c r="I75" s="57">
        <v>1.4999999999999999E-2</v>
      </c>
      <c r="J75" s="22">
        <f t="shared" si="10"/>
        <v>1.48</v>
      </c>
      <c r="K75" s="4">
        <v>3</v>
      </c>
      <c r="L75" s="60">
        <f t="shared" si="11"/>
        <v>5</v>
      </c>
    </row>
    <row r="76" spans="1:12">
      <c r="A76" s="5"/>
      <c r="B76" s="5"/>
      <c r="C76" s="5"/>
      <c r="D76" s="5"/>
      <c r="E76" s="6"/>
      <c r="F76" s="6"/>
      <c r="G76" s="6"/>
      <c r="H76" s="51" t="s">
        <v>1533</v>
      </c>
      <c r="I76" s="67">
        <f>SUM(I56:I75)</f>
        <v>0.15000000000000002</v>
      </c>
      <c r="J76" s="62">
        <f>SUM(J56:J75)</f>
        <v>13.980000000000004</v>
      </c>
      <c r="K76" s="12"/>
      <c r="L76" s="63">
        <f>SUM(L10:L75)</f>
        <v>278</v>
      </c>
    </row>
    <row r="77" spans="1:12">
      <c r="A77" s="9"/>
      <c r="B77" s="9"/>
      <c r="C77" s="9"/>
      <c r="D77" s="9"/>
      <c r="E77" s="2"/>
      <c r="F77" s="2"/>
      <c r="G77" s="2"/>
      <c r="H77" s="51" t="s">
        <v>1530</v>
      </c>
      <c r="I77" s="59">
        <f>I20+I54+I76</f>
        <v>0.91000000000000014</v>
      </c>
      <c r="J77" s="62">
        <f>J20+J54+J76</f>
        <v>66.080000000000013</v>
      </c>
      <c r="K77" s="38"/>
      <c r="L77" s="38">
        <v>3.05</v>
      </c>
    </row>
    <row r="78" spans="1:12">
      <c r="A78" s="9"/>
      <c r="B78" s="9"/>
      <c r="C78" s="9"/>
      <c r="D78" s="9"/>
      <c r="E78" s="2"/>
      <c r="F78" s="2"/>
      <c r="G78" s="2"/>
      <c r="H78" s="51"/>
      <c r="I78" s="2"/>
      <c r="J78" s="2"/>
      <c r="K78" s="2"/>
      <c r="L78" s="2"/>
    </row>
    <row r="79" spans="1:12">
      <c r="A79" s="9"/>
      <c r="B79" s="9"/>
      <c r="C79" s="9"/>
      <c r="D79" s="9"/>
      <c r="E79" s="2"/>
      <c r="F79" s="2"/>
      <c r="G79" s="2"/>
      <c r="H79" s="51" t="s">
        <v>1532</v>
      </c>
      <c r="I79" s="2"/>
      <c r="J79" s="2"/>
      <c r="K79" s="2"/>
      <c r="L79" s="2"/>
    </row>
  </sheetData>
  <sheetProtection selectLockedCells="1"/>
  <mergeCells count="3">
    <mergeCell ref="A8:J8"/>
    <mergeCell ref="E9:H9"/>
    <mergeCell ref="A2:J2"/>
  </mergeCells>
  <phoneticPr fontId="5" type="noConversion"/>
  <printOptions horizontalCentered="1"/>
  <pageMargins left="0.43307086614173229" right="0.15748031496062992" top="0.51181102362204722" bottom="0.55118110236220474" header="0.51181102362204722" footer="0.51181102362204722"/>
  <headerFooter alignWithMargins="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4"/>
  </sheetPr>
  <dimension ref="A1:O68"/>
  <sheetViews>
    <sheetView showGridLines="0" workbookViewId="0">
      <pane xSplit="1" ySplit="3" topLeftCell="B34" activePane="bottomRight" state="frozen"/>
      <selection pane="topRight"/>
      <selection pane="bottomLeft"/>
      <selection pane="bottomRight" activeCell="G63" sqref="G63"/>
    </sheetView>
  </sheetViews>
  <sheetFormatPr baseColWidth="10" defaultColWidth="8.83203125" defaultRowHeight="10" x14ac:dyDescent="0"/>
  <cols>
    <col min="1" max="1" width="30.6640625" style="149" customWidth="1"/>
    <col min="2" max="11" width="9" style="149" customWidth="1"/>
    <col min="12" max="14" width="7.6640625" style="149" customWidth="1"/>
    <col min="15" max="16384" width="8.83203125" style="149"/>
  </cols>
  <sheetData>
    <row r="1" spans="1:12" ht="13.5" customHeight="1">
      <c r="A1" s="2767" t="str">
        <f>muni&amp;" - "&amp;Approve1</f>
        <v>NW373 Rustenburg - Table A1 Consolidated Budget Summary</v>
      </c>
      <c r="B1" s="2768"/>
      <c r="C1" s="2768"/>
      <c r="D1" s="148"/>
      <c r="E1" s="148"/>
      <c r="F1" s="148"/>
      <c r="G1" s="148"/>
      <c r="H1" s="148"/>
      <c r="I1" s="148"/>
      <c r="J1" s="148"/>
      <c r="K1" s="148"/>
    </row>
    <row r="2" spans="1:12" ht="28.5" customHeight="1">
      <c r="A2" s="1002" t="str">
        <f>desc</f>
        <v>Description</v>
      </c>
      <c r="B2" s="144" t="str">
        <f>head1b</f>
        <v>2009/10</v>
      </c>
      <c r="C2" s="150" t="str">
        <f>head1A</f>
        <v>2010/11</v>
      </c>
      <c r="D2" s="146" t="str">
        <f>Head1</f>
        <v>2011/12</v>
      </c>
      <c r="E2" s="2765" t="str">
        <f>Head2</f>
        <v>Current Year 2012/13</v>
      </c>
      <c r="F2" s="2766"/>
      <c r="G2" s="2766"/>
      <c r="H2" s="2766"/>
      <c r="I2" s="2762" t="str">
        <f>Head3</f>
        <v>2013/14 Medium Term Revenue &amp; Expenditure Framework</v>
      </c>
      <c r="J2" s="2763"/>
      <c r="K2" s="2764"/>
    </row>
    <row r="3" spans="1:12" ht="20">
      <c r="A3" s="1161" t="s">
        <v>34</v>
      </c>
      <c r="B3" s="299" t="str">
        <f>Head5</f>
        <v>Audited Outcome</v>
      </c>
      <c r="C3" s="390" t="str">
        <f>Head5</f>
        <v>Audited Outcome</v>
      </c>
      <c r="D3" s="391" t="str">
        <f>Head5</f>
        <v>Audited Outcome</v>
      </c>
      <c r="E3" s="299" t="str">
        <f>Head6</f>
        <v>Original Budget</v>
      </c>
      <c r="F3" s="390" t="str">
        <f>Head7</f>
        <v>Adjusted Budget</v>
      </c>
      <c r="G3" s="391" t="str">
        <f>Head8</f>
        <v>Full Year Forecast</v>
      </c>
      <c r="H3" s="389" t="str">
        <f>Head5b</f>
        <v>Pre-audit outcome</v>
      </c>
      <c r="I3" s="299" t="str">
        <f>Head9</f>
        <v>Budget Year 2013/14</v>
      </c>
      <c r="J3" s="390" t="str">
        <f>Head10</f>
        <v>Budget Year +1 2014/15</v>
      </c>
      <c r="K3" s="391" t="str">
        <f>Head11</f>
        <v>Budget Year +2 2015/16</v>
      </c>
    </row>
    <row r="4" spans="1:12" ht="11.25" customHeight="1">
      <c r="A4" s="919" t="s">
        <v>1370</v>
      </c>
      <c r="B4" s="158"/>
      <c r="C4" s="159"/>
      <c r="D4" s="160"/>
      <c r="E4" s="158"/>
      <c r="F4" s="159"/>
      <c r="G4" s="160"/>
      <c r="H4" s="161"/>
      <c r="I4" s="158"/>
      <c r="J4" s="159"/>
      <c r="K4" s="160"/>
    </row>
    <row r="5" spans="1:12" ht="11.25" customHeight="1">
      <c r="A5" s="900" t="s">
        <v>542</v>
      </c>
      <c r="B5" s="1131">
        <f>'A4-FinPerf RE'!C5+'A4-FinPerf RE'!C6</f>
        <v>140364737.28</v>
      </c>
      <c r="C5" s="207">
        <f>'A4-FinPerf RE'!D5+'A4-FinPerf RE'!D6</f>
        <v>155576406</v>
      </c>
      <c r="D5" s="558">
        <f>'A4-FinPerf RE'!E5+'A4-FinPerf RE'!E6</f>
        <v>167460187</v>
      </c>
      <c r="E5" s="211">
        <f>'A4-FinPerf RE'!F5+'A4-FinPerf RE'!F6</f>
        <v>179459232</v>
      </c>
      <c r="F5" s="207">
        <f>'A4-FinPerf RE'!G5+'A4-FinPerf RE'!G6</f>
        <v>166259232</v>
      </c>
      <c r="G5" s="559">
        <f>'A4-FinPerf RE'!H5+'A4-FinPerf RE'!H6</f>
        <v>166259232</v>
      </c>
      <c r="H5" s="210">
        <f>'A4-FinPerf RE'!I5+'A4-FinPerf RE'!I6</f>
        <v>166259232</v>
      </c>
      <c r="I5" s="211">
        <f>'A4-FinPerf RE'!J5+'A4-FinPerf RE'!J6</f>
        <v>175843374</v>
      </c>
      <c r="J5" s="207">
        <f>'A4-FinPerf RE'!K5+'A4-FinPerf RE'!K6</f>
        <v>184704056</v>
      </c>
      <c r="K5" s="559">
        <f>'A4-FinPerf RE'!L5+'A4-FinPerf RE'!L6</f>
        <v>193849813</v>
      </c>
      <c r="L5" s="370"/>
    </row>
    <row r="6" spans="1:12" ht="11.25" customHeight="1">
      <c r="A6" s="900" t="s">
        <v>1614</v>
      </c>
      <c r="B6" s="207">
        <f>SUM('A4-FinPerf RE'!C7:C11)</f>
        <v>1175596607.5000002</v>
      </c>
      <c r="C6" s="207">
        <f>SUM('A4-FinPerf RE'!D7:D11)</f>
        <v>1401685692</v>
      </c>
      <c r="D6" s="558">
        <f>SUM('A4-FinPerf RE'!E7:E11)</f>
        <v>1291005211</v>
      </c>
      <c r="E6" s="211">
        <f>SUM('A4-FinPerf RE'!F7:F11)</f>
        <v>1997580725</v>
      </c>
      <c r="F6" s="207">
        <f>SUM('A4-FinPerf RE'!G7:G11)</f>
        <v>1982457663</v>
      </c>
      <c r="G6" s="559">
        <f>SUM('A4-FinPerf RE'!H7:H11)</f>
        <v>1982457663</v>
      </c>
      <c r="H6" s="210">
        <f>SUM('A4-FinPerf RE'!I7:I11)</f>
        <v>1982457663</v>
      </c>
      <c r="I6" s="211">
        <f>SUM('A4-FinPerf RE'!J7:J11)</f>
        <v>1805095914</v>
      </c>
      <c r="J6" s="207">
        <f>SUM('A4-FinPerf RE'!K7:K11)</f>
        <v>1940474806</v>
      </c>
      <c r="K6" s="559">
        <f>SUM('A4-FinPerf RE'!L7:L11)</f>
        <v>2157470708</v>
      </c>
    </row>
    <row r="7" spans="1:12" ht="11.25" customHeight="1">
      <c r="A7" s="900" t="s">
        <v>502</v>
      </c>
      <c r="B7" s="207">
        <f>'A4-FinPerf RE'!C13</f>
        <v>45844566</v>
      </c>
      <c r="C7" s="207">
        <f>'A4-FinPerf RE'!D13</f>
        <v>43343622</v>
      </c>
      <c r="D7" s="558">
        <f>'A4-FinPerf RE'!E13</f>
        <v>55475086</v>
      </c>
      <c r="E7" s="211">
        <f>'A4-FinPerf RE'!F13</f>
        <v>79337660</v>
      </c>
      <c r="F7" s="207">
        <f>'A4-FinPerf RE'!G13</f>
        <v>69016660</v>
      </c>
      <c r="G7" s="559">
        <f>'A4-FinPerf RE'!H13</f>
        <v>69016660</v>
      </c>
      <c r="H7" s="210">
        <f>'A4-FinPerf RE'!I13</f>
        <v>69016660</v>
      </c>
      <c r="I7" s="211">
        <f>'A4-FinPerf RE'!J13</f>
        <v>68996411</v>
      </c>
      <c r="J7" s="207">
        <f>'A4-FinPerf RE'!K13</f>
        <v>72187520</v>
      </c>
      <c r="K7" s="559">
        <f>'A4-FinPerf RE'!L13</f>
        <v>75551937</v>
      </c>
    </row>
    <row r="8" spans="1:12" ht="11.25" customHeight="1">
      <c r="A8" s="900" t="s">
        <v>35</v>
      </c>
      <c r="B8" s="207">
        <f>'A4-FinPerf RE'!C19</f>
        <v>442164247</v>
      </c>
      <c r="C8" s="207">
        <f>'A4-FinPerf RE'!D19</f>
        <v>444485451</v>
      </c>
      <c r="D8" s="558">
        <f>'A4-FinPerf RE'!E19</f>
        <v>462845808</v>
      </c>
      <c r="E8" s="211">
        <f>'A4-FinPerf RE'!F19</f>
        <v>282915139</v>
      </c>
      <c r="F8" s="207">
        <f>'A4-FinPerf RE'!G19</f>
        <v>301272885</v>
      </c>
      <c r="G8" s="559">
        <f>'A4-FinPerf RE'!H19</f>
        <v>301272885</v>
      </c>
      <c r="H8" s="210">
        <f>'A4-FinPerf RE'!I19</f>
        <v>301272885</v>
      </c>
      <c r="I8" s="211">
        <f>'A4-FinPerf RE'!J19</f>
        <v>341879800</v>
      </c>
      <c r="J8" s="207">
        <f>'A4-FinPerf RE'!K19</f>
        <v>368423220</v>
      </c>
      <c r="K8" s="559">
        <f>'A4-FinPerf RE'!L19</f>
        <v>437175249</v>
      </c>
    </row>
    <row r="9" spans="1:12" ht="11.25" customHeight="1">
      <c r="A9" s="900" t="s">
        <v>205</v>
      </c>
      <c r="B9" s="207">
        <f>'A4-FinPerf RE'!C12+'A4-FinPerf RE'!C14+'A4-FinPerf RE'!C15+'A4-FinPerf RE'!C16+'A4-FinPerf RE'!C17+'A4-FinPerf RE'!C18+'A4-FinPerf RE'!C20+'A4-FinPerf RE'!C21</f>
        <v>165036627.76000002</v>
      </c>
      <c r="C9" s="207">
        <f>'A4-FinPerf RE'!D12+'A4-FinPerf RE'!D14+'A4-FinPerf RE'!D15+'A4-FinPerf RE'!D16+'A4-FinPerf RE'!D17+'A4-FinPerf RE'!D18+'A4-FinPerf RE'!D20+'A4-FinPerf RE'!D21</f>
        <v>173267262</v>
      </c>
      <c r="D9" s="558">
        <f>'A4-FinPerf RE'!E12+'A4-FinPerf RE'!E14+'A4-FinPerf RE'!E15+'A4-FinPerf RE'!E16+'A4-FinPerf RE'!E17+'A4-FinPerf RE'!E18+'A4-FinPerf RE'!E20+'A4-FinPerf RE'!E21</f>
        <v>198324655</v>
      </c>
      <c r="E9" s="211">
        <f>'A4-FinPerf RE'!F12+'A4-FinPerf RE'!F14+'A4-FinPerf RE'!F15+'A4-FinPerf RE'!F16+'A4-FinPerf RE'!F17+'A4-FinPerf RE'!F18+'A4-FinPerf RE'!F20+'A4-FinPerf RE'!F21</f>
        <v>269774061</v>
      </c>
      <c r="F9" s="207">
        <f>'A4-FinPerf RE'!G12+'A4-FinPerf RE'!G14+'A4-FinPerf RE'!G15+'A4-FinPerf RE'!G16+'A4-FinPerf RE'!G17+'A4-FinPerf RE'!G18+'A4-FinPerf RE'!G20+'A4-FinPerf RE'!G21</f>
        <v>236396013</v>
      </c>
      <c r="G9" s="559">
        <f>'A4-FinPerf RE'!H12+'A4-FinPerf RE'!H14+'A4-FinPerf RE'!H15+'A4-FinPerf RE'!H16+'A4-FinPerf RE'!H17+'A4-FinPerf RE'!H18+'A4-FinPerf RE'!H20+'A4-FinPerf RE'!H21</f>
        <v>236396013</v>
      </c>
      <c r="H9" s="210">
        <f>'A4-FinPerf RE'!I12+'A4-FinPerf RE'!I14+'A4-FinPerf RE'!I15+'A4-FinPerf RE'!I16+'A4-FinPerf RE'!I17+'A4-FinPerf RE'!I18+'A4-FinPerf RE'!I20+'A4-FinPerf RE'!I21</f>
        <v>236396013</v>
      </c>
      <c r="I9" s="211">
        <f>'A4-FinPerf RE'!J12+'A4-FinPerf RE'!J14+'A4-FinPerf RE'!J15+'A4-FinPerf RE'!J16+'A4-FinPerf RE'!J17+'A4-FinPerf RE'!J18+'A4-FinPerf RE'!J20+'A4-FinPerf RE'!J21</f>
        <v>337460036</v>
      </c>
      <c r="J9" s="207">
        <f>'A4-FinPerf RE'!K12+'A4-FinPerf RE'!K14+'A4-FinPerf RE'!K15+'A4-FinPerf RE'!K16+'A4-FinPerf RE'!K17+'A4-FinPerf RE'!K18+'A4-FinPerf RE'!K20+'A4-FinPerf RE'!K21</f>
        <v>268432350</v>
      </c>
      <c r="K9" s="559">
        <f>'A4-FinPerf RE'!L12+'A4-FinPerf RE'!L14+'A4-FinPerf RE'!L15+'A4-FinPerf RE'!L16+'A4-FinPerf RE'!L17+'A4-FinPerf RE'!L18+'A4-FinPerf RE'!L20+'A4-FinPerf RE'!L21</f>
        <v>208059630</v>
      </c>
    </row>
    <row r="10" spans="1:12" ht="25.5" customHeight="1">
      <c r="A10" s="297" t="str">
        <f>'A4-FinPerf RE'!A22</f>
        <v>Total Revenue (excluding capital transfers and contributions)</v>
      </c>
      <c r="B10" s="1344">
        <f t="shared" ref="B10:K10" si="0">SUM(B5:B9)</f>
        <v>1969006785.5400002</v>
      </c>
      <c r="C10" s="1344">
        <f t="shared" si="0"/>
        <v>2218358433</v>
      </c>
      <c r="D10" s="1345">
        <f t="shared" si="0"/>
        <v>2175110947</v>
      </c>
      <c r="E10" s="1343">
        <f t="shared" si="0"/>
        <v>2809066817</v>
      </c>
      <c r="F10" s="1344">
        <f t="shared" si="0"/>
        <v>2755402453</v>
      </c>
      <c r="G10" s="1346">
        <f t="shared" si="0"/>
        <v>2755402453</v>
      </c>
      <c r="H10" s="1347">
        <f t="shared" si="0"/>
        <v>2755402453</v>
      </c>
      <c r="I10" s="1343">
        <f t="shared" si="0"/>
        <v>2729275535</v>
      </c>
      <c r="J10" s="1344">
        <f t="shared" si="0"/>
        <v>2834221952</v>
      </c>
      <c r="K10" s="1346">
        <f t="shared" si="0"/>
        <v>3072107337</v>
      </c>
    </row>
    <row r="11" spans="1:12" ht="11.25" customHeight="1">
      <c r="A11" s="900" t="s">
        <v>494</v>
      </c>
      <c r="B11" s="207">
        <f>'A4-FinPerf RE'!C25</f>
        <v>176679399.88999996</v>
      </c>
      <c r="C11" s="207">
        <f>'A4-FinPerf RE'!D25</f>
        <v>322647467</v>
      </c>
      <c r="D11" s="558">
        <f>'A4-FinPerf RE'!E25</f>
        <v>349932528</v>
      </c>
      <c r="E11" s="211">
        <f>'A4-FinPerf RE'!F25</f>
        <v>403054506.24400002</v>
      </c>
      <c r="F11" s="207">
        <f>'A4-FinPerf RE'!G25</f>
        <v>412163499</v>
      </c>
      <c r="G11" s="559">
        <f>'A4-FinPerf RE'!H25</f>
        <v>412163499</v>
      </c>
      <c r="H11" s="210">
        <f>'A4-FinPerf RE'!I25</f>
        <v>412163499</v>
      </c>
      <c r="I11" s="211">
        <f>'A4-FinPerf RE'!J25</f>
        <v>462746205</v>
      </c>
      <c r="J11" s="207">
        <f>'A4-FinPerf RE'!K25</f>
        <v>498512510</v>
      </c>
      <c r="K11" s="559">
        <f>'A4-FinPerf RE'!L25</f>
        <v>532216088</v>
      </c>
    </row>
    <row r="12" spans="1:12" ht="11.25" customHeight="1">
      <c r="A12" s="900" t="s">
        <v>531</v>
      </c>
      <c r="B12" s="207">
        <f>'A4-FinPerf RE'!C26</f>
        <v>16907839.760000002</v>
      </c>
      <c r="C12" s="207">
        <f>'A4-FinPerf RE'!D26</f>
        <v>20889362</v>
      </c>
      <c r="D12" s="558">
        <f>'A4-FinPerf RE'!E26</f>
        <v>22716784</v>
      </c>
      <c r="E12" s="211">
        <f>'A4-FinPerf RE'!F26</f>
        <v>23785390</v>
      </c>
      <c r="F12" s="207">
        <f>'A4-FinPerf RE'!G26</f>
        <v>23869882</v>
      </c>
      <c r="G12" s="559">
        <f>'A4-FinPerf RE'!H26</f>
        <v>23869882</v>
      </c>
      <c r="H12" s="210">
        <f>'A4-FinPerf RE'!I26</f>
        <v>23869882</v>
      </c>
      <c r="I12" s="211">
        <f>'A4-FinPerf RE'!J26</f>
        <v>26919289</v>
      </c>
      <c r="J12" s="207">
        <f>'A4-FinPerf RE'!K26</f>
        <v>28669045</v>
      </c>
      <c r="K12" s="559">
        <f>'A4-FinPerf RE'!L26</f>
        <v>30532534</v>
      </c>
    </row>
    <row r="13" spans="1:12" ht="11.25" customHeight="1">
      <c r="A13" s="900" t="s">
        <v>1499</v>
      </c>
      <c r="B13" s="207">
        <f>'A4-FinPerf RE'!C28</f>
        <v>109873900</v>
      </c>
      <c r="C13" s="207">
        <f>'A4-FinPerf RE'!D28</f>
        <v>403378129</v>
      </c>
      <c r="D13" s="558">
        <f>'A4-FinPerf RE'!E28</f>
        <v>403760550</v>
      </c>
      <c r="E13" s="211">
        <f>'A4-FinPerf RE'!F28</f>
        <v>124317839</v>
      </c>
      <c r="F13" s="207">
        <f>'A4-FinPerf RE'!G28</f>
        <v>124620031</v>
      </c>
      <c r="G13" s="559">
        <f>'A4-FinPerf RE'!H28</f>
        <v>124620031</v>
      </c>
      <c r="H13" s="210">
        <f>'A4-FinPerf RE'!I28</f>
        <v>124620031</v>
      </c>
      <c r="I13" s="211">
        <f>'A4-FinPerf RE'!J28</f>
        <v>286184715</v>
      </c>
      <c r="J13" s="207">
        <f>'A4-FinPerf RE'!K28</f>
        <v>303458347</v>
      </c>
      <c r="K13" s="559">
        <f>'A4-FinPerf RE'!L28</f>
        <v>320986411</v>
      </c>
    </row>
    <row r="14" spans="1:12" ht="11.25" customHeight="1">
      <c r="A14" s="900" t="s">
        <v>1561</v>
      </c>
      <c r="B14" s="207">
        <f>'A4-FinPerf RE'!C29</f>
        <v>44949815</v>
      </c>
      <c r="C14" s="207">
        <f>'A4-FinPerf RE'!D29</f>
        <v>46928079</v>
      </c>
      <c r="D14" s="558">
        <f>'A4-FinPerf RE'!E29</f>
        <v>45015020</v>
      </c>
      <c r="E14" s="211">
        <f>'A4-FinPerf RE'!F29</f>
        <v>38923014</v>
      </c>
      <c r="F14" s="207">
        <f>'A4-FinPerf RE'!G29</f>
        <v>38923014</v>
      </c>
      <c r="G14" s="559">
        <f>'A4-FinPerf RE'!H29</f>
        <v>38923014</v>
      </c>
      <c r="H14" s="210">
        <f>'A4-FinPerf RE'!I29</f>
        <v>38923014</v>
      </c>
      <c r="I14" s="211">
        <f>'A4-FinPerf RE'!J29</f>
        <v>53232011</v>
      </c>
      <c r="J14" s="207">
        <f>'A4-FinPerf RE'!K29</f>
        <v>50154483</v>
      </c>
      <c r="K14" s="559">
        <f>'A4-FinPerf RE'!L29</f>
        <v>86244450</v>
      </c>
    </row>
    <row r="15" spans="1:12" ht="11.25" customHeight="1">
      <c r="A15" s="900" t="s">
        <v>501</v>
      </c>
      <c r="B15" s="207">
        <f>'A4-FinPerf RE'!C30+'A4-FinPerf RE'!C31</f>
        <v>802644308</v>
      </c>
      <c r="C15" s="207">
        <f>'A4-FinPerf RE'!D30+'A4-FinPerf RE'!D31</f>
        <v>914071859</v>
      </c>
      <c r="D15" s="558">
        <f>'A4-FinPerf RE'!E30+'A4-FinPerf RE'!E31</f>
        <v>800041628</v>
      </c>
      <c r="E15" s="211">
        <f>'A4-FinPerf RE'!F30+'A4-FinPerf RE'!F31</f>
        <v>1587140184</v>
      </c>
      <c r="F15" s="207">
        <f>'A4-FinPerf RE'!G30+'A4-FinPerf RE'!G31</f>
        <v>1448868860</v>
      </c>
      <c r="G15" s="559">
        <f>'A4-FinPerf RE'!H30+'A4-FinPerf RE'!H31</f>
        <v>1448868860</v>
      </c>
      <c r="H15" s="210">
        <f>'A4-FinPerf RE'!I30+'A4-FinPerf RE'!I31</f>
        <v>1448868860</v>
      </c>
      <c r="I15" s="211">
        <f>'A4-FinPerf RE'!J30+'A4-FinPerf RE'!J31</f>
        <v>1152025660</v>
      </c>
      <c r="J15" s="207">
        <f>'A4-FinPerf RE'!K30+'A4-FinPerf RE'!K31</f>
        <v>1243577879</v>
      </c>
      <c r="K15" s="559">
        <f>'A4-FinPerf RE'!L30+'A4-FinPerf RE'!L31</f>
        <v>1344372677</v>
      </c>
    </row>
    <row r="16" spans="1:12" ht="11.25" customHeight="1">
      <c r="A16" s="1530" t="s">
        <v>789</v>
      </c>
      <c r="B16" s="207">
        <f>'A4-FinPerf RE'!C33</f>
        <v>0</v>
      </c>
      <c r="C16" s="207">
        <f>'A4-FinPerf RE'!D33</f>
        <v>0</v>
      </c>
      <c r="D16" s="558">
        <f>'A4-FinPerf RE'!E33</f>
        <v>0</v>
      </c>
      <c r="E16" s="211">
        <f>'A4-FinPerf RE'!F33</f>
        <v>289388</v>
      </c>
      <c r="F16" s="207">
        <f>'A4-FinPerf RE'!G33</f>
        <v>289388</v>
      </c>
      <c r="G16" s="559">
        <f>'A4-FinPerf RE'!H33</f>
        <v>289388</v>
      </c>
      <c r="H16" s="210">
        <f>'A4-FinPerf RE'!I33</f>
        <v>289388</v>
      </c>
      <c r="I16" s="211">
        <f>'A4-FinPerf RE'!J33</f>
        <v>476400</v>
      </c>
      <c r="J16" s="207">
        <f>'A4-FinPerf RE'!K33</f>
        <v>485000</v>
      </c>
      <c r="K16" s="559">
        <f>'A4-FinPerf RE'!L33</f>
        <v>487800</v>
      </c>
    </row>
    <row r="17" spans="1:12" ht="11.25" customHeight="1">
      <c r="A17" s="900" t="s">
        <v>958</v>
      </c>
      <c r="B17" s="207">
        <f>'A4-FinPerf RE'!C27+'A4-FinPerf RE'!C32+'A4-FinPerf RE'!C34+'A4-FinPerf RE'!C35</f>
        <v>634446754.85000002</v>
      </c>
      <c r="C17" s="207">
        <f>'A4-FinPerf RE'!D27+'A4-FinPerf RE'!D32+'A4-FinPerf RE'!D34+'A4-FinPerf RE'!D35</f>
        <v>523018865</v>
      </c>
      <c r="D17" s="558">
        <f>'A4-FinPerf RE'!E27+'A4-FinPerf RE'!E32+'A4-FinPerf RE'!E34+'A4-FinPerf RE'!E35</f>
        <v>577603860</v>
      </c>
      <c r="E17" s="211">
        <f>'A4-FinPerf RE'!F27+'A4-FinPerf RE'!F32+'A4-FinPerf RE'!F34+'A4-FinPerf RE'!F35</f>
        <v>530280709</v>
      </c>
      <c r="F17" s="207">
        <f>'A4-FinPerf RE'!G27+'A4-FinPerf RE'!G32+'A4-FinPerf RE'!G34+'A4-FinPerf RE'!G35</f>
        <v>668479453</v>
      </c>
      <c r="G17" s="559">
        <f>'A4-FinPerf RE'!H27+'A4-FinPerf RE'!H32+'A4-FinPerf RE'!H34+'A4-FinPerf RE'!H35</f>
        <v>668479453</v>
      </c>
      <c r="H17" s="210">
        <f>'A4-FinPerf RE'!I27+'A4-FinPerf RE'!I32+'A4-FinPerf RE'!I34+'A4-FinPerf RE'!I35</f>
        <v>668479453</v>
      </c>
      <c r="I17" s="211">
        <f>'A4-FinPerf RE'!J27+'A4-FinPerf RE'!J32+'A4-FinPerf RE'!J34+'A4-FinPerf RE'!J35</f>
        <v>729209919</v>
      </c>
      <c r="J17" s="207">
        <f>'A4-FinPerf RE'!K27+'A4-FinPerf RE'!K32+'A4-FinPerf RE'!K34+'A4-FinPerf RE'!K35</f>
        <v>673691383</v>
      </c>
      <c r="K17" s="559">
        <f>'A4-FinPerf RE'!L27+'A4-FinPerf RE'!L32+'A4-FinPerf RE'!L34+'A4-FinPerf RE'!L35</f>
        <v>665800718</v>
      </c>
    </row>
    <row r="18" spans="1:12" ht="11.25" customHeight="1">
      <c r="A18" s="901" t="str">
        <f>'A4-FinPerf RE'!A36</f>
        <v>Total Expenditure</v>
      </c>
      <c r="B18" s="1320">
        <f>SUM(B11:B17)</f>
        <v>1785502017.5</v>
      </c>
      <c r="C18" s="1321">
        <f t="shared" ref="C18:K18" si="1">SUM(C11:C17)</f>
        <v>2230933761</v>
      </c>
      <c r="D18" s="1322">
        <f t="shared" si="1"/>
        <v>2199070370</v>
      </c>
      <c r="E18" s="1320">
        <f t="shared" si="1"/>
        <v>2707791030.244</v>
      </c>
      <c r="F18" s="1321">
        <f t="shared" si="1"/>
        <v>2717214127</v>
      </c>
      <c r="G18" s="1323">
        <f t="shared" si="1"/>
        <v>2717214127</v>
      </c>
      <c r="H18" s="1324">
        <f t="shared" si="1"/>
        <v>2717214127</v>
      </c>
      <c r="I18" s="1320">
        <f t="shared" si="1"/>
        <v>2710794199</v>
      </c>
      <c r="J18" s="1321">
        <f t="shared" si="1"/>
        <v>2798548647</v>
      </c>
      <c r="K18" s="1323">
        <f t="shared" si="1"/>
        <v>2980640678</v>
      </c>
    </row>
    <row r="19" spans="1:12" ht="11.25" customHeight="1">
      <c r="A19" s="901" t="str">
        <f>'A4-FinPerf RE'!A38</f>
        <v>Surplus/(Deficit)</v>
      </c>
      <c r="B19" s="1316">
        <f t="shared" ref="B19:K19" si="2">B10-B18</f>
        <v>183504768.0400002</v>
      </c>
      <c r="C19" s="365">
        <f t="shared" si="2"/>
        <v>-12575328</v>
      </c>
      <c r="D19" s="1317">
        <f t="shared" si="2"/>
        <v>-23959423</v>
      </c>
      <c r="E19" s="1316">
        <f t="shared" si="2"/>
        <v>101275786.75600004</v>
      </c>
      <c r="F19" s="365">
        <f t="shared" si="2"/>
        <v>38188326</v>
      </c>
      <c r="G19" s="1318">
        <f t="shared" si="2"/>
        <v>38188326</v>
      </c>
      <c r="H19" s="1319">
        <f t="shared" si="2"/>
        <v>38188326</v>
      </c>
      <c r="I19" s="1316">
        <f t="shared" si="2"/>
        <v>18481336</v>
      </c>
      <c r="J19" s="365">
        <f t="shared" si="2"/>
        <v>35673305</v>
      </c>
      <c r="K19" s="1318">
        <f t="shared" si="2"/>
        <v>91466659</v>
      </c>
    </row>
    <row r="20" spans="1:12" ht="11.25" customHeight="1">
      <c r="A20" s="900" t="str">
        <f>'A4-FinPerf RE'!A39</f>
        <v>Transfers recognised - capital</v>
      </c>
      <c r="B20" s="211">
        <f>'A4-FinPerf RE'!C39</f>
        <v>0</v>
      </c>
      <c r="C20" s="207">
        <f>'A4-FinPerf RE'!D39</f>
        <v>0</v>
      </c>
      <c r="D20" s="558">
        <f>'A4-FinPerf RE'!E39</f>
        <v>0</v>
      </c>
      <c r="E20" s="211">
        <f>'A4-FinPerf RE'!F39</f>
        <v>0</v>
      </c>
      <c r="F20" s="207">
        <f>'A4-FinPerf RE'!G39</f>
        <v>0</v>
      </c>
      <c r="G20" s="559">
        <f>'A4-FinPerf RE'!H39</f>
        <v>0</v>
      </c>
      <c r="H20" s="210">
        <f>'A4-FinPerf RE'!I39</f>
        <v>0</v>
      </c>
      <c r="I20" s="211">
        <f>'A4-FinPerf RE'!J39</f>
        <v>0</v>
      </c>
      <c r="J20" s="207">
        <f>'A4-FinPerf RE'!K39</f>
        <v>0</v>
      </c>
      <c r="K20" s="559">
        <f>'A4-FinPerf RE'!L39</f>
        <v>0</v>
      </c>
      <c r="L20" s="370"/>
    </row>
    <row r="21" spans="1:12" ht="11.25" customHeight="1">
      <c r="A21" s="900" t="s">
        <v>36</v>
      </c>
      <c r="B21" s="1325">
        <f>'A4-FinPerf RE'!C40+'A4-FinPerf RE'!C41</f>
        <v>-183504768.03999999</v>
      </c>
      <c r="C21" s="1326">
        <f>'A4-FinPerf RE'!D40+'A4-FinPerf RE'!D41</f>
        <v>12575328</v>
      </c>
      <c r="D21" s="1327">
        <f>'A4-FinPerf RE'!E40+'A4-FinPerf RE'!E41</f>
        <v>23959423</v>
      </c>
      <c r="E21" s="1325">
        <f>'A4-FinPerf RE'!F40+'A4-FinPerf RE'!F41</f>
        <v>-101275786.756</v>
      </c>
      <c r="F21" s="1326">
        <f>'A4-FinPerf RE'!G40+'A4-FinPerf RE'!G41</f>
        <v>-38188326</v>
      </c>
      <c r="G21" s="1328">
        <f>'A4-FinPerf RE'!H40+'A4-FinPerf RE'!H41</f>
        <v>-38188326</v>
      </c>
      <c r="H21" s="1329">
        <f>'A4-FinPerf RE'!I40+'A4-FinPerf RE'!I41</f>
        <v>-38188326</v>
      </c>
      <c r="I21" s="1325">
        <f>'A4-FinPerf RE'!J40+'A4-FinPerf RE'!J41</f>
        <v>-18481336</v>
      </c>
      <c r="J21" s="1326">
        <f>'A4-FinPerf RE'!K40+'A4-FinPerf RE'!K41</f>
        <v>-35673305</v>
      </c>
      <c r="K21" s="1328">
        <f>'A4-FinPerf RE'!L40+'A4-FinPerf RE'!L41</f>
        <v>-91466659</v>
      </c>
      <c r="L21" s="370"/>
    </row>
    <row r="22" spans="1:12">
      <c r="A22" s="1162" t="str">
        <f>'A4-FinPerf RE'!A42</f>
        <v>Surplus/(Deficit) after capital transfers &amp; contributions</v>
      </c>
      <c r="B22" s="1361">
        <f>B19+SUM(B20:B21)</f>
        <v>0</v>
      </c>
      <c r="C22" s="1362">
        <f t="shared" ref="C22:K22" si="3">C19+SUM(C20:C21)</f>
        <v>0</v>
      </c>
      <c r="D22" s="1363">
        <f t="shared" si="3"/>
        <v>0</v>
      </c>
      <c r="E22" s="1361">
        <f t="shared" si="3"/>
        <v>0</v>
      </c>
      <c r="F22" s="1362">
        <f t="shared" si="3"/>
        <v>0</v>
      </c>
      <c r="G22" s="1364">
        <f t="shared" si="3"/>
        <v>0</v>
      </c>
      <c r="H22" s="1365">
        <f t="shared" si="3"/>
        <v>0</v>
      </c>
      <c r="I22" s="1361">
        <f t="shared" si="3"/>
        <v>0</v>
      </c>
      <c r="J22" s="1362">
        <f t="shared" si="3"/>
        <v>0</v>
      </c>
      <c r="K22" s="1364">
        <f t="shared" si="3"/>
        <v>0</v>
      </c>
      <c r="L22" s="370"/>
    </row>
    <row r="23" spans="1:12">
      <c r="A23" s="1163" t="str">
        <f>'A4-FinPerf RE'!A47</f>
        <v>Share of surplus/ (deficit) of associate</v>
      </c>
      <c r="B23" s="207">
        <f>'A4-FinPerf RE'!C47</f>
        <v>0</v>
      </c>
      <c r="C23" s="207">
        <f>'A4-FinPerf RE'!D47</f>
        <v>0</v>
      </c>
      <c r="D23" s="558">
        <f>'A4-FinPerf RE'!E47</f>
        <v>0</v>
      </c>
      <c r="E23" s="211">
        <f>'A4-FinPerf RE'!F47</f>
        <v>0</v>
      </c>
      <c r="F23" s="207">
        <f>'A4-FinPerf RE'!G47</f>
        <v>0</v>
      </c>
      <c r="G23" s="559">
        <f>'A4-FinPerf RE'!H47</f>
        <v>0</v>
      </c>
      <c r="H23" s="210">
        <f>'A4-FinPerf RE'!I47</f>
        <v>0</v>
      </c>
      <c r="I23" s="211">
        <f>'A4-FinPerf RE'!J47</f>
        <v>0</v>
      </c>
      <c r="J23" s="207">
        <f>'A4-FinPerf RE'!K47</f>
        <v>0</v>
      </c>
      <c r="K23" s="559">
        <f>'A4-FinPerf RE'!L47</f>
        <v>0</v>
      </c>
    </row>
    <row r="24" spans="1:12">
      <c r="A24" s="1162" t="str">
        <f>'A4-FinPerf RE'!A48</f>
        <v>Surplus/(Deficit) for the year</v>
      </c>
      <c r="B24" s="1316">
        <f>B22+B23</f>
        <v>0</v>
      </c>
      <c r="C24" s="365">
        <f t="shared" ref="C24:K24" si="4">C22+C23</f>
        <v>0</v>
      </c>
      <c r="D24" s="1317">
        <f t="shared" si="4"/>
        <v>0</v>
      </c>
      <c r="E24" s="1316">
        <f t="shared" si="4"/>
        <v>0</v>
      </c>
      <c r="F24" s="365">
        <f t="shared" si="4"/>
        <v>0</v>
      </c>
      <c r="G24" s="1318">
        <f t="shared" si="4"/>
        <v>0</v>
      </c>
      <c r="H24" s="1319">
        <f t="shared" si="4"/>
        <v>0</v>
      </c>
      <c r="I24" s="1316">
        <f t="shared" si="4"/>
        <v>0</v>
      </c>
      <c r="J24" s="365">
        <f t="shared" si="4"/>
        <v>0</v>
      </c>
      <c r="K24" s="1318">
        <f t="shared" si="4"/>
        <v>0</v>
      </c>
    </row>
    <row r="25" spans="1:12" ht="5" customHeight="1">
      <c r="A25" s="1164"/>
      <c r="B25" s="158"/>
      <c r="C25" s="159"/>
      <c r="D25" s="160"/>
      <c r="E25" s="158"/>
      <c r="F25" s="159"/>
      <c r="G25" s="160"/>
      <c r="H25" s="161"/>
      <c r="I25" s="158"/>
      <c r="J25" s="159"/>
      <c r="K25" s="160"/>
    </row>
    <row r="26" spans="1:12" ht="11.25" customHeight="1">
      <c r="A26" s="897" t="s">
        <v>1070</v>
      </c>
      <c r="B26" s="165"/>
      <c r="C26" s="166"/>
      <c r="D26" s="167"/>
      <c r="E26" s="165"/>
      <c r="F26" s="166"/>
      <c r="G26" s="167"/>
      <c r="H26" s="168"/>
      <c r="I26" s="165"/>
      <c r="J26" s="166"/>
      <c r="K26" s="167"/>
    </row>
    <row r="27" spans="1:12" ht="11.25" customHeight="1">
      <c r="A27" s="901" t="s">
        <v>1512</v>
      </c>
      <c r="B27" s="1131">
        <f>'A5-Capex'!C63</f>
        <v>241991401</v>
      </c>
      <c r="C27" s="207">
        <f>'A5-Capex'!D63</f>
        <v>209010658</v>
      </c>
      <c r="D27" s="558">
        <f>'A5-Capex'!E63</f>
        <v>307647902</v>
      </c>
      <c r="E27" s="211">
        <f>'A5-Capex'!F63</f>
        <v>914672984</v>
      </c>
      <c r="F27" s="207">
        <f>'A5-Capex'!G63</f>
        <v>975648814</v>
      </c>
      <c r="G27" s="559">
        <f>'A5-Capex'!H63</f>
        <v>975648814</v>
      </c>
      <c r="H27" s="210">
        <f>'A5-Capex'!I63</f>
        <v>975648814</v>
      </c>
      <c r="I27" s="211">
        <f>'A5-Capex'!J63</f>
        <v>1313659361</v>
      </c>
      <c r="J27" s="207">
        <f>'A5-Capex'!K63</f>
        <v>1810422448</v>
      </c>
      <c r="K27" s="559">
        <f>'A5-Capex'!L63</f>
        <v>1041880000</v>
      </c>
    </row>
    <row r="28" spans="1:12" ht="11.25" customHeight="1">
      <c r="A28" s="1531" t="s">
        <v>1348</v>
      </c>
      <c r="B28" s="1131">
        <f>'A5-Capex'!C70</f>
        <v>150663574</v>
      </c>
      <c r="C28" s="207">
        <f>'A5-Capex'!D70</f>
        <v>131061017</v>
      </c>
      <c r="D28" s="558">
        <f>'A5-Capex'!E70</f>
        <v>207708026</v>
      </c>
      <c r="E28" s="211">
        <f>'A5-Capex'!F70</f>
        <v>521264947</v>
      </c>
      <c r="F28" s="207">
        <f>'A5-Capex'!G70</f>
        <v>625759559</v>
      </c>
      <c r="G28" s="559">
        <f>'A5-Capex'!H70</f>
        <v>625759559</v>
      </c>
      <c r="H28" s="210">
        <f>'A5-Capex'!I70</f>
        <v>625759559</v>
      </c>
      <c r="I28" s="211">
        <f>'A5-Capex'!J70</f>
        <v>694260500</v>
      </c>
      <c r="J28" s="207">
        <f>'A5-Capex'!K70</f>
        <v>812077500</v>
      </c>
      <c r="K28" s="559">
        <f>'A5-Capex'!L70</f>
        <v>880008000</v>
      </c>
    </row>
    <row r="29" spans="1:12" ht="11.25" customHeight="1">
      <c r="A29" s="900" t="str">
        <f>'A5-Capex'!A71</f>
        <v>Public contributions &amp; donations</v>
      </c>
      <c r="B29" s="1131">
        <f>'A5-Capex'!C71</f>
        <v>6355092</v>
      </c>
      <c r="C29" s="207">
        <f>'A5-Capex'!D71</f>
        <v>8878383</v>
      </c>
      <c r="D29" s="558">
        <f>'A5-Capex'!E71</f>
        <v>0</v>
      </c>
      <c r="E29" s="211">
        <f>'A5-Capex'!F71</f>
        <v>0</v>
      </c>
      <c r="F29" s="207">
        <f>'A5-Capex'!G71</f>
        <v>0</v>
      </c>
      <c r="G29" s="559">
        <f>'A5-Capex'!H71</f>
        <v>0</v>
      </c>
      <c r="H29" s="210">
        <f>'A5-Capex'!I71</f>
        <v>0</v>
      </c>
      <c r="I29" s="211">
        <f>'A5-Capex'!J71</f>
        <v>30000000</v>
      </c>
      <c r="J29" s="207">
        <f>'A5-Capex'!K71</f>
        <v>307500000</v>
      </c>
      <c r="K29" s="559">
        <f>'A5-Capex'!L71</f>
        <v>0</v>
      </c>
    </row>
    <row r="30" spans="1:12" ht="11.25" customHeight="1">
      <c r="A30" s="900" t="str">
        <f>'A5-Capex'!A72</f>
        <v>Borrowing</v>
      </c>
      <c r="B30" s="1131">
        <f>'A5-Capex'!C72</f>
        <v>0</v>
      </c>
      <c r="C30" s="207">
        <f>'A5-Capex'!D72</f>
        <v>0</v>
      </c>
      <c r="D30" s="558">
        <f>'A5-Capex'!E72</f>
        <v>0</v>
      </c>
      <c r="E30" s="211">
        <f>'A5-Capex'!F72</f>
        <v>0</v>
      </c>
      <c r="F30" s="207">
        <f>'A5-Capex'!G72</f>
        <v>0</v>
      </c>
      <c r="G30" s="559">
        <f>'A5-Capex'!H72</f>
        <v>0</v>
      </c>
      <c r="H30" s="210">
        <f>'A5-Capex'!I72</f>
        <v>0</v>
      </c>
      <c r="I30" s="211">
        <f>'A5-Capex'!J72</f>
        <v>349325000</v>
      </c>
      <c r="J30" s="207">
        <f>'A5-Capex'!K72</f>
        <v>462500000</v>
      </c>
      <c r="K30" s="559">
        <f>'A5-Capex'!L72</f>
        <v>27500000</v>
      </c>
    </row>
    <row r="31" spans="1:12" ht="11.25" customHeight="1">
      <c r="A31" s="900" t="str">
        <f>'A5-Capex'!A73</f>
        <v>Internally generated funds</v>
      </c>
      <c r="B31" s="1131">
        <f>'A5-Capex'!C73</f>
        <v>84972733</v>
      </c>
      <c r="C31" s="207">
        <f>'A5-Capex'!D73</f>
        <v>69071435</v>
      </c>
      <c r="D31" s="558">
        <f>'A5-Capex'!E73</f>
        <v>99939893</v>
      </c>
      <c r="E31" s="211">
        <f>'A5-Capex'!F73</f>
        <v>393408037</v>
      </c>
      <c r="F31" s="207">
        <f>'A5-Capex'!G73</f>
        <v>349889295</v>
      </c>
      <c r="G31" s="559">
        <f>'A5-Capex'!H73</f>
        <v>349889295</v>
      </c>
      <c r="H31" s="210">
        <f>'A5-Capex'!I73</f>
        <v>349889295</v>
      </c>
      <c r="I31" s="211">
        <f>'A5-Capex'!J73</f>
        <v>240073681</v>
      </c>
      <c r="J31" s="207">
        <f>'A5-Capex'!K73</f>
        <v>228344148</v>
      </c>
      <c r="K31" s="559">
        <f>'A5-Capex'!L73</f>
        <v>134372000</v>
      </c>
    </row>
    <row r="32" spans="1:12" s="246" customFormat="1" ht="11.25" customHeight="1">
      <c r="A32" s="901" t="s">
        <v>395</v>
      </c>
      <c r="B32" s="1131">
        <f t="shared" ref="B32:K32" si="5">SUM(B28:B31)</f>
        <v>241991399</v>
      </c>
      <c r="C32" s="207">
        <f t="shared" si="5"/>
        <v>209010835</v>
      </c>
      <c r="D32" s="558">
        <f t="shared" si="5"/>
        <v>307647919</v>
      </c>
      <c r="E32" s="211">
        <f t="shared" si="5"/>
        <v>914672984</v>
      </c>
      <c r="F32" s="207">
        <f t="shared" si="5"/>
        <v>975648854</v>
      </c>
      <c r="G32" s="559">
        <f t="shared" si="5"/>
        <v>975648854</v>
      </c>
      <c r="H32" s="210">
        <f t="shared" si="5"/>
        <v>975648854</v>
      </c>
      <c r="I32" s="211">
        <f t="shared" si="5"/>
        <v>1313659181</v>
      </c>
      <c r="J32" s="207">
        <f t="shared" si="5"/>
        <v>1810421648</v>
      </c>
      <c r="K32" s="559">
        <f t="shared" si="5"/>
        <v>1041880000</v>
      </c>
    </row>
    <row r="33" spans="1:15" ht="5" customHeight="1">
      <c r="A33" s="901"/>
      <c r="B33" s="169"/>
      <c r="C33" s="170"/>
      <c r="D33" s="171"/>
      <c r="E33" s="169"/>
      <c r="F33" s="170"/>
      <c r="G33" s="171"/>
      <c r="H33" s="172"/>
      <c r="I33" s="169"/>
      <c r="J33" s="170"/>
      <c r="K33" s="171"/>
      <c r="O33" s="246"/>
    </row>
    <row r="34" spans="1:15" ht="11.25" customHeight="1">
      <c r="A34" s="897" t="s">
        <v>203</v>
      </c>
      <c r="B34" s="165"/>
      <c r="C34" s="166"/>
      <c r="D34" s="167"/>
      <c r="E34" s="165"/>
      <c r="F34" s="166"/>
      <c r="G34" s="167"/>
      <c r="H34" s="168"/>
      <c r="I34" s="165"/>
      <c r="J34" s="166"/>
      <c r="K34" s="167"/>
      <c r="O34" s="246"/>
    </row>
    <row r="35" spans="1:15" ht="11.25" customHeight="1">
      <c r="A35" s="900" t="str">
        <f>'A6-FinPos'!A12</f>
        <v>Total current assets</v>
      </c>
      <c r="B35" s="1131">
        <f>'A6-FinPos'!C12</f>
        <v>838418287</v>
      </c>
      <c r="C35" s="207">
        <f>'A6-FinPos'!D12</f>
        <v>826268331.6500001</v>
      </c>
      <c r="D35" s="558">
        <f>'A6-FinPos'!E12</f>
        <v>1351777864.783628</v>
      </c>
      <c r="E35" s="211">
        <f>'A6-FinPos'!F12</f>
        <v>1470241088.1599998</v>
      </c>
      <c r="F35" s="207">
        <f>'A6-FinPos'!G12</f>
        <v>1131586211.1599998</v>
      </c>
      <c r="G35" s="559">
        <f>'A6-FinPos'!H12</f>
        <v>1493176115.0319541</v>
      </c>
      <c r="H35" s="210">
        <f>'A6-FinPos'!I12</f>
        <v>1493176115.0319541</v>
      </c>
      <c r="I35" s="211">
        <f>'A6-FinPos'!J12</f>
        <v>1355622484.3019543</v>
      </c>
      <c r="J35" s="207">
        <f>'A6-FinPos'!K12</f>
        <v>1175713712.2544546</v>
      </c>
      <c r="K35" s="559">
        <f>'A6-FinPos'!L12</f>
        <v>1407104104.6965792</v>
      </c>
      <c r="O35" s="246"/>
    </row>
    <row r="36" spans="1:15" ht="11.25" customHeight="1">
      <c r="A36" s="900" t="str">
        <f>'A6-FinPos'!A24</f>
        <v>Total non current assets</v>
      </c>
      <c r="B36" s="1131">
        <f>'A6-FinPos'!C24</f>
        <v>1210951627</v>
      </c>
      <c r="C36" s="207">
        <f>'A6-FinPos'!D24</f>
        <v>6161259499</v>
      </c>
      <c r="D36" s="558">
        <f>'A6-FinPos'!E24</f>
        <v>6075512462</v>
      </c>
      <c r="E36" s="211">
        <f>'A6-FinPos'!F24</f>
        <v>1371001413.95</v>
      </c>
      <c r="F36" s="207">
        <f>'A6-FinPos'!G24</f>
        <v>6499822734.9500008</v>
      </c>
      <c r="G36" s="559">
        <f>'A6-FinPos'!H24</f>
        <v>6138232831.0700016</v>
      </c>
      <c r="H36" s="210">
        <f>'A6-FinPos'!I24</f>
        <v>6138232831.0699997</v>
      </c>
      <c r="I36" s="211">
        <f>'A6-FinPos'!J24</f>
        <v>7674758267.8199997</v>
      </c>
      <c r="J36" s="207">
        <f>'A6-FinPos'!K24</f>
        <v>8569039273.3600006</v>
      </c>
      <c r="K36" s="559">
        <f>'A6-FinPos'!L24</f>
        <v>9105792297.2999992</v>
      </c>
      <c r="O36" s="246"/>
    </row>
    <row r="37" spans="1:15" ht="11.25" customHeight="1">
      <c r="A37" s="900" t="str">
        <f>'A6-FinPos'!A34</f>
        <v>Total current liabilities</v>
      </c>
      <c r="B37" s="1131">
        <f>'A6-FinPos'!C34</f>
        <v>417790903</v>
      </c>
      <c r="C37" s="207">
        <f>'A6-FinPos'!D34</f>
        <v>427143257</v>
      </c>
      <c r="D37" s="558">
        <f>'A6-FinPos'!E34</f>
        <v>718670893</v>
      </c>
      <c r="E37" s="211">
        <f>'A6-FinPos'!F34</f>
        <v>468844820.90999997</v>
      </c>
      <c r="F37" s="207">
        <f>'A6-FinPos'!G34</f>
        <v>251834584.91</v>
      </c>
      <c r="G37" s="559">
        <f>'A6-FinPos'!H34</f>
        <v>251834584.91</v>
      </c>
      <c r="H37" s="210">
        <f>'A6-FinPos'!I34</f>
        <v>251834584.91</v>
      </c>
      <c r="I37" s="211">
        <f>'A6-FinPos'!J34</f>
        <v>309558458.9799999</v>
      </c>
      <c r="J37" s="207">
        <f>'A6-FinPos'!K34</f>
        <v>524660338.35800022</v>
      </c>
      <c r="K37" s="559">
        <f>'A6-FinPos'!L34</f>
        <v>518196484.70000005</v>
      </c>
      <c r="O37" s="246"/>
    </row>
    <row r="38" spans="1:15" ht="11.25" customHeight="1">
      <c r="A38" s="900" t="str">
        <f>'A6-FinPos'!A39</f>
        <v>Total non current liabilities</v>
      </c>
      <c r="B38" s="1131">
        <f>'A6-FinPos'!C39</f>
        <v>207937209</v>
      </c>
      <c r="C38" s="207">
        <f>'A6-FinPos'!D39</f>
        <v>247774890</v>
      </c>
      <c r="D38" s="558">
        <f>'A6-FinPos'!E39</f>
        <v>244671744</v>
      </c>
      <c r="E38" s="211">
        <f>'A6-FinPos'!F39</f>
        <v>211943624.82999998</v>
      </c>
      <c r="F38" s="207">
        <f>'A6-FinPos'!G39</f>
        <v>207943624.82999998</v>
      </c>
      <c r="G38" s="559">
        <f>'A6-FinPos'!H39</f>
        <v>207943624.82999998</v>
      </c>
      <c r="H38" s="210">
        <f>'A6-FinPos'!I39</f>
        <v>207943624.82999998</v>
      </c>
      <c r="I38" s="211">
        <f>'A6-FinPos'!J39</f>
        <v>784952173.71500003</v>
      </c>
      <c r="J38" s="207">
        <f>'A6-FinPos'!K39</f>
        <v>795773619.68787503</v>
      </c>
      <c r="K38" s="559">
        <f>'A6-FinPos'!L39</f>
        <v>807261272.15358686</v>
      </c>
      <c r="O38" s="246"/>
    </row>
    <row r="39" spans="1:15" ht="11.25" customHeight="1">
      <c r="A39" s="900" t="s">
        <v>37</v>
      </c>
      <c r="B39" s="1131">
        <f>'A6-FinPos'!C48</f>
        <v>1423641801.9999998</v>
      </c>
      <c r="C39" s="207">
        <f>'A6-FinPos'!D48</f>
        <v>6312609683.6500006</v>
      </c>
      <c r="D39" s="558">
        <f>'A6-FinPos'!E48</f>
        <v>6463947689.7799997</v>
      </c>
      <c r="E39" s="211">
        <f>'A6-FinPos'!F48</f>
        <v>2160454056.3719997</v>
      </c>
      <c r="F39" s="207">
        <f>'A6-FinPos'!G48</f>
        <v>7171630736.3659992</v>
      </c>
      <c r="G39" s="559">
        <f>'A6-FinPos'!H48</f>
        <v>7171630736.3659992</v>
      </c>
      <c r="H39" s="210">
        <f>'A6-FinPos'!I48</f>
        <v>7171630736.3659992</v>
      </c>
      <c r="I39" s="211">
        <f>'A6-FinPos'!J48</f>
        <v>7935870119.4297028</v>
      </c>
      <c r="J39" s="207">
        <f>'A6-FinPos'!K48</f>
        <v>8424319027.5715885</v>
      </c>
      <c r="K39" s="559">
        <f>'A6-FinPos'!L48</f>
        <v>9187438645.1425686</v>
      </c>
      <c r="O39" s="246"/>
    </row>
    <row r="40" spans="1:15" ht="5" customHeight="1">
      <c r="A40" s="1164"/>
      <c r="B40" s="158"/>
      <c r="C40" s="159"/>
      <c r="D40" s="160"/>
      <c r="E40" s="158"/>
      <c r="F40" s="159"/>
      <c r="G40" s="160"/>
      <c r="H40" s="161"/>
      <c r="I40" s="158"/>
      <c r="J40" s="159"/>
      <c r="K40" s="160"/>
      <c r="O40" s="246"/>
    </row>
    <row r="41" spans="1:15" ht="11.25" customHeight="1">
      <c r="A41" s="897" t="s">
        <v>204</v>
      </c>
      <c r="B41" s="165"/>
      <c r="C41" s="166"/>
      <c r="D41" s="167"/>
      <c r="E41" s="165"/>
      <c r="F41" s="166"/>
      <c r="G41" s="167"/>
      <c r="H41" s="168"/>
      <c r="I41" s="165"/>
      <c r="J41" s="166"/>
      <c r="K41" s="167"/>
      <c r="O41" s="246"/>
    </row>
    <row r="42" spans="1:15" ht="11.25" customHeight="1">
      <c r="A42" s="900" t="s">
        <v>986</v>
      </c>
      <c r="B42" s="1131">
        <f>'A7-CFlow'!C15</f>
        <v>174379709</v>
      </c>
      <c r="C42" s="207">
        <f>'A7-CFlow'!D15</f>
        <v>328421993</v>
      </c>
      <c r="D42" s="558">
        <f>'A7-CFlow'!E15</f>
        <v>520650067</v>
      </c>
      <c r="E42" s="211">
        <f>'A7-CFlow'!F15</f>
        <v>673103358</v>
      </c>
      <c r="F42" s="207">
        <f>'A7-CFlow'!G15</f>
        <v>504029658</v>
      </c>
      <c r="G42" s="559">
        <f>'A7-CFlow'!H15</f>
        <v>504029658</v>
      </c>
      <c r="H42" s="210">
        <f>'A7-CFlow'!I15</f>
        <v>504029658</v>
      </c>
      <c r="I42" s="211">
        <f>'A7-CFlow'!J15</f>
        <v>768192492.38000011</v>
      </c>
      <c r="J42" s="207">
        <f>'A7-CFlow'!K15</f>
        <v>970405295.4000001</v>
      </c>
      <c r="K42" s="559">
        <f>'A7-CFlow'!L15</f>
        <v>1114150321</v>
      </c>
    </row>
    <row r="43" spans="1:15" ht="11.25" customHeight="1">
      <c r="A43" s="900" t="s">
        <v>987</v>
      </c>
      <c r="B43" s="1131">
        <f>'A7-CFlow'!C25</f>
        <v>-219197393</v>
      </c>
      <c r="C43" s="207">
        <f>'A7-CFlow'!D25</f>
        <v>-199963804</v>
      </c>
      <c r="D43" s="558">
        <f>'A7-CFlow'!E25</f>
        <v>-286336489</v>
      </c>
      <c r="E43" s="211">
        <f>'A7-CFlow'!F25</f>
        <v>-763716775</v>
      </c>
      <c r="F43" s="207">
        <f>'A7-CFlow'!G25</f>
        <v>-584692645</v>
      </c>
      <c r="G43" s="559">
        <f>'A7-CFlow'!H25</f>
        <v>-284692645</v>
      </c>
      <c r="H43" s="210">
        <f>'A7-CFlow'!I25</f>
        <v>-284692645</v>
      </c>
      <c r="I43" s="211">
        <f>'A7-CFlow'!J25</f>
        <v>-1013587754</v>
      </c>
      <c r="J43" s="207">
        <f>'A7-CFlow'!K25</f>
        <v>-1610422448</v>
      </c>
      <c r="K43" s="559">
        <f>'A7-CFlow'!L25</f>
        <v>-941880000</v>
      </c>
    </row>
    <row r="44" spans="1:15" ht="11.25" customHeight="1">
      <c r="A44" s="900" t="s">
        <v>985</v>
      </c>
      <c r="B44" s="1131">
        <f>'A7-CFlow'!C34</f>
        <v>-2717525</v>
      </c>
      <c r="C44" s="207">
        <f>'A7-CFlow'!D34</f>
        <v>1351027</v>
      </c>
      <c r="D44" s="558">
        <f>'A7-CFlow'!E34</f>
        <v>-7636943</v>
      </c>
      <c r="E44" s="211">
        <f>'A7-CFlow'!F34</f>
        <v>2085966</v>
      </c>
      <c r="F44" s="207">
        <f>'A7-CFlow'!G34</f>
        <v>15981587</v>
      </c>
      <c r="G44" s="559">
        <f>'A7-CFlow'!H34</f>
        <v>15981587</v>
      </c>
      <c r="H44" s="210">
        <f>'A7-CFlow'!I34</f>
        <v>15981587</v>
      </c>
      <c r="I44" s="211">
        <f>'A7-CFlow'!J34</f>
        <v>306729680.19999999</v>
      </c>
      <c r="J44" s="207">
        <f>'A7-CFlow'!K34</f>
        <v>413784828.75999999</v>
      </c>
      <c r="K44" s="559">
        <f>'A7-CFlow'!L34</f>
        <v>-27498864.640000001</v>
      </c>
    </row>
    <row r="45" spans="1:15" ht="11.25" customHeight="1">
      <c r="A45" s="901" t="str">
        <f>LEFT('A7-CFlow'!A38,37)</f>
        <v>Cash/cash equivalents at the year end</v>
      </c>
      <c r="B45" s="1131">
        <f>'A7-CFlow'!C38</f>
        <v>488418177</v>
      </c>
      <c r="C45" s="207">
        <f>'A7-CFlow'!D38</f>
        <v>618227393</v>
      </c>
      <c r="D45" s="558">
        <f>'A7-CFlow'!E38</f>
        <v>844904028</v>
      </c>
      <c r="E45" s="211">
        <f>'A7-CFlow'!F38</f>
        <v>756376577</v>
      </c>
      <c r="F45" s="207">
        <f>'A7-CFlow'!G38</f>
        <v>816864746</v>
      </c>
      <c r="G45" s="559">
        <f>'A7-CFlow'!H38</f>
        <v>1116864746</v>
      </c>
      <c r="H45" s="210">
        <f>'A7-CFlow'!I38</f>
        <v>1116864746</v>
      </c>
      <c r="I45" s="211">
        <f>'A7-CFlow'!J38</f>
        <v>1043631203.5800002</v>
      </c>
      <c r="J45" s="207">
        <f>'A7-CFlow'!K38</f>
        <v>817398879.74000025</v>
      </c>
      <c r="K45" s="559">
        <f>'A7-CFlow'!L38</f>
        <v>962170336.10000026</v>
      </c>
    </row>
    <row r="46" spans="1:15" ht="5" customHeight="1">
      <c r="A46" s="1164"/>
      <c r="B46" s="158"/>
      <c r="C46" s="159"/>
      <c r="D46" s="160"/>
      <c r="E46" s="158"/>
      <c r="F46" s="159"/>
      <c r="G46" s="160"/>
      <c r="H46" s="161"/>
      <c r="I46" s="158"/>
      <c r="J46" s="159"/>
      <c r="K46" s="160"/>
    </row>
    <row r="47" spans="1:15" ht="11.25" customHeight="1">
      <c r="A47" s="897" t="s">
        <v>289</v>
      </c>
      <c r="B47" s="165"/>
      <c r="C47" s="166"/>
      <c r="D47" s="167"/>
      <c r="E47" s="165"/>
      <c r="F47" s="166"/>
      <c r="G47" s="167"/>
      <c r="H47" s="168"/>
      <c r="I47" s="165"/>
      <c r="J47" s="166"/>
      <c r="K47" s="167"/>
    </row>
    <row r="48" spans="1:15" ht="11.25" customHeight="1">
      <c r="A48" s="900" t="str">
        <f>'A8-ResRecon'!A4</f>
        <v>Cash and investments available</v>
      </c>
      <c r="B48" s="1131">
        <f>'A8-ResRecon'!C8</f>
        <v>560565783</v>
      </c>
      <c r="C48" s="207">
        <f>'A8-ResRecon'!D8</f>
        <v>695032243</v>
      </c>
      <c r="D48" s="558">
        <f>'A8-ResRecon'!E8</f>
        <v>882010038</v>
      </c>
      <c r="E48" s="211">
        <f>'A8-ResRecon'!F8</f>
        <v>1190439471</v>
      </c>
      <c r="F48" s="207">
        <f>'A8-ResRecon'!G8</f>
        <v>817560139</v>
      </c>
      <c r="G48" s="559">
        <f>'A8-ResRecon'!H8</f>
        <v>1117560139</v>
      </c>
      <c r="H48" s="210">
        <f>'A8-ResRecon'!I8</f>
        <v>1117560139</v>
      </c>
      <c r="I48" s="211">
        <f>'A8-ResRecon'!J8</f>
        <v>1044095094.5800002</v>
      </c>
      <c r="J48" s="207">
        <f>'A8-ResRecon'!K8</f>
        <v>817862770.74000025</v>
      </c>
      <c r="K48" s="559">
        <f>'A8-ResRecon'!L8</f>
        <v>962634227.10000026</v>
      </c>
    </row>
    <row r="49" spans="1:12" ht="11.25" customHeight="1">
      <c r="A49" s="900" t="str">
        <f>'A8-ResRecon'!A10</f>
        <v>Application of cash and investments</v>
      </c>
      <c r="B49" s="1131">
        <f>'A8-ResRecon'!C18</f>
        <v>665972101</v>
      </c>
      <c r="C49" s="207">
        <f>'A8-ResRecon'!D18</f>
        <v>731024849</v>
      </c>
      <c r="D49" s="558">
        <f>'A8-ResRecon'!E18</f>
        <v>761240008</v>
      </c>
      <c r="E49" s="211">
        <f>'A8-ResRecon'!F18</f>
        <v>696842087.55999994</v>
      </c>
      <c r="F49" s="207">
        <f>'A8-ResRecon'!G18</f>
        <v>511372851.56</v>
      </c>
      <c r="G49" s="559">
        <f>'A8-ResRecon'!H18</f>
        <v>458183851.56</v>
      </c>
      <c r="H49" s="210">
        <f>'A8-ResRecon'!I18</f>
        <v>458183851.56</v>
      </c>
      <c r="I49" s="211">
        <f>'A8-ResRecon'!J18</f>
        <v>583172283.07499993</v>
      </c>
      <c r="J49" s="207">
        <f>'A8-ResRecon'!K18</f>
        <v>776004494.09707522</v>
      </c>
      <c r="K49" s="559">
        <f>'A8-ResRecon'!L18</f>
        <v>707563230.05495894</v>
      </c>
    </row>
    <row r="50" spans="1:12" ht="11.25" customHeight="1">
      <c r="A50" s="901" t="s">
        <v>1087</v>
      </c>
      <c r="B50" s="1131">
        <f>B48-B49</f>
        <v>-105406318</v>
      </c>
      <c r="C50" s="207">
        <f t="shared" ref="C50:K50" si="6">C48-C49</f>
        <v>-35992606</v>
      </c>
      <c r="D50" s="558">
        <f t="shared" si="6"/>
        <v>120770030</v>
      </c>
      <c r="E50" s="211">
        <f t="shared" si="6"/>
        <v>493597383.44000006</v>
      </c>
      <c r="F50" s="207">
        <f t="shared" si="6"/>
        <v>306187287.44</v>
      </c>
      <c r="G50" s="559">
        <f t="shared" si="6"/>
        <v>659376287.44000006</v>
      </c>
      <c r="H50" s="210">
        <f t="shared" si="6"/>
        <v>659376287.44000006</v>
      </c>
      <c r="I50" s="211">
        <f t="shared" si="6"/>
        <v>460922811.50500023</v>
      </c>
      <c r="J50" s="207">
        <f t="shared" si="6"/>
        <v>41858276.642925024</v>
      </c>
      <c r="K50" s="559">
        <f t="shared" si="6"/>
        <v>255070997.04504132</v>
      </c>
    </row>
    <row r="51" spans="1:12" ht="5" customHeight="1">
      <c r="A51" s="926"/>
      <c r="B51" s="174"/>
      <c r="C51" s="175"/>
      <c r="D51" s="176"/>
      <c r="E51" s="174"/>
      <c r="F51" s="175"/>
      <c r="G51" s="176"/>
      <c r="H51" s="177"/>
      <c r="I51" s="174"/>
      <c r="J51" s="175"/>
      <c r="K51" s="176"/>
    </row>
    <row r="52" spans="1:12" ht="11.25" customHeight="1">
      <c r="A52" s="1165" t="s">
        <v>1244</v>
      </c>
      <c r="B52" s="158"/>
      <c r="C52" s="159"/>
      <c r="D52" s="160"/>
      <c r="E52" s="158"/>
      <c r="F52" s="159"/>
      <c r="G52" s="160"/>
      <c r="H52" s="161"/>
      <c r="I52" s="158"/>
      <c r="J52" s="159"/>
      <c r="K52" s="160"/>
      <c r="L52" s="370"/>
    </row>
    <row r="53" spans="1:12" ht="11.25" customHeight="1">
      <c r="A53" s="1166" t="s">
        <v>961</v>
      </c>
      <c r="B53" s="1131">
        <f>'A9-Asset'!C65</f>
        <v>373334705</v>
      </c>
      <c r="C53" s="207">
        <f>'A9-Asset'!D65</f>
        <v>728750679</v>
      </c>
      <c r="D53" s="558">
        <f>'A9-Asset'!E65</f>
        <v>897812323</v>
      </c>
      <c r="E53" s="211">
        <f>'A9-Asset'!F65</f>
        <v>900967613</v>
      </c>
      <c r="F53" s="207">
        <f>'A9-Asset'!G65</f>
        <v>6498697735.9499998</v>
      </c>
      <c r="G53" s="559">
        <f>'A9-Asset'!H65</f>
        <v>6137107832.0699997</v>
      </c>
      <c r="H53" s="210">
        <f>'A9-Asset'!I65</f>
        <v>7671457152.8234997</v>
      </c>
      <c r="I53" s="211">
        <f>'A9-Asset'!I65</f>
        <v>7671457152.8234997</v>
      </c>
      <c r="J53" s="207">
        <f>'A9-Asset'!J65</f>
        <v>8565838158.3596802</v>
      </c>
      <c r="K53" s="559">
        <f>'A9-Asset'!K65</f>
        <v>9102691182.2971706</v>
      </c>
      <c r="L53" s="370"/>
    </row>
    <row r="54" spans="1:12" ht="11.25" customHeight="1">
      <c r="A54" s="1166" t="str">
        <f>'A9-Asset'!A68</f>
        <v>Depreciation &amp; asset impairment</v>
      </c>
      <c r="B54" s="1131">
        <f>'A9-Asset'!C68</f>
        <v>109873900</v>
      </c>
      <c r="C54" s="207">
        <f>'A9-Asset'!D68</f>
        <v>403378129</v>
      </c>
      <c r="D54" s="558">
        <f>'A9-Asset'!E68</f>
        <v>403760550</v>
      </c>
      <c r="E54" s="211">
        <f>'A9-Asset'!F68</f>
        <v>124317839</v>
      </c>
      <c r="F54" s="207">
        <f>'A9-Asset'!G68</f>
        <v>124620031</v>
      </c>
      <c r="G54" s="559">
        <f>'A9-Asset'!H68</f>
        <v>124620031</v>
      </c>
      <c r="H54" s="210">
        <f>'A9-Asset'!I68</f>
        <v>286184715</v>
      </c>
      <c r="I54" s="211">
        <f>'A9-Asset'!I68</f>
        <v>286184715</v>
      </c>
      <c r="J54" s="207">
        <f>'A9-Asset'!J68</f>
        <v>303458347</v>
      </c>
      <c r="K54" s="559">
        <f>'A9-Asset'!K68</f>
        <v>320986411</v>
      </c>
      <c r="L54" s="370"/>
    </row>
    <row r="55" spans="1:12" ht="11.25" customHeight="1">
      <c r="A55" s="1166" t="s">
        <v>445</v>
      </c>
      <c r="B55" s="1131">
        <f>'A9-Asset'!C20</f>
        <v>121557846.05999999</v>
      </c>
      <c r="C55" s="207">
        <f>'A9-Asset'!D20</f>
        <v>307080776.5</v>
      </c>
      <c r="D55" s="558">
        <f>'A9-Asset'!E20</f>
        <v>1550000</v>
      </c>
      <c r="E55" s="211">
        <f>'A9-Asset'!F20</f>
        <v>430578471</v>
      </c>
      <c r="F55" s="207">
        <f>'A9-Asset'!G20</f>
        <v>475732960</v>
      </c>
      <c r="G55" s="559">
        <f>'A9-Asset'!H20</f>
        <v>475732960</v>
      </c>
      <c r="H55" s="210">
        <f>'A9-Asset'!H20</f>
        <v>475732960</v>
      </c>
      <c r="I55" s="211">
        <f>'A9-Asset'!I20</f>
        <v>1127285761</v>
      </c>
      <c r="J55" s="207">
        <f>'A9-Asset'!J20</f>
        <v>955908648</v>
      </c>
      <c r="K55" s="559">
        <f>'A9-Asset'!K20</f>
        <v>966694000</v>
      </c>
      <c r="L55" s="370"/>
    </row>
    <row r="56" spans="1:12" ht="11.25" customHeight="1">
      <c r="A56" s="1166" t="s">
        <v>446</v>
      </c>
      <c r="B56" s="1131">
        <f>'A9-Asset'!C69</f>
        <v>28425994.159999996</v>
      </c>
      <c r="C56" s="207">
        <f>'A9-Asset'!D69</f>
        <v>28870529.430000003</v>
      </c>
      <c r="D56" s="558">
        <f>'A9-Asset'!E69</f>
        <v>0</v>
      </c>
      <c r="E56" s="211">
        <f>'A9-Asset'!F69</f>
        <v>135250904</v>
      </c>
      <c r="F56" s="207">
        <f>'A9-Asset'!G69</f>
        <v>67398090</v>
      </c>
      <c r="G56" s="559">
        <f>'A9-Asset'!H69</f>
        <v>67398090</v>
      </c>
      <c r="H56" s="210">
        <f>'A9-Asset'!I69</f>
        <v>155289226</v>
      </c>
      <c r="I56" s="211">
        <f>'A9-Asset'!I69</f>
        <v>155289226</v>
      </c>
      <c r="J56" s="207">
        <f>'A9-Asset'!J69</f>
        <v>163199041</v>
      </c>
      <c r="K56" s="559">
        <f>'A9-Asset'!K69</f>
        <v>173275893</v>
      </c>
      <c r="L56" s="370"/>
    </row>
    <row r="57" spans="1:12" ht="5" customHeight="1">
      <c r="A57" s="1167"/>
      <c r="B57" s="917"/>
      <c r="C57" s="915"/>
      <c r="D57" s="916"/>
      <c r="E57" s="917"/>
      <c r="F57" s="915"/>
      <c r="G57" s="916"/>
      <c r="H57" s="918"/>
      <c r="I57" s="917"/>
      <c r="J57" s="915"/>
      <c r="K57" s="916"/>
      <c r="L57" s="370"/>
    </row>
    <row r="58" spans="1:12" ht="11.25" customHeight="1">
      <c r="A58" s="1165" t="s">
        <v>811</v>
      </c>
      <c r="B58" s="158"/>
      <c r="C58" s="159"/>
      <c r="D58" s="160"/>
      <c r="E58" s="158"/>
      <c r="F58" s="159"/>
      <c r="G58" s="160"/>
      <c r="H58" s="161"/>
      <c r="I58" s="162"/>
      <c r="J58" s="163"/>
      <c r="K58" s="164"/>
      <c r="L58" s="370"/>
    </row>
    <row r="59" spans="1:12" ht="11.25" customHeight="1">
      <c r="A59" s="1530" t="s">
        <v>813</v>
      </c>
      <c r="B59" s="1131">
        <f>'A10-SerDel'!C59</f>
        <v>4460019.88</v>
      </c>
      <c r="C59" s="207">
        <f>'A10-SerDel'!D59</f>
        <v>6342637.4000000004</v>
      </c>
      <c r="D59" s="558">
        <f>'A10-SerDel'!E59</f>
        <v>6853091.5599999996</v>
      </c>
      <c r="E59" s="211">
        <f>'A10-SerDel'!F59</f>
        <v>8941380.5</v>
      </c>
      <c r="F59" s="207">
        <f>'A10-SerDel'!G59</f>
        <v>8941380.5</v>
      </c>
      <c r="G59" s="559">
        <f>'A10-SerDel'!H59</f>
        <v>8941380.5</v>
      </c>
      <c r="H59" s="210">
        <f>'A10-SerDel'!I59</f>
        <v>7141893</v>
      </c>
      <c r="I59" s="211">
        <f>'A10-SerDel'!I59</f>
        <v>7141893</v>
      </c>
      <c r="J59" s="207">
        <f>'A10-SerDel'!J59</f>
        <v>7615219</v>
      </c>
      <c r="K59" s="559">
        <f>'A10-SerDel'!K59</f>
        <v>8116867</v>
      </c>
      <c r="L59" s="370"/>
    </row>
    <row r="60" spans="1:12" ht="11.25" customHeight="1">
      <c r="A60" s="1530" t="s">
        <v>498</v>
      </c>
      <c r="B60" s="1131">
        <f>'A10-SerDel'!C78</f>
        <v>4460019.88</v>
      </c>
      <c r="C60" s="207">
        <f>'A10-SerDel'!D78</f>
        <v>6342637.4000000004</v>
      </c>
      <c r="D60" s="558">
        <f>'A10-SerDel'!E78</f>
        <v>6853091.5599999996</v>
      </c>
      <c r="E60" s="211">
        <f>'A10-SerDel'!F78</f>
        <v>27274044.499999996</v>
      </c>
      <c r="F60" s="207">
        <f>'A10-SerDel'!G78</f>
        <v>27274044.499999996</v>
      </c>
      <c r="G60" s="559">
        <f>'A10-SerDel'!H78</f>
        <v>27274044.499999996</v>
      </c>
      <c r="H60" s="210">
        <f>'A10-SerDel'!I78</f>
        <v>26350608</v>
      </c>
      <c r="I60" s="211">
        <f>'A10-SerDel'!I78</f>
        <v>26350608</v>
      </c>
      <c r="J60" s="207">
        <f>'A10-SerDel'!J78</f>
        <v>27784369</v>
      </c>
      <c r="K60" s="559">
        <f>'A10-SerDel'!K78</f>
        <v>29294475</v>
      </c>
      <c r="L60" s="370"/>
    </row>
    <row r="61" spans="1:12" ht="11.25" customHeight="1">
      <c r="A61" s="1532" t="s">
        <v>812</v>
      </c>
      <c r="B61" s="162"/>
      <c r="C61" s="163"/>
      <c r="D61" s="164"/>
      <c r="E61" s="162"/>
      <c r="F61" s="163"/>
      <c r="G61" s="164"/>
      <c r="H61" s="611"/>
      <c r="I61" s="162"/>
      <c r="J61" s="163"/>
      <c r="K61" s="164"/>
      <c r="L61" s="370"/>
    </row>
    <row r="62" spans="1:12" ht="11.25" customHeight="1">
      <c r="A62" s="1348" t="str">
        <f>'A10-SerDel'!A5</f>
        <v>Water:</v>
      </c>
      <c r="B62" s="258">
        <f>'A10-SerDel'!C14</f>
        <v>2751</v>
      </c>
      <c r="C62" s="256">
        <f>'A10-SerDel'!D14</f>
        <v>2888.55</v>
      </c>
      <c r="D62" s="262">
        <f>'A10-SerDel'!E14</f>
        <v>3032.9775</v>
      </c>
      <c r="E62" s="258">
        <f>'A10-SerDel'!F14</f>
        <v>3511.0505784374996</v>
      </c>
      <c r="F62" s="256">
        <f>'A10-SerDel'!G14</f>
        <v>3511.0505784374996</v>
      </c>
      <c r="G62" s="262">
        <f>'A10-SerDel'!H14</f>
        <v>3511.0505784374996</v>
      </c>
      <c r="H62" s="261">
        <f>'A10-SerDel'!I14</f>
        <v>3686</v>
      </c>
      <c r="I62" s="258">
        <f>'A10-SerDel'!I14</f>
        <v>3686</v>
      </c>
      <c r="J62" s="256">
        <f>'A10-SerDel'!J14</f>
        <v>3870</v>
      </c>
      <c r="K62" s="262">
        <f>'A10-SerDel'!K14</f>
        <v>4064</v>
      </c>
      <c r="L62" s="370"/>
    </row>
    <row r="63" spans="1:12" ht="11.25" customHeight="1">
      <c r="A63" s="1348" t="str">
        <f>'A10-SerDel'!A16</f>
        <v>Sanitation/sewerage:</v>
      </c>
      <c r="B63" s="258">
        <f>'A10-SerDel'!C26</f>
        <v>3958</v>
      </c>
      <c r="C63" s="256">
        <f>'A10-SerDel'!D26</f>
        <v>4155.8999999999996</v>
      </c>
      <c r="D63" s="262">
        <f>'A10-SerDel'!E26</f>
        <v>4363.6949999999997</v>
      </c>
      <c r="E63" s="258">
        <f>'A10-SerDel'!F26</f>
        <v>5051.5224243750008</v>
      </c>
      <c r="F63" s="256">
        <f>'A10-SerDel'!G26</f>
        <v>5051.5224243750008</v>
      </c>
      <c r="G63" s="262">
        <f>'A10-SerDel'!H26</f>
        <v>5051.5224243750008</v>
      </c>
      <c r="H63" s="261">
        <f>'A10-SerDel'!I26</f>
        <v>5303</v>
      </c>
      <c r="I63" s="258">
        <f>'A10-SerDel'!I26</f>
        <v>5303</v>
      </c>
      <c r="J63" s="256">
        <f>'A10-SerDel'!J26</f>
        <v>5568</v>
      </c>
      <c r="K63" s="262">
        <f>'A10-SerDel'!K26</f>
        <v>5847</v>
      </c>
      <c r="L63" s="370"/>
    </row>
    <row r="64" spans="1:12" ht="11.25" customHeight="1">
      <c r="A64" s="1348" t="str">
        <f>'A10-SerDel'!A28</f>
        <v>Energy:</v>
      </c>
      <c r="B64" s="258">
        <f>'A10-SerDel'!C35</f>
        <v>0</v>
      </c>
      <c r="C64" s="256">
        <f>'A10-SerDel'!D35</f>
        <v>0</v>
      </c>
      <c r="D64" s="262">
        <f>'A10-SerDel'!E35</f>
        <v>0</v>
      </c>
      <c r="E64" s="258">
        <f>'A10-SerDel'!F35</f>
        <v>0</v>
      </c>
      <c r="F64" s="256">
        <f>'A10-SerDel'!G35</f>
        <v>0</v>
      </c>
      <c r="G64" s="262">
        <f>'A10-SerDel'!H35</f>
        <v>0</v>
      </c>
      <c r="H64" s="261">
        <f>'A10-SerDel'!I35</f>
        <v>0</v>
      </c>
      <c r="I64" s="258">
        <f>'A10-SerDel'!I35</f>
        <v>0</v>
      </c>
      <c r="J64" s="256">
        <f>'A10-SerDel'!J35</f>
        <v>0</v>
      </c>
      <c r="K64" s="262">
        <f>'A10-SerDel'!K35</f>
        <v>0</v>
      </c>
      <c r="L64" s="370"/>
    </row>
    <row r="65" spans="1:12" ht="11.25" customHeight="1">
      <c r="A65" s="1348" t="str">
        <f>'A10-SerDel'!A37</f>
        <v>Refuse:</v>
      </c>
      <c r="B65" s="258">
        <f>'A10-SerDel'!C45</f>
        <v>51000</v>
      </c>
      <c r="C65" s="256">
        <f>'A10-SerDel'!D45</f>
        <v>53550</v>
      </c>
      <c r="D65" s="262">
        <f>'A10-SerDel'!E45</f>
        <v>20500</v>
      </c>
      <c r="E65" s="258">
        <f>'A10-SerDel'!F45</f>
        <v>23180.0625</v>
      </c>
      <c r="F65" s="256">
        <f>'A10-SerDel'!G45</f>
        <v>23180.0625</v>
      </c>
      <c r="G65" s="262">
        <f>'A10-SerDel'!H45</f>
        <v>23180.0625</v>
      </c>
      <c r="H65" s="261">
        <f>'A10-SerDel'!I45</f>
        <v>46206</v>
      </c>
      <c r="I65" s="258">
        <f>'A10-SerDel'!I45</f>
        <v>46206</v>
      </c>
      <c r="J65" s="256">
        <f>'A10-SerDel'!J45</f>
        <v>48516</v>
      </c>
      <c r="K65" s="262">
        <f>'A10-SerDel'!K45</f>
        <v>50941</v>
      </c>
      <c r="L65" s="370"/>
    </row>
    <row r="66" spans="1:12" ht="5" customHeight="1">
      <c r="A66" s="1167"/>
      <c r="B66" s="917"/>
      <c r="C66" s="915"/>
      <c r="D66" s="916"/>
      <c r="E66" s="917"/>
      <c r="F66" s="915"/>
      <c r="G66" s="916"/>
      <c r="H66" s="918"/>
      <c r="I66" s="917"/>
      <c r="J66" s="915"/>
      <c r="K66" s="916"/>
      <c r="L66" s="370"/>
    </row>
    <row r="67" spans="1:12" ht="4.5" customHeight="1">
      <c r="A67" s="246"/>
      <c r="B67" s="161"/>
      <c r="C67" s="161"/>
      <c r="D67" s="161"/>
      <c r="E67" s="161"/>
      <c r="F67" s="161"/>
      <c r="G67" s="161"/>
      <c r="H67" s="161"/>
      <c r="I67" s="161"/>
      <c r="J67" s="161"/>
      <c r="K67" s="161"/>
    </row>
    <row r="68" spans="1:12">
      <c r="A68" s="178"/>
      <c r="B68" s="178"/>
      <c r="C68" s="178"/>
      <c r="D68" s="178"/>
      <c r="E68" s="178"/>
      <c r="F68" s="178"/>
      <c r="G68" s="178"/>
      <c r="H68" s="178"/>
      <c r="I68" s="178"/>
      <c r="J68" s="178"/>
      <c r="K68" s="178"/>
    </row>
  </sheetData>
  <sheetProtection password="C646" sheet="1" objects="1" scenarios="1"/>
  <mergeCells count="3">
    <mergeCell ref="I2:K2"/>
    <mergeCell ref="E2:H2"/>
    <mergeCell ref="A1:C1"/>
  </mergeCells>
  <phoneticPr fontId="5" type="noConversion"/>
  <printOptions horizontalCentered="1"/>
  <pageMargins left="0.35" right="0.2"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R92"/>
  <sheetViews>
    <sheetView showGridLines="0" tabSelected="1" workbookViewId="0">
      <pane xSplit="2" ySplit="3" topLeftCell="C36" activePane="bottomRight" state="frozen"/>
      <selection pane="topRight"/>
      <selection pane="bottomLeft"/>
      <selection pane="bottomRight" activeCell="A54" sqref="A54:K54"/>
    </sheetView>
  </sheetViews>
  <sheetFormatPr baseColWidth="10" defaultColWidth="8.83203125" defaultRowHeight="10" x14ac:dyDescent="0"/>
  <cols>
    <col min="1" max="1" width="30.6640625" style="149" customWidth="1"/>
    <col min="2" max="2" width="3" style="247" customWidth="1"/>
    <col min="3" max="11" width="9.33203125" style="149" customWidth="1"/>
    <col min="12" max="41" width="9.5" style="149" customWidth="1"/>
    <col min="42" max="16384" width="8.83203125" style="149"/>
  </cols>
  <sheetData>
    <row r="1" spans="1:18" ht="12">
      <c r="A1" s="147" t="str">
        <f>muni&amp;" - "&amp;Approve3</f>
        <v>NW373 Rustenburg - Table A2 Consolidated Budgeted Financial Performance (revenue and expenditure by standard classification)</v>
      </c>
      <c r="B1" s="248"/>
      <c r="C1" s="248"/>
      <c r="D1" s="248"/>
      <c r="E1" s="248"/>
      <c r="F1" s="248"/>
      <c r="G1" s="248"/>
      <c r="H1" s="248"/>
      <c r="I1" s="248"/>
      <c r="J1" s="248"/>
      <c r="K1" s="248"/>
    </row>
    <row r="2" spans="1:18" ht="28.5" customHeight="1">
      <c r="A2" s="975" t="str">
        <f>"Standard Classification "&amp;desc</f>
        <v>Standard Classification Description</v>
      </c>
      <c r="B2" s="419" t="str">
        <f>head27</f>
        <v>Ref</v>
      </c>
      <c r="C2" s="150"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8" ht="20">
      <c r="A3" s="180" t="s">
        <v>667</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c r="A4" s="249" t="s">
        <v>431</v>
      </c>
      <c r="B4" s="182"/>
      <c r="C4" s="184"/>
      <c r="D4" s="184"/>
      <c r="E4" s="185"/>
      <c r="F4" s="186"/>
      <c r="G4" s="184"/>
      <c r="H4" s="183"/>
      <c r="I4" s="187"/>
      <c r="J4" s="184"/>
      <c r="K4" s="185"/>
      <c r="L4" s="370"/>
    </row>
    <row r="5" spans="1:18" ht="11.25" customHeight="1">
      <c r="A5" s="1271" t="s">
        <v>1131</v>
      </c>
      <c r="B5" s="1188"/>
      <c r="C5" s="1131">
        <f>SUM(C6:C8)</f>
        <v>463355165</v>
      </c>
      <c r="D5" s="1131">
        <f t="shared" ref="D5:K5" si="0">SUM(D6:D8)</f>
        <v>507486822</v>
      </c>
      <c r="E5" s="1411">
        <f t="shared" si="0"/>
        <v>373795579</v>
      </c>
      <c r="F5" s="1135">
        <f t="shared" si="0"/>
        <v>389352811</v>
      </c>
      <c r="G5" s="1131">
        <f t="shared" si="0"/>
        <v>390612769</v>
      </c>
      <c r="H5" s="1412">
        <f t="shared" si="0"/>
        <v>390612769</v>
      </c>
      <c r="I5" s="1413">
        <f t="shared" si="0"/>
        <v>441738856</v>
      </c>
      <c r="J5" s="1131">
        <f t="shared" si="0"/>
        <v>420096073</v>
      </c>
      <c r="K5" s="1412">
        <f t="shared" si="0"/>
        <v>422411770</v>
      </c>
      <c r="L5" s="370"/>
      <c r="Q5" s="252"/>
      <c r="R5" s="253"/>
    </row>
    <row r="6" spans="1:18" ht="11.25" customHeight="1">
      <c r="A6" s="1272" t="s">
        <v>142</v>
      </c>
      <c r="B6" s="1188"/>
      <c r="C6" s="1064">
        <f>A2A!C6</f>
        <v>455232644</v>
      </c>
      <c r="D6" s="1064">
        <f>A2A!D6</f>
        <v>494298972</v>
      </c>
      <c r="E6" s="1065">
        <f>A2A!E6</f>
        <v>363095618</v>
      </c>
      <c r="F6" s="1066">
        <f>A2A!F6</f>
        <v>193561874</v>
      </c>
      <c r="G6" s="1064">
        <f>A2A!G6</f>
        <v>192904324</v>
      </c>
      <c r="H6" s="1067">
        <f>A2A!H6</f>
        <v>192904324</v>
      </c>
      <c r="I6" s="1068">
        <f>A2A!I6</f>
        <v>223456901</v>
      </c>
      <c r="J6" s="1064">
        <f>A2A!J6</f>
        <v>195346846</v>
      </c>
      <c r="K6" s="1065">
        <f>A2A!K6</f>
        <v>184064981</v>
      </c>
      <c r="L6" s="370"/>
      <c r="Q6" s="252"/>
      <c r="R6" s="253"/>
    </row>
    <row r="7" spans="1:18" ht="11.25" customHeight="1">
      <c r="A7" s="1272" t="s">
        <v>143</v>
      </c>
      <c r="B7" s="1188"/>
      <c r="C7" s="1466">
        <f>A2A!C9</f>
        <v>5584224</v>
      </c>
      <c r="D7" s="1466">
        <f>A2A!D9</f>
        <v>8309971</v>
      </c>
      <c r="E7" s="1467">
        <f>A2A!E9</f>
        <v>8572012</v>
      </c>
      <c r="F7" s="1468">
        <f>A2A!F9</f>
        <v>192533735</v>
      </c>
      <c r="G7" s="1466">
        <f>A2A!G9</f>
        <v>193755784</v>
      </c>
      <c r="H7" s="1469">
        <f>A2A!H9</f>
        <v>193755784</v>
      </c>
      <c r="I7" s="1470">
        <f>A2A!I9</f>
        <v>214142399</v>
      </c>
      <c r="J7" s="1466">
        <f>A2A!J9</f>
        <v>220404193</v>
      </c>
      <c r="K7" s="1467">
        <f>A2A!K9</f>
        <v>233836437</v>
      </c>
      <c r="L7" s="370"/>
      <c r="Q7" s="252"/>
      <c r="R7" s="253"/>
    </row>
    <row r="8" spans="1:18" ht="11.25" customHeight="1">
      <c r="A8" s="1272" t="s">
        <v>144</v>
      </c>
      <c r="B8" s="1188"/>
      <c r="C8" s="1064">
        <f>A2A!C10</f>
        <v>2538297</v>
      </c>
      <c r="D8" s="1064">
        <f>A2A!D10</f>
        <v>4877879</v>
      </c>
      <c r="E8" s="1065">
        <f>A2A!E10</f>
        <v>2127949</v>
      </c>
      <c r="F8" s="1066">
        <f>A2A!F10</f>
        <v>3257202</v>
      </c>
      <c r="G8" s="1064">
        <f>A2A!G10</f>
        <v>3952661</v>
      </c>
      <c r="H8" s="1067">
        <f>A2A!H10</f>
        <v>3952661</v>
      </c>
      <c r="I8" s="1068">
        <f>A2A!I10</f>
        <v>4139556</v>
      </c>
      <c r="J8" s="1064">
        <f>A2A!J10</f>
        <v>4345034</v>
      </c>
      <c r="K8" s="1065">
        <f>A2A!K10</f>
        <v>4510352</v>
      </c>
      <c r="L8" s="370"/>
      <c r="Q8" s="252"/>
      <c r="R8" s="253"/>
    </row>
    <row r="9" spans="1:18" ht="11.25" customHeight="1">
      <c r="A9" s="1271" t="s">
        <v>145</v>
      </c>
      <c r="B9" s="1188"/>
      <c r="C9" s="1131">
        <f>SUM(C10:C14)</f>
        <v>15164366</v>
      </c>
      <c r="D9" s="1131">
        <f t="shared" ref="D9:K9" si="1">SUM(D10:D14)</f>
        <v>11234355</v>
      </c>
      <c r="E9" s="1132">
        <f t="shared" si="1"/>
        <v>13828314</v>
      </c>
      <c r="F9" s="1133">
        <f t="shared" si="1"/>
        <v>18272795</v>
      </c>
      <c r="G9" s="1131">
        <f t="shared" si="1"/>
        <v>18223108</v>
      </c>
      <c r="H9" s="1134">
        <f t="shared" si="1"/>
        <v>18223108</v>
      </c>
      <c r="I9" s="1135">
        <f t="shared" si="1"/>
        <v>17589965</v>
      </c>
      <c r="J9" s="1131">
        <f t="shared" si="1"/>
        <v>18512355</v>
      </c>
      <c r="K9" s="1132">
        <f t="shared" si="1"/>
        <v>19325495</v>
      </c>
      <c r="L9" s="370"/>
      <c r="Q9" s="252"/>
      <c r="R9" s="253"/>
    </row>
    <row r="10" spans="1:18" ht="11.25" customHeight="1">
      <c r="A10" s="1272" t="s">
        <v>146</v>
      </c>
      <c r="B10" s="1188"/>
      <c r="C10" s="1064">
        <f>A2A!C16</f>
        <v>2204861</v>
      </c>
      <c r="D10" s="1064">
        <f>A2A!D16</f>
        <v>2399411</v>
      </c>
      <c r="E10" s="1065">
        <f>A2A!E16</f>
        <v>2884325</v>
      </c>
      <c r="F10" s="1066">
        <f>A2A!F16</f>
        <v>3648655</v>
      </c>
      <c r="G10" s="1064">
        <f>A2A!G16</f>
        <v>3123932</v>
      </c>
      <c r="H10" s="1067">
        <f>A2A!H16</f>
        <v>3123932</v>
      </c>
      <c r="I10" s="1068">
        <f>A2A!I16</f>
        <v>3812850</v>
      </c>
      <c r="J10" s="1064">
        <f>A2A!J16</f>
        <v>3983077</v>
      </c>
      <c r="K10" s="1065">
        <f>A2A!K16</f>
        <v>4031192</v>
      </c>
      <c r="L10" s="370"/>
      <c r="N10" s="370"/>
      <c r="Q10" s="252"/>
      <c r="R10" s="253"/>
    </row>
    <row r="11" spans="1:18" ht="11.25" customHeight="1">
      <c r="A11" s="1272" t="s">
        <v>147</v>
      </c>
      <c r="B11" s="1188"/>
      <c r="C11" s="1064">
        <f>A2A!C25</f>
        <v>332298</v>
      </c>
      <c r="D11" s="1064">
        <f>A2A!D25</f>
        <v>1186877</v>
      </c>
      <c r="E11" s="1065">
        <f>A2A!E25</f>
        <v>1266157</v>
      </c>
      <c r="F11" s="1066">
        <f>A2A!F25</f>
        <v>1300700</v>
      </c>
      <c r="G11" s="1064">
        <f>A2A!G25</f>
        <v>1217088</v>
      </c>
      <c r="H11" s="1067">
        <f>A2A!H25</f>
        <v>1217088</v>
      </c>
      <c r="I11" s="1068">
        <f>A2A!I25</f>
        <v>1322500</v>
      </c>
      <c r="J11" s="1064">
        <f>A2A!J25</f>
        <v>1346100</v>
      </c>
      <c r="K11" s="1065">
        <f>A2A!K25</f>
        <v>1369743</v>
      </c>
      <c r="L11" s="370"/>
      <c r="Q11" s="252"/>
      <c r="R11" s="253"/>
    </row>
    <row r="12" spans="1:18" ht="11.25" customHeight="1">
      <c r="A12" s="1272" t="s">
        <v>148</v>
      </c>
      <c r="B12" s="1188"/>
      <c r="C12" s="1064">
        <f>A2A!C26</f>
        <v>6446073</v>
      </c>
      <c r="D12" s="1064">
        <f>A2A!D26</f>
        <v>5308764</v>
      </c>
      <c r="E12" s="1065">
        <f>A2A!E26</f>
        <v>7213230</v>
      </c>
      <c r="F12" s="1066">
        <f>A2A!F26</f>
        <v>10460929</v>
      </c>
      <c r="G12" s="1064">
        <f>A2A!G26</f>
        <v>11019577</v>
      </c>
      <c r="H12" s="1067">
        <f>A2A!H26</f>
        <v>11019577</v>
      </c>
      <c r="I12" s="1068">
        <f>A2A!I26</f>
        <v>9464254</v>
      </c>
      <c r="J12" s="1064">
        <f>A2A!J26</f>
        <v>10042910</v>
      </c>
      <c r="K12" s="1065">
        <f>A2A!K26</f>
        <v>10608443</v>
      </c>
      <c r="L12" s="370"/>
      <c r="Q12" s="252"/>
      <c r="R12" s="253"/>
    </row>
    <row r="13" spans="1:18" ht="11.25" customHeight="1">
      <c r="A13" s="1272" t="s">
        <v>1718</v>
      </c>
      <c r="B13" s="1188"/>
      <c r="C13" s="1064">
        <f>A2A!C32</f>
        <v>6180014</v>
      </c>
      <c r="D13" s="1064">
        <f>A2A!D32</f>
        <v>2333406</v>
      </c>
      <c r="E13" s="1065">
        <f>A2A!E32</f>
        <v>2463482</v>
      </c>
      <c r="F13" s="1066">
        <f>A2A!F32</f>
        <v>2860811</v>
      </c>
      <c r="G13" s="1064">
        <f>A2A!G32</f>
        <v>2860811</v>
      </c>
      <c r="H13" s="1067">
        <f>A2A!H32</f>
        <v>2860811</v>
      </c>
      <c r="I13" s="1068">
        <f>A2A!I32</f>
        <v>2988574</v>
      </c>
      <c r="J13" s="1064">
        <f>A2A!J32</f>
        <v>3138392</v>
      </c>
      <c r="K13" s="1065">
        <f>A2A!K32</f>
        <v>3314142</v>
      </c>
      <c r="L13" s="370"/>
      <c r="Q13" s="252"/>
      <c r="R13" s="253"/>
    </row>
    <row r="14" spans="1:18" ht="11.25" customHeight="1">
      <c r="A14" s="1272" t="s">
        <v>1798</v>
      </c>
      <c r="B14" s="1188"/>
      <c r="C14" s="1466">
        <f>A2A!C33</f>
        <v>1120</v>
      </c>
      <c r="D14" s="1466">
        <f>A2A!D33</f>
        <v>5897</v>
      </c>
      <c r="E14" s="1467">
        <f>A2A!E33</f>
        <v>1120</v>
      </c>
      <c r="F14" s="1468">
        <f>A2A!F33</f>
        <v>1700</v>
      </c>
      <c r="G14" s="1466">
        <f>A2A!G33</f>
        <v>1700</v>
      </c>
      <c r="H14" s="1469">
        <f>A2A!H33</f>
        <v>1700</v>
      </c>
      <c r="I14" s="1470">
        <f>A2A!I33</f>
        <v>1787</v>
      </c>
      <c r="J14" s="1466">
        <f>A2A!J33</f>
        <v>1876</v>
      </c>
      <c r="K14" s="1467">
        <f>A2A!K33</f>
        <v>1975</v>
      </c>
      <c r="L14" s="370"/>
      <c r="Q14" s="252"/>
      <c r="R14" s="253"/>
    </row>
    <row r="15" spans="1:18" ht="11.25" customHeight="1">
      <c r="A15" s="1271" t="s">
        <v>149</v>
      </c>
      <c r="B15" s="1130"/>
      <c r="C15" s="1131">
        <f>SUM(C16:C18)</f>
        <v>154384081</v>
      </c>
      <c r="D15" s="1131">
        <f t="shared" ref="D15:K15" si="2">SUM(D16:D18)</f>
        <v>101633840</v>
      </c>
      <c r="E15" s="1132">
        <f t="shared" si="2"/>
        <v>58074045</v>
      </c>
      <c r="F15" s="1133">
        <f t="shared" si="2"/>
        <v>144323650</v>
      </c>
      <c r="G15" s="1131">
        <f t="shared" si="2"/>
        <v>115644261</v>
      </c>
      <c r="H15" s="1134">
        <f t="shared" si="2"/>
        <v>115644261</v>
      </c>
      <c r="I15" s="1135">
        <f t="shared" si="2"/>
        <v>168110184</v>
      </c>
      <c r="J15" s="1131">
        <f t="shared" si="2"/>
        <v>110896671</v>
      </c>
      <c r="K15" s="1132">
        <f t="shared" si="2"/>
        <v>63364299</v>
      </c>
      <c r="L15" s="370"/>
      <c r="Q15" s="252"/>
      <c r="R15" s="253"/>
    </row>
    <row r="16" spans="1:18" ht="11.25" customHeight="1">
      <c r="A16" s="1272" t="s">
        <v>150</v>
      </c>
      <c r="B16" s="1188"/>
      <c r="C16" s="1064">
        <f>A2A!C38</f>
        <v>29754088</v>
      </c>
      <c r="D16" s="1064">
        <f>A2A!D38</f>
        <v>28141024</v>
      </c>
      <c r="E16" s="1065">
        <f>A2A!E38</f>
        <v>40493415</v>
      </c>
      <c r="F16" s="1066">
        <f>A2A!F38</f>
        <v>128614483</v>
      </c>
      <c r="G16" s="1064">
        <f>A2A!G38</f>
        <v>85674637</v>
      </c>
      <c r="H16" s="1067">
        <f>A2A!H38</f>
        <v>85674637</v>
      </c>
      <c r="I16" s="1068">
        <f>A2A!I38</f>
        <v>109188341</v>
      </c>
      <c r="J16" s="1064">
        <f>A2A!J38</f>
        <v>60743477</v>
      </c>
      <c r="K16" s="1065">
        <f>A2A!K38</f>
        <v>11122487</v>
      </c>
      <c r="L16" s="370"/>
      <c r="Q16" s="252"/>
      <c r="R16" s="253"/>
    </row>
    <row r="17" spans="1:18" ht="11.25" customHeight="1">
      <c r="A17" s="1272" t="s">
        <v>151</v>
      </c>
      <c r="B17" s="1188"/>
      <c r="C17" s="1064">
        <f>A2A!C42</f>
        <v>123328071</v>
      </c>
      <c r="D17" s="1064">
        <f>A2A!D42</f>
        <v>73489965</v>
      </c>
      <c r="E17" s="1065">
        <f>A2A!E42</f>
        <v>16906741</v>
      </c>
      <c r="F17" s="1066">
        <f>A2A!F42</f>
        <v>15706167</v>
      </c>
      <c r="G17" s="1064">
        <f>A2A!G42</f>
        <v>29605988</v>
      </c>
      <c r="H17" s="1067">
        <f>A2A!H42</f>
        <v>29605988</v>
      </c>
      <c r="I17" s="1068">
        <f>A2A!I42</f>
        <v>58918693</v>
      </c>
      <c r="J17" s="1064">
        <f>A2A!J42</f>
        <v>50149886</v>
      </c>
      <c r="K17" s="1065">
        <f>A2A!K42</f>
        <v>52238319</v>
      </c>
      <c r="L17" s="370"/>
      <c r="Q17" s="252"/>
      <c r="R17" s="253"/>
    </row>
    <row r="18" spans="1:18" ht="11.25" customHeight="1">
      <c r="A18" s="1272" t="s">
        <v>152</v>
      </c>
      <c r="B18" s="1188"/>
      <c r="C18" s="1064">
        <f>A2A!C48</f>
        <v>1301922</v>
      </c>
      <c r="D18" s="1064">
        <f>A2A!D48</f>
        <v>2851</v>
      </c>
      <c r="E18" s="1065">
        <f>A2A!E48</f>
        <v>673889</v>
      </c>
      <c r="F18" s="1066">
        <f>A2A!F48</f>
        <v>3000</v>
      </c>
      <c r="G18" s="1064">
        <f>A2A!G48</f>
        <v>363636</v>
      </c>
      <c r="H18" s="1067">
        <f>A2A!H48</f>
        <v>363636</v>
      </c>
      <c r="I18" s="1068">
        <f>A2A!I48</f>
        <v>3150</v>
      </c>
      <c r="J18" s="1064">
        <f>A2A!J48</f>
        <v>3308</v>
      </c>
      <c r="K18" s="1065">
        <f>A2A!K48</f>
        <v>3493</v>
      </c>
      <c r="L18" s="370"/>
      <c r="Q18" s="252"/>
      <c r="R18" s="253"/>
    </row>
    <row r="19" spans="1:18" ht="11.25" customHeight="1">
      <c r="A19" s="1271" t="s">
        <v>153</v>
      </c>
      <c r="B19" s="1130"/>
      <c r="C19" s="1131">
        <f>SUM(C20:C23)</f>
        <v>1336103127</v>
      </c>
      <c r="D19" s="1131">
        <f t="shared" ref="D19:K19" si="3">SUM(D20:D23)</f>
        <v>1598003415</v>
      </c>
      <c r="E19" s="1132">
        <f t="shared" si="3"/>
        <v>1729413103</v>
      </c>
      <c r="F19" s="1133">
        <f t="shared" si="3"/>
        <v>2133823600</v>
      </c>
      <c r="G19" s="1131">
        <f t="shared" si="3"/>
        <v>2230922317</v>
      </c>
      <c r="H19" s="1134">
        <f t="shared" si="3"/>
        <v>2230922317</v>
      </c>
      <c r="I19" s="1135">
        <f t="shared" si="3"/>
        <v>2101836530</v>
      </c>
      <c r="J19" s="1131">
        <f>SUM(J20:J23)</f>
        <v>2284716852</v>
      </c>
      <c r="K19" s="1132">
        <f t="shared" si="3"/>
        <v>2567005770</v>
      </c>
      <c r="L19" s="370"/>
      <c r="Q19" s="252"/>
      <c r="R19" s="253"/>
    </row>
    <row r="20" spans="1:18" ht="11.25" customHeight="1">
      <c r="A20" s="1272" t="s">
        <v>654</v>
      </c>
      <c r="B20" s="1188"/>
      <c r="C20" s="1064">
        <f>A2A!C53</f>
        <v>912877214</v>
      </c>
      <c r="D20" s="1064">
        <f>A2A!D53</f>
        <v>1038086650</v>
      </c>
      <c r="E20" s="1065">
        <f>A2A!E53</f>
        <v>874167767</v>
      </c>
      <c r="F20" s="1066">
        <f>A2A!F53</f>
        <v>1473358436</v>
      </c>
      <c r="G20" s="1064">
        <f>A2A!G53</f>
        <v>1450565151</v>
      </c>
      <c r="H20" s="1067">
        <f>A2A!H53</f>
        <v>1450565151</v>
      </c>
      <c r="I20" s="1068">
        <f>A2A!I53</f>
        <v>1249232421</v>
      </c>
      <c r="J20" s="1064">
        <f>A2A!J53</f>
        <v>1351037713</v>
      </c>
      <c r="K20" s="1065">
        <f>A2A!K53</f>
        <v>1482144860</v>
      </c>
      <c r="L20" s="370"/>
      <c r="Q20" s="252"/>
      <c r="R20" s="253"/>
    </row>
    <row r="21" spans="1:18" ht="11.25" customHeight="1">
      <c r="A21" s="1272" t="s">
        <v>956</v>
      </c>
      <c r="B21" s="1188"/>
      <c r="C21" s="1064">
        <f>A2A!C56</f>
        <v>234316423</v>
      </c>
      <c r="D21" s="1064">
        <f>A2A!D56</f>
        <v>340711610</v>
      </c>
      <c r="E21" s="1065">
        <f>A2A!E56</f>
        <v>396683810</v>
      </c>
      <c r="F21" s="1066">
        <f>A2A!F56</f>
        <v>434510481</v>
      </c>
      <c r="G21" s="1064">
        <f>A2A!G56</f>
        <v>473422513.96370083</v>
      </c>
      <c r="H21" s="1067">
        <f>A2A!H56</f>
        <v>473422513.96370083</v>
      </c>
      <c r="I21" s="1068">
        <f>A2A!I56</f>
        <v>491160943</v>
      </c>
      <c r="J21" s="1064">
        <f>A2A!J56</f>
        <v>534557064</v>
      </c>
      <c r="K21" s="1065">
        <f>A2A!K56</f>
        <v>607892232</v>
      </c>
      <c r="L21" s="370"/>
      <c r="Q21" s="252"/>
      <c r="R21" s="253"/>
    </row>
    <row r="22" spans="1:18" ht="11.25" customHeight="1">
      <c r="A22" s="1272" t="s">
        <v>1133</v>
      </c>
      <c r="B22" s="1188"/>
      <c r="C22" s="1466">
        <f>A2A!C59</f>
        <v>112219792</v>
      </c>
      <c r="D22" s="1466">
        <f>A2A!D59</f>
        <v>124181244</v>
      </c>
      <c r="E22" s="1467">
        <f>A2A!E59</f>
        <v>351028715</v>
      </c>
      <c r="F22" s="1468">
        <f>A2A!F59</f>
        <v>106798330</v>
      </c>
      <c r="G22" s="1466">
        <f>A2A!G59</f>
        <v>193751923.03629917</v>
      </c>
      <c r="H22" s="1469">
        <f>A2A!H59</f>
        <v>193751923.03629917</v>
      </c>
      <c r="I22" s="1470">
        <f>A2A!I59</f>
        <v>234481543</v>
      </c>
      <c r="J22" s="1466">
        <f>A2A!J59</f>
        <v>256067225</v>
      </c>
      <c r="K22" s="1467">
        <f>A2A!K59</f>
        <v>314037759</v>
      </c>
      <c r="L22" s="370"/>
      <c r="Q22" s="252"/>
      <c r="R22" s="253"/>
    </row>
    <row r="23" spans="1:18" ht="11.25" customHeight="1">
      <c r="A23" s="1272" t="s">
        <v>1134</v>
      </c>
      <c r="B23" s="1188"/>
      <c r="C23" s="1064">
        <f>A2A!C63</f>
        <v>76689698</v>
      </c>
      <c r="D23" s="1064">
        <f>A2A!D63</f>
        <v>95023911</v>
      </c>
      <c r="E23" s="1065">
        <f>A2A!E63</f>
        <v>107532811</v>
      </c>
      <c r="F23" s="1066">
        <f>A2A!F63</f>
        <v>119156353</v>
      </c>
      <c r="G23" s="1064">
        <f>A2A!G63</f>
        <v>113182729</v>
      </c>
      <c r="H23" s="1067">
        <f>A2A!H63</f>
        <v>113182729</v>
      </c>
      <c r="I23" s="1068">
        <f>A2A!I63</f>
        <v>126961623</v>
      </c>
      <c r="J23" s="1064">
        <f>A2A!J63</f>
        <v>143054850</v>
      </c>
      <c r="K23" s="1065">
        <f>A2A!K63</f>
        <v>162930919</v>
      </c>
      <c r="L23" s="370"/>
      <c r="Q23" s="252"/>
      <c r="R23" s="253"/>
    </row>
    <row r="24" spans="1:18" ht="11.25" customHeight="1">
      <c r="A24" s="1271" t="s">
        <v>293</v>
      </c>
      <c r="B24" s="1130">
        <v>4</v>
      </c>
      <c r="C24" s="1131">
        <f>A2A!C65</f>
        <v>0</v>
      </c>
      <c r="D24" s="1131">
        <f>A2A!D65</f>
        <v>0</v>
      </c>
      <c r="E24" s="1132">
        <f>A2A!E65</f>
        <v>0</v>
      </c>
      <c r="F24" s="1133">
        <f>A2A!F65</f>
        <v>0</v>
      </c>
      <c r="G24" s="1131">
        <f>A2A!G65</f>
        <v>0</v>
      </c>
      <c r="H24" s="1134">
        <f>A2A!H65</f>
        <v>0</v>
      </c>
      <c r="I24" s="1135">
        <f>A2A!I65</f>
        <v>0</v>
      </c>
      <c r="J24" s="1131">
        <f>A2A!J65</f>
        <v>0</v>
      </c>
      <c r="K24" s="1132">
        <f>A2A!K65</f>
        <v>0</v>
      </c>
      <c r="L24" s="370"/>
      <c r="Q24" s="245"/>
      <c r="R24" s="253"/>
    </row>
    <row r="25" spans="1:18" ht="11.25" customHeight="1">
      <c r="A25" s="1366" t="str">
        <f>"Total "&amp;A4</f>
        <v>Total Revenue - Standard</v>
      </c>
      <c r="B25" s="1367">
        <v>2</v>
      </c>
      <c r="C25" s="813">
        <f>C5+C9+C15+C19+C24</f>
        <v>1969006739</v>
      </c>
      <c r="D25" s="813">
        <f>D5+D9+D15+D19+D24</f>
        <v>2218358432</v>
      </c>
      <c r="E25" s="814">
        <f t="shared" ref="E25:K25" si="4">E5+E9+E15+E19+E24</f>
        <v>2175111041</v>
      </c>
      <c r="F25" s="815">
        <f t="shared" si="4"/>
        <v>2685772856</v>
      </c>
      <c r="G25" s="813">
        <f t="shared" si="4"/>
        <v>2755402455</v>
      </c>
      <c r="H25" s="816">
        <f t="shared" si="4"/>
        <v>2755402455</v>
      </c>
      <c r="I25" s="1108">
        <f>I5+I9+I15+I19+I24</f>
        <v>2729275535</v>
      </c>
      <c r="J25" s="813">
        <f t="shared" si="4"/>
        <v>2834221951</v>
      </c>
      <c r="K25" s="814">
        <f t="shared" si="4"/>
        <v>3072107334</v>
      </c>
      <c r="L25" s="370"/>
      <c r="Q25" s="271"/>
      <c r="R25" s="272"/>
    </row>
    <row r="26" spans="1:18" ht="5" customHeight="1">
      <c r="A26" s="1150"/>
      <c r="B26" s="1188"/>
      <c r="C26" s="207"/>
      <c r="D26" s="207"/>
      <c r="E26" s="264"/>
      <c r="F26" s="251"/>
      <c r="G26" s="207"/>
      <c r="H26" s="210"/>
      <c r="I26" s="211"/>
      <c r="J26" s="207"/>
      <c r="K26" s="264"/>
      <c r="L26" s="370"/>
      <c r="Q26" s="245"/>
    </row>
    <row r="27" spans="1:18" ht="11.25" customHeight="1">
      <c r="A27" s="1129" t="s">
        <v>432</v>
      </c>
      <c r="B27" s="1190"/>
      <c r="C27" s="207"/>
      <c r="D27" s="207"/>
      <c r="E27" s="264"/>
      <c r="F27" s="251"/>
      <c r="G27" s="207"/>
      <c r="H27" s="210"/>
      <c r="I27" s="211"/>
      <c r="J27" s="207"/>
      <c r="K27" s="264"/>
      <c r="L27" s="370"/>
      <c r="Q27" s="245"/>
    </row>
    <row r="28" spans="1:18" ht="11.25" customHeight="1">
      <c r="A28" s="1271" t="str">
        <f>A5</f>
        <v>Governance and administration</v>
      </c>
      <c r="B28" s="1188"/>
      <c r="C28" s="1131">
        <f>SUM(C29:C31)</f>
        <v>198155395.38</v>
      </c>
      <c r="D28" s="1131">
        <f t="shared" ref="D28:K28" si="5">SUM(D29:D31)</f>
        <v>425103382</v>
      </c>
      <c r="E28" s="1411">
        <f t="shared" si="5"/>
        <v>469969578</v>
      </c>
      <c r="F28" s="1135">
        <f t="shared" si="5"/>
        <v>411082295</v>
      </c>
      <c r="G28" s="1131">
        <f t="shared" si="5"/>
        <v>454124739</v>
      </c>
      <c r="H28" s="1412">
        <f t="shared" si="5"/>
        <v>454124739</v>
      </c>
      <c r="I28" s="1413">
        <f t="shared" si="5"/>
        <v>471760176</v>
      </c>
      <c r="J28" s="1131">
        <f t="shared" si="5"/>
        <v>467782732</v>
      </c>
      <c r="K28" s="1412">
        <f t="shared" si="5"/>
        <v>479373146</v>
      </c>
      <c r="L28" s="370"/>
    </row>
    <row r="29" spans="1:18" ht="11.25" customHeight="1">
      <c r="A29" s="1272" t="str">
        <f t="shared" ref="A29:A47" si="6">A6</f>
        <v>Executive and council</v>
      </c>
      <c r="B29" s="1188"/>
      <c r="C29" s="1064">
        <f>A2A!C75</f>
        <v>101270075.38</v>
      </c>
      <c r="D29" s="1064">
        <f>A2A!D75</f>
        <v>309438817</v>
      </c>
      <c r="E29" s="1065">
        <f>A2A!E75</f>
        <v>322839710</v>
      </c>
      <c r="F29" s="1066">
        <f>A2A!F75</f>
        <v>186404773</v>
      </c>
      <c r="G29" s="1064">
        <f>A2A!G75</f>
        <v>181239975</v>
      </c>
      <c r="H29" s="1067">
        <f>A2A!H75</f>
        <v>181239975</v>
      </c>
      <c r="I29" s="1068">
        <f>A2A!I75</f>
        <v>146115559</v>
      </c>
      <c r="J29" s="1064">
        <f>A2A!J75</f>
        <v>143780482</v>
      </c>
      <c r="K29" s="1065">
        <f>A2A!K75</f>
        <v>153620904</v>
      </c>
      <c r="L29" s="370"/>
    </row>
    <row r="30" spans="1:18" ht="11.25" customHeight="1">
      <c r="A30" s="1272" t="str">
        <f t="shared" si="6"/>
        <v>Budget and treasury office</v>
      </c>
      <c r="B30" s="1188"/>
      <c r="C30" s="1466">
        <f>A2A!C78</f>
        <v>39277061</v>
      </c>
      <c r="D30" s="1466">
        <f>A2A!D78</f>
        <v>53757028</v>
      </c>
      <c r="E30" s="1467">
        <f>A2A!E78</f>
        <v>64968723</v>
      </c>
      <c r="F30" s="1468">
        <f>A2A!F78</f>
        <v>116709880</v>
      </c>
      <c r="G30" s="1466">
        <f>A2A!G78</f>
        <v>141438140</v>
      </c>
      <c r="H30" s="1469">
        <f>A2A!H78</f>
        <v>141438140</v>
      </c>
      <c r="I30" s="1470">
        <f>A2A!I78</f>
        <v>182074109</v>
      </c>
      <c r="J30" s="1466">
        <f>A2A!J78</f>
        <v>174164237</v>
      </c>
      <c r="K30" s="1467">
        <f>A2A!K78</f>
        <v>165641919</v>
      </c>
      <c r="L30" s="370"/>
    </row>
    <row r="31" spans="1:18" ht="11.25" customHeight="1">
      <c r="A31" s="1272" t="str">
        <f t="shared" si="6"/>
        <v>Corporate services</v>
      </c>
      <c r="B31" s="1188"/>
      <c r="C31" s="1064">
        <f>A2A!C79</f>
        <v>57608259</v>
      </c>
      <c r="D31" s="1064">
        <f>A2A!D79</f>
        <v>61907537</v>
      </c>
      <c r="E31" s="1065">
        <f>A2A!E79</f>
        <v>82161145</v>
      </c>
      <c r="F31" s="1066">
        <f>A2A!F79</f>
        <v>107967642</v>
      </c>
      <c r="G31" s="1064">
        <f>A2A!G79</f>
        <v>131446624</v>
      </c>
      <c r="H31" s="1067">
        <f>A2A!H79</f>
        <v>131446624</v>
      </c>
      <c r="I31" s="1068">
        <f>A2A!I79</f>
        <v>143570508</v>
      </c>
      <c r="J31" s="1064">
        <f>A2A!J79</f>
        <v>149838013</v>
      </c>
      <c r="K31" s="1065">
        <f>A2A!K79</f>
        <v>160110323</v>
      </c>
      <c r="L31" s="370"/>
    </row>
    <row r="32" spans="1:18" ht="11.25" customHeight="1">
      <c r="A32" s="1271" t="str">
        <f t="shared" si="6"/>
        <v>Community and public safety</v>
      </c>
      <c r="B32" s="1188"/>
      <c r="C32" s="1131">
        <f>SUM(C33:C37)</f>
        <v>149241459.44</v>
      </c>
      <c r="D32" s="1131">
        <f t="shared" ref="D32:K32" si="7">SUM(D33:D37)</f>
        <v>161324383</v>
      </c>
      <c r="E32" s="1132">
        <f t="shared" si="7"/>
        <v>175323537</v>
      </c>
      <c r="F32" s="1133">
        <f t="shared" si="7"/>
        <v>202975433</v>
      </c>
      <c r="G32" s="1131">
        <f t="shared" si="7"/>
        <v>227544225</v>
      </c>
      <c r="H32" s="1134">
        <f t="shared" si="7"/>
        <v>227544225</v>
      </c>
      <c r="I32" s="1135">
        <f t="shared" si="7"/>
        <v>314967230</v>
      </c>
      <c r="J32" s="1131">
        <f t="shared" si="7"/>
        <v>330700319</v>
      </c>
      <c r="K32" s="1132">
        <f t="shared" si="7"/>
        <v>347938225</v>
      </c>
      <c r="L32" s="370"/>
    </row>
    <row r="33" spans="1:17" ht="11.25" customHeight="1">
      <c r="A33" s="1272" t="str">
        <f t="shared" si="6"/>
        <v>Community and social services</v>
      </c>
      <c r="B33" s="1188"/>
      <c r="C33" s="1064">
        <f>A2A!C85</f>
        <v>27881308.869999997</v>
      </c>
      <c r="D33" s="1064">
        <f>A2A!D85</f>
        <v>30510937</v>
      </c>
      <c r="E33" s="1065">
        <f>A2A!E85</f>
        <v>34115345</v>
      </c>
      <c r="F33" s="1066">
        <f>A2A!F85</f>
        <v>42441565</v>
      </c>
      <c r="G33" s="1064">
        <f>A2A!G85</f>
        <v>42661348</v>
      </c>
      <c r="H33" s="1067">
        <f>A2A!H85</f>
        <v>42661348</v>
      </c>
      <c r="I33" s="1068">
        <f>A2A!I85</f>
        <v>49508424</v>
      </c>
      <c r="J33" s="1064">
        <f>A2A!J85</f>
        <v>52457543</v>
      </c>
      <c r="K33" s="1065">
        <f>A2A!K85</f>
        <v>55577448</v>
      </c>
      <c r="L33" s="370"/>
    </row>
    <row r="34" spans="1:17" ht="11.25" customHeight="1">
      <c r="A34" s="1272" t="str">
        <f t="shared" si="6"/>
        <v>Sport and recreation</v>
      </c>
      <c r="B34" s="1188"/>
      <c r="C34" s="1064">
        <f>A2A!C94</f>
        <v>34224681</v>
      </c>
      <c r="D34" s="1064">
        <f>A2A!D94</f>
        <v>38227534</v>
      </c>
      <c r="E34" s="1065">
        <f>A2A!E94</f>
        <v>39572522</v>
      </c>
      <c r="F34" s="1066">
        <f>A2A!F94</f>
        <v>43235150</v>
      </c>
      <c r="G34" s="1064">
        <f>A2A!G94</f>
        <v>45385452</v>
      </c>
      <c r="H34" s="1067">
        <f>A2A!H94</f>
        <v>45385452</v>
      </c>
      <c r="I34" s="1068">
        <f>A2A!I94</f>
        <v>101280860</v>
      </c>
      <c r="J34" s="1064">
        <f>A2A!J94</f>
        <v>104819956</v>
      </c>
      <c r="K34" s="1065">
        <f>A2A!K94</f>
        <v>109957476</v>
      </c>
      <c r="L34" s="370"/>
    </row>
    <row r="35" spans="1:17" ht="11.25" customHeight="1">
      <c r="A35" s="1272" t="str">
        <f t="shared" si="6"/>
        <v>Public safety</v>
      </c>
      <c r="B35" s="1188"/>
      <c r="C35" s="1064">
        <f>A2A!C95</f>
        <v>70765416</v>
      </c>
      <c r="D35" s="1064">
        <f>A2A!D95</f>
        <v>77694099</v>
      </c>
      <c r="E35" s="1065">
        <f>A2A!E95</f>
        <v>84960700</v>
      </c>
      <c r="F35" s="1066">
        <f>A2A!F95</f>
        <v>98817326</v>
      </c>
      <c r="G35" s="1064">
        <f>A2A!G95</f>
        <v>119883105</v>
      </c>
      <c r="H35" s="1067">
        <f>A2A!H95</f>
        <v>119883105</v>
      </c>
      <c r="I35" s="1068">
        <f>A2A!I95</f>
        <v>130380808</v>
      </c>
      <c r="J35" s="1064">
        <f>A2A!J95</f>
        <v>138063143</v>
      </c>
      <c r="K35" s="1065">
        <f>A2A!K95</f>
        <v>145411296</v>
      </c>
      <c r="L35" s="370"/>
    </row>
    <row r="36" spans="1:17" ht="11.25" customHeight="1">
      <c r="A36" s="1272" t="str">
        <f t="shared" si="6"/>
        <v>Housing</v>
      </c>
      <c r="B36" s="1188"/>
      <c r="C36" s="1064">
        <f>A2A!C101</f>
        <v>8552828</v>
      </c>
      <c r="D36" s="1064">
        <f>A2A!D101</f>
        <v>6014650</v>
      </c>
      <c r="E36" s="1065">
        <f>A2A!E101</f>
        <v>6980064</v>
      </c>
      <c r="F36" s="1066">
        <f>A2A!F101</f>
        <v>7810301</v>
      </c>
      <c r="G36" s="1064">
        <f>A2A!G101</f>
        <v>7987774</v>
      </c>
      <c r="H36" s="1067">
        <f>A2A!H101</f>
        <v>7987774</v>
      </c>
      <c r="I36" s="1068">
        <f>A2A!I101</f>
        <v>20089015</v>
      </c>
      <c r="J36" s="1064">
        <f>A2A!J101</f>
        <v>20807285</v>
      </c>
      <c r="K36" s="1065">
        <f>A2A!K101</f>
        <v>21834649</v>
      </c>
      <c r="L36" s="370"/>
    </row>
    <row r="37" spans="1:17" ht="11.25" customHeight="1">
      <c r="A37" s="1272" t="str">
        <f t="shared" si="6"/>
        <v>Health</v>
      </c>
      <c r="B37" s="1188"/>
      <c r="C37" s="1466">
        <f>A2A!C102</f>
        <v>7817225.5700000003</v>
      </c>
      <c r="D37" s="1466">
        <f>A2A!D102</f>
        <v>8877163</v>
      </c>
      <c r="E37" s="1467">
        <f>A2A!E102</f>
        <v>9694906</v>
      </c>
      <c r="F37" s="1468">
        <f>A2A!F102</f>
        <v>10671091</v>
      </c>
      <c r="G37" s="1466">
        <f>A2A!G102</f>
        <v>11626546</v>
      </c>
      <c r="H37" s="1469">
        <f>A2A!H102</f>
        <v>11626546</v>
      </c>
      <c r="I37" s="1470">
        <f>A2A!I102</f>
        <v>13708123</v>
      </c>
      <c r="J37" s="1466">
        <f>A2A!J102</f>
        <v>14552392</v>
      </c>
      <c r="K37" s="1467">
        <f>A2A!K102</f>
        <v>15157356</v>
      </c>
      <c r="L37" s="370"/>
    </row>
    <row r="38" spans="1:17" ht="11.25" customHeight="1">
      <c r="A38" s="1271" t="str">
        <f t="shared" si="6"/>
        <v>Economic and environmental services</v>
      </c>
      <c r="B38" s="1130"/>
      <c r="C38" s="1131">
        <f>SUM(C39:C41)</f>
        <v>262623738.53</v>
      </c>
      <c r="D38" s="1131">
        <f t="shared" ref="D38:K38" si="8">SUM(D39:D41)</f>
        <v>161532009</v>
      </c>
      <c r="E38" s="1132">
        <f t="shared" si="8"/>
        <v>143648861</v>
      </c>
      <c r="F38" s="1133">
        <f t="shared" si="8"/>
        <v>154357862</v>
      </c>
      <c r="G38" s="1131">
        <f t="shared" si="8"/>
        <v>198929690</v>
      </c>
      <c r="H38" s="1134">
        <f t="shared" si="8"/>
        <v>198929690</v>
      </c>
      <c r="I38" s="1135">
        <f t="shared" si="8"/>
        <v>257632726</v>
      </c>
      <c r="J38" s="1131">
        <f t="shared" si="8"/>
        <v>256398230</v>
      </c>
      <c r="K38" s="1132">
        <f t="shared" si="8"/>
        <v>274030901</v>
      </c>
      <c r="L38" s="370"/>
    </row>
    <row r="39" spans="1:17" ht="11.25" customHeight="1">
      <c r="A39" s="1272" t="str">
        <f t="shared" si="6"/>
        <v>Planning and development</v>
      </c>
      <c r="B39" s="1188"/>
      <c r="C39" s="1064">
        <f>A2A!C107</f>
        <v>17848867</v>
      </c>
      <c r="D39" s="1064">
        <f>A2A!D107</f>
        <v>24119423</v>
      </c>
      <c r="E39" s="1065">
        <f>A2A!E107</f>
        <v>41728166</v>
      </c>
      <c r="F39" s="1066">
        <f>A2A!F107</f>
        <v>43055826</v>
      </c>
      <c r="G39" s="1064">
        <f>A2A!G107</f>
        <v>68745232</v>
      </c>
      <c r="H39" s="1067">
        <f>A2A!H107</f>
        <v>68745232</v>
      </c>
      <c r="I39" s="1068">
        <f>A2A!I107</f>
        <v>45167109</v>
      </c>
      <c r="J39" s="1064">
        <f>A2A!J107</f>
        <v>41060514</v>
      </c>
      <c r="K39" s="1065">
        <f>A2A!K107</f>
        <v>44708619</v>
      </c>
      <c r="L39" s="370"/>
    </row>
    <row r="40" spans="1:17" ht="11.25" customHeight="1">
      <c r="A40" s="1272" t="str">
        <f t="shared" si="6"/>
        <v>Road transport</v>
      </c>
      <c r="B40" s="1188"/>
      <c r="C40" s="1064">
        <f>A2A!C111</f>
        <v>239013942.53</v>
      </c>
      <c r="D40" s="1064">
        <f>A2A!D111</f>
        <v>133260112</v>
      </c>
      <c r="E40" s="1065">
        <f>A2A!E111</f>
        <v>96282924</v>
      </c>
      <c r="F40" s="1066">
        <f>A2A!F111</f>
        <v>99152481</v>
      </c>
      <c r="G40" s="1064">
        <f>A2A!G111</f>
        <v>117641936</v>
      </c>
      <c r="H40" s="1067">
        <f>A2A!H111</f>
        <v>117641936</v>
      </c>
      <c r="I40" s="1068">
        <f>A2A!I111</f>
        <v>201383455</v>
      </c>
      <c r="J40" s="1064">
        <f>A2A!J111</f>
        <v>204516456</v>
      </c>
      <c r="K40" s="1065">
        <f>A2A!K111</f>
        <v>218008481</v>
      </c>
      <c r="L40" s="370"/>
    </row>
    <row r="41" spans="1:17" ht="11.25" customHeight="1">
      <c r="A41" s="1272" t="str">
        <f t="shared" si="6"/>
        <v>Environmental protection</v>
      </c>
      <c r="B41" s="1188"/>
      <c r="C41" s="1064">
        <f>A2A!C117</f>
        <v>5760929</v>
      </c>
      <c r="D41" s="1064">
        <f>A2A!D117</f>
        <v>4152474</v>
      </c>
      <c r="E41" s="1065">
        <f>A2A!E117</f>
        <v>5637771</v>
      </c>
      <c r="F41" s="1066">
        <f>A2A!F117</f>
        <v>12149555</v>
      </c>
      <c r="G41" s="1064">
        <f>A2A!G117</f>
        <v>12542522</v>
      </c>
      <c r="H41" s="1067">
        <f>A2A!H117</f>
        <v>12542522</v>
      </c>
      <c r="I41" s="1068">
        <f>A2A!I117</f>
        <v>11082162</v>
      </c>
      <c r="J41" s="1064">
        <f>A2A!J117</f>
        <v>10821260</v>
      </c>
      <c r="K41" s="1065">
        <f>A2A!K117</f>
        <v>11313801</v>
      </c>
      <c r="L41" s="370"/>
    </row>
    <row r="42" spans="1:17" ht="11.25" customHeight="1">
      <c r="A42" s="1271" t="str">
        <f t="shared" si="6"/>
        <v>Trading services</v>
      </c>
      <c r="B42" s="1130"/>
      <c r="C42" s="1131">
        <f>SUM(C43:C46)</f>
        <v>1175729703</v>
      </c>
      <c r="D42" s="1131">
        <f t="shared" ref="D42:J42" si="9">SUM(D43:D46)</f>
        <v>1483316978</v>
      </c>
      <c r="E42" s="1132">
        <f t="shared" si="9"/>
        <v>1410716129</v>
      </c>
      <c r="F42" s="1133">
        <f>SUM(F43:F46)</f>
        <v>1939375440</v>
      </c>
      <c r="G42" s="1131">
        <f t="shared" si="9"/>
        <v>1836615473</v>
      </c>
      <c r="H42" s="1134">
        <f t="shared" si="9"/>
        <v>1836615473</v>
      </c>
      <c r="I42" s="1135">
        <f t="shared" si="9"/>
        <v>1666434067</v>
      </c>
      <c r="J42" s="1131">
        <f t="shared" si="9"/>
        <v>1743667366</v>
      </c>
      <c r="K42" s="1132">
        <f>SUM(K43:K46)</f>
        <v>1879298406</v>
      </c>
      <c r="L42" s="370"/>
    </row>
    <row r="43" spans="1:17" ht="11.25" customHeight="1">
      <c r="A43" s="1272" t="str">
        <f t="shared" si="6"/>
        <v>Electricity</v>
      </c>
      <c r="B43" s="1188"/>
      <c r="C43" s="1064">
        <f>A2A!C122</f>
        <v>732058161</v>
      </c>
      <c r="D43" s="1064">
        <f>A2A!D122</f>
        <v>932439623</v>
      </c>
      <c r="E43" s="1065">
        <f>A2A!E122</f>
        <v>675054338</v>
      </c>
      <c r="F43" s="1066">
        <f>A2A!F122</f>
        <v>1289685303</v>
      </c>
      <c r="G43" s="1064">
        <f>A2A!G122</f>
        <v>1155997191</v>
      </c>
      <c r="H43" s="1067">
        <f>A2A!H122</f>
        <v>1155997191</v>
      </c>
      <c r="I43" s="1068">
        <f>A2A!I122</f>
        <v>900754065</v>
      </c>
      <c r="J43" s="1064">
        <f>A2A!J122</f>
        <v>961648984</v>
      </c>
      <c r="K43" s="1065">
        <f>A2A!K122</f>
        <v>1029356159</v>
      </c>
      <c r="L43" s="370"/>
    </row>
    <row r="44" spans="1:17" ht="11.25" customHeight="1">
      <c r="A44" s="1272" t="str">
        <f t="shared" si="6"/>
        <v>Water</v>
      </c>
      <c r="B44" s="1188"/>
      <c r="C44" s="1064">
        <f>A2A!C125</f>
        <v>262451152</v>
      </c>
      <c r="D44" s="1064">
        <f>A2A!D125</f>
        <v>221811877</v>
      </c>
      <c r="E44" s="1065">
        <f>A2A!E125</f>
        <v>261531664</v>
      </c>
      <c r="F44" s="1066">
        <f>A2A!F125</f>
        <v>384768008.51038778</v>
      </c>
      <c r="G44" s="1064">
        <f>A2A!G125</f>
        <v>408518097.51038778</v>
      </c>
      <c r="H44" s="1067">
        <f>A2A!H125</f>
        <v>408518097.51038778</v>
      </c>
      <c r="I44" s="1068">
        <f>A2A!I125</f>
        <v>503737603</v>
      </c>
      <c r="J44" s="1064">
        <f>A2A!J125</f>
        <v>520075641</v>
      </c>
      <c r="K44" s="1065">
        <f>A2A!K125</f>
        <v>543230764</v>
      </c>
      <c r="L44" s="370"/>
    </row>
    <row r="45" spans="1:17" ht="11.25" customHeight="1">
      <c r="A45" s="1272" t="str">
        <f t="shared" si="6"/>
        <v>Waste water management</v>
      </c>
      <c r="B45" s="1188"/>
      <c r="C45" s="1466">
        <f>A2A!C128</f>
        <v>93815894</v>
      </c>
      <c r="D45" s="1466">
        <f>A2A!D128</f>
        <v>176453971</v>
      </c>
      <c r="E45" s="1467">
        <f>A2A!E128</f>
        <v>402126019</v>
      </c>
      <c r="F45" s="1468">
        <f>A2A!F128</f>
        <v>185806169.48961219</v>
      </c>
      <c r="G45" s="1466">
        <f>A2A!G128</f>
        <v>180789420.48961219</v>
      </c>
      <c r="H45" s="1469">
        <f>A2A!H128</f>
        <v>180789420.48961219</v>
      </c>
      <c r="I45" s="1470">
        <f>A2A!I128</f>
        <v>144648875</v>
      </c>
      <c r="J45" s="1466">
        <f>A2A!J128</f>
        <v>145151141</v>
      </c>
      <c r="K45" s="1467">
        <f>A2A!K128</f>
        <v>186332882</v>
      </c>
      <c r="L45" s="370"/>
    </row>
    <row r="46" spans="1:17" ht="11.25" customHeight="1">
      <c r="A46" s="1272" t="str">
        <f t="shared" si="6"/>
        <v>Waste management</v>
      </c>
      <c r="B46" s="1188"/>
      <c r="C46" s="1064">
        <f>A2A!C132</f>
        <v>87404496</v>
      </c>
      <c r="D46" s="1064">
        <f>A2A!D132</f>
        <v>152611507</v>
      </c>
      <c r="E46" s="1065">
        <f>A2A!E132</f>
        <v>72004108</v>
      </c>
      <c r="F46" s="1066">
        <f>A2A!F132</f>
        <v>79115959</v>
      </c>
      <c r="G46" s="1064">
        <f>A2A!G132</f>
        <v>91310764</v>
      </c>
      <c r="H46" s="1067">
        <f>A2A!H132</f>
        <v>91310764</v>
      </c>
      <c r="I46" s="1068">
        <f>A2A!I132</f>
        <v>117293524</v>
      </c>
      <c r="J46" s="1064">
        <f>A2A!J132</f>
        <v>116791600</v>
      </c>
      <c r="K46" s="1065">
        <f>A2A!K132</f>
        <v>120378601</v>
      </c>
      <c r="L46" s="370"/>
    </row>
    <row r="47" spans="1:17" ht="11.25" customHeight="1">
      <c r="A47" s="1271" t="str">
        <f t="shared" si="6"/>
        <v>Other</v>
      </c>
      <c r="B47" s="1130">
        <v>4</v>
      </c>
      <c r="C47" s="1131">
        <f>A2A!C134</f>
        <v>0</v>
      </c>
      <c r="D47" s="1131">
        <f>A2A!D134</f>
        <v>0</v>
      </c>
      <c r="E47" s="1132">
        <f>A2A!E134</f>
        <v>0</v>
      </c>
      <c r="F47" s="1133">
        <f>A2A!F134</f>
        <v>0</v>
      </c>
      <c r="G47" s="1131">
        <f>A2A!G134</f>
        <v>0</v>
      </c>
      <c r="H47" s="1134">
        <f>A2A!H134</f>
        <v>0</v>
      </c>
      <c r="I47" s="1135">
        <f>A2A!I134</f>
        <v>0</v>
      </c>
      <c r="J47" s="1131">
        <f>A2A!J134</f>
        <v>0</v>
      </c>
      <c r="K47" s="1132">
        <f>A2A!K134</f>
        <v>0</v>
      </c>
      <c r="L47" s="370"/>
    </row>
    <row r="48" spans="1:17" ht="11.25" customHeight="1">
      <c r="A48" s="1366" t="str">
        <f>"Total "&amp;A27</f>
        <v>Total Expenditure - Standard</v>
      </c>
      <c r="B48" s="1367">
        <v>3</v>
      </c>
      <c r="C48" s="813">
        <f>C28+C32+C38+C42+C47</f>
        <v>1785750296.3499999</v>
      </c>
      <c r="D48" s="813">
        <f>D28+D32+D38+D42+D47</f>
        <v>2231276752</v>
      </c>
      <c r="E48" s="814">
        <f>E28+E32+E38+E42+E47</f>
        <v>2199658105</v>
      </c>
      <c r="F48" s="815">
        <f t="shared" ref="F48:K48" si="10">F28+F32+F38+F42+F47</f>
        <v>2707791030</v>
      </c>
      <c r="G48" s="813">
        <f t="shared" si="10"/>
        <v>2717214127</v>
      </c>
      <c r="H48" s="816">
        <f t="shared" si="10"/>
        <v>2717214127</v>
      </c>
      <c r="I48" s="1108">
        <f t="shared" si="10"/>
        <v>2710794199</v>
      </c>
      <c r="J48" s="813">
        <f t="shared" si="10"/>
        <v>2798548647</v>
      </c>
      <c r="K48" s="814">
        <f t="shared" si="10"/>
        <v>2980640678</v>
      </c>
      <c r="L48" s="370"/>
      <c r="Q48" s="280"/>
    </row>
    <row r="49" spans="1:12">
      <c r="A49" s="1191" t="str">
        <f>result</f>
        <v>Surplus/(Deficit) for the year</v>
      </c>
      <c r="B49" s="1192"/>
      <c r="C49" s="283">
        <f>C25-C48</f>
        <v>183256442.6500001</v>
      </c>
      <c r="D49" s="283">
        <f t="shared" ref="D49:K49" si="11">D25-D48</f>
        <v>-12918320</v>
      </c>
      <c r="E49" s="284">
        <f t="shared" si="11"/>
        <v>-24547064</v>
      </c>
      <c r="F49" s="285">
        <f t="shared" si="11"/>
        <v>-22018174</v>
      </c>
      <c r="G49" s="283">
        <f t="shared" si="11"/>
        <v>38188328</v>
      </c>
      <c r="H49" s="282">
        <f t="shared" si="11"/>
        <v>38188328</v>
      </c>
      <c r="I49" s="286">
        <f t="shared" si="11"/>
        <v>18481336</v>
      </c>
      <c r="J49" s="283">
        <f t="shared" si="11"/>
        <v>35673304</v>
      </c>
      <c r="K49" s="284">
        <f t="shared" si="11"/>
        <v>91466656</v>
      </c>
      <c r="L49" s="370"/>
    </row>
    <row r="50" spans="1:12">
      <c r="A50" s="1193" t="str">
        <f>head27a</f>
        <v>References</v>
      </c>
      <c r="B50" s="1194"/>
      <c r="C50" s="1059"/>
      <c r="D50" s="1059"/>
      <c r="E50" s="1059"/>
      <c r="F50" s="1059"/>
      <c r="G50" s="1059"/>
      <c r="H50" s="1059"/>
      <c r="I50" s="1059"/>
      <c r="J50" s="1059"/>
      <c r="K50" s="1059"/>
    </row>
    <row r="51" spans="1:12" ht="11.25" customHeight="1">
      <c r="A51" s="1195" t="s">
        <v>1132</v>
      </c>
      <c r="B51" s="1194"/>
      <c r="C51" s="1196"/>
      <c r="D51" s="1196"/>
      <c r="E51" s="1197"/>
      <c r="F51" s="1197"/>
      <c r="G51" s="1197"/>
      <c r="H51" s="1197"/>
      <c r="I51" s="1197"/>
      <c r="J51" s="1197"/>
      <c r="K51" s="1197"/>
    </row>
    <row r="52" spans="1:12" ht="11.25" customHeight="1">
      <c r="A52" s="1198" t="s">
        <v>450</v>
      </c>
      <c r="B52" s="1194"/>
      <c r="C52" s="1196"/>
      <c r="D52" s="1196"/>
      <c r="E52" s="1197"/>
      <c r="F52" s="1197"/>
      <c r="G52" s="1197"/>
      <c r="H52" s="1197"/>
      <c r="I52" s="1197"/>
      <c r="J52" s="1197"/>
      <c r="K52" s="1197"/>
    </row>
    <row r="53" spans="1:12" ht="11.25" customHeight="1">
      <c r="A53" s="1195" t="s">
        <v>451</v>
      </c>
      <c r="B53" s="1194"/>
      <c r="C53" s="1196"/>
      <c r="D53" s="1196"/>
      <c r="E53" s="1197"/>
      <c r="F53" s="1197"/>
      <c r="G53" s="1197"/>
      <c r="H53" s="1197"/>
      <c r="I53" s="1197"/>
      <c r="J53" s="1197"/>
      <c r="K53" s="1197"/>
    </row>
    <row r="54" spans="1:12" ht="25.5" customHeight="1">
      <c r="A54" s="2769" t="s">
        <v>1208</v>
      </c>
      <c r="B54" s="2769"/>
      <c r="C54" s="2769"/>
      <c r="D54" s="2769"/>
      <c r="E54" s="2769"/>
      <c r="F54" s="2769"/>
      <c r="G54" s="2769"/>
      <c r="H54" s="2769"/>
      <c r="I54" s="2769"/>
      <c r="J54" s="2769"/>
      <c r="K54" s="2769"/>
    </row>
    <row r="55" spans="1:12" ht="11.25" customHeight="1">
      <c r="A55" s="246"/>
      <c r="B55" s="236"/>
      <c r="C55" s="240"/>
      <c r="D55" s="240"/>
      <c r="E55" s="241"/>
      <c r="F55" s="241"/>
      <c r="G55" s="241"/>
      <c r="H55" s="241"/>
      <c r="I55" s="241"/>
      <c r="J55" s="241"/>
      <c r="K55" s="241"/>
    </row>
    <row r="56" spans="1:12" ht="11.25" customHeight="1">
      <c r="A56" s="246"/>
      <c r="B56" s="236"/>
      <c r="C56" s="240"/>
      <c r="D56" s="240"/>
      <c r="E56" s="241"/>
      <c r="F56" s="241"/>
      <c r="G56" s="241"/>
      <c r="H56" s="241"/>
      <c r="I56" s="241"/>
      <c r="J56" s="241"/>
      <c r="K56" s="241"/>
    </row>
    <row r="57" spans="1:12" ht="11.25" customHeight="1">
      <c r="A57" s="288" t="s">
        <v>154</v>
      </c>
      <c r="B57" s="243"/>
      <c r="C57" s="289">
        <f>C25-'A4-FinPerf RE'!C60</f>
        <v>183504721.50000024</v>
      </c>
      <c r="D57" s="289">
        <f>D25-'A4-FinPerf RE'!D60</f>
        <v>-12575329</v>
      </c>
      <c r="E57" s="1030">
        <f>E25-'A4-FinPerf RE'!E60</f>
        <v>-23959329</v>
      </c>
      <c r="F57" s="289">
        <f>F25-'A4-FinPerf RE'!F60</f>
        <v>-22018174.243999958</v>
      </c>
      <c r="G57" s="289">
        <f>G25-'A4-FinPerf RE'!G60</f>
        <v>38188328</v>
      </c>
      <c r="H57" s="289">
        <f>H25-'A4-FinPerf RE'!H60</f>
        <v>38188328</v>
      </c>
      <c r="I57" s="289">
        <f>I25-'A4-FinPerf RE'!J60</f>
        <v>18481336</v>
      </c>
      <c r="J57" s="289">
        <f>J25-'A4-FinPerf RE'!K60</f>
        <v>35673304</v>
      </c>
      <c r="K57" s="289">
        <f>K25-'A4-FinPerf RE'!L60</f>
        <v>91466656</v>
      </c>
    </row>
    <row r="58" spans="1:12" ht="11.25" customHeight="1">
      <c r="A58" s="288" t="s">
        <v>876</v>
      </c>
      <c r="B58" s="243"/>
      <c r="C58" s="289">
        <f>C48-'A4-FinPerf RE'!C36</f>
        <v>248278.84999990463</v>
      </c>
      <c r="D58" s="289">
        <f>D48-'A4-FinPerf RE'!D36</f>
        <v>342991</v>
      </c>
      <c r="E58" s="1030">
        <f>E48-'A4-FinPerf RE'!E36</f>
        <v>587735</v>
      </c>
      <c r="F58" s="289">
        <f>F48-'A4-FinPerf RE'!F36</f>
        <v>-0.24399995803833008</v>
      </c>
      <c r="G58" s="289">
        <f>G48-'A4-FinPerf RE'!G36</f>
        <v>0</v>
      </c>
      <c r="H58" s="289">
        <f>H48-'A4-FinPerf RE'!H36</f>
        <v>0</v>
      </c>
      <c r="I58" s="289">
        <f>I48-'A4-FinPerf RE'!J36</f>
        <v>0</v>
      </c>
      <c r="J58" s="289">
        <f>J48-'A4-FinPerf RE'!K36</f>
        <v>0</v>
      </c>
      <c r="K58" s="289">
        <f>K48-'A4-FinPerf RE'!L36</f>
        <v>0</v>
      </c>
    </row>
    <row r="59" spans="1:12" ht="11.25" customHeight="1"/>
    <row r="60" spans="1:12" ht="11.25" customHeight="1"/>
    <row r="61" spans="1:12" ht="11.25" customHeight="1"/>
    <row r="62" spans="1:12" ht="11.25" customHeight="1">
      <c r="E62" s="362"/>
    </row>
    <row r="63" spans="1:12" ht="11.25" customHeight="1"/>
    <row r="64" spans="1:12"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sheetData>
  <sheetProtection password="C646" sheet="1" objects="1" scenarios="1"/>
  <mergeCells count="3">
    <mergeCell ref="A54:K54"/>
    <mergeCell ref="F2:H2"/>
    <mergeCell ref="I2:K2"/>
  </mergeCells>
  <phoneticPr fontId="5" type="noConversion"/>
  <printOptions horizontalCentered="1"/>
  <pageMargins left="0" right="0" top="0.78740157480314998" bottom="0.59055118110236204" header="0.511811023622047" footer="0.39370078740157499"/>
  <headerFooter alignWithMargins="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enableFormatConditionsCalculation="0">
    <tabColor indexed="44"/>
  </sheetPr>
  <dimension ref="A1:R184"/>
  <sheetViews>
    <sheetView showGridLines="0" topLeftCell="A128" workbookViewId="0">
      <selection activeCell="K124" sqref="K124"/>
    </sheetView>
  </sheetViews>
  <sheetFormatPr baseColWidth="10" defaultColWidth="8.83203125" defaultRowHeight="10" x14ac:dyDescent="0"/>
  <cols>
    <col min="1" max="1" width="30.6640625" style="149" customWidth="1"/>
    <col min="2" max="2" width="3" style="247" customWidth="1"/>
    <col min="3" max="11" width="9.33203125" style="149" customWidth="1"/>
    <col min="12" max="41" width="9.5" style="149" customWidth="1"/>
    <col min="42" max="16384" width="8.83203125" style="149"/>
  </cols>
  <sheetData>
    <row r="1" spans="1:18" ht="12">
      <c r="A1" s="147" t="str">
        <f>muni&amp;" - "&amp;Approve3</f>
        <v>NW373 Rustenburg - Table A2 Consolidated Budgeted Financial Performance (revenue and expenditure by standard classification)</v>
      </c>
      <c r="B1" s="248"/>
      <c r="C1" s="248"/>
      <c r="D1" s="248"/>
      <c r="E1" s="248"/>
      <c r="F1" s="248"/>
      <c r="G1" s="248"/>
      <c r="H1" s="248"/>
      <c r="I1" s="248"/>
      <c r="J1" s="248"/>
      <c r="K1" s="248"/>
    </row>
    <row r="2" spans="1:18" ht="28.5" customHeight="1">
      <c r="A2" s="975" t="str">
        <f>"Standard Classification "&amp;desc</f>
        <v>Standard Classification Description</v>
      </c>
      <c r="B2" s="419" t="str">
        <f>head27</f>
        <v>Ref</v>
      </c>
      <c r="C2" s="150" t="str">
        <f>head1b</f>
        <v>2009/10</v>
      </c>
      <c r="D2" s="150" t="str">
        <f>head1A</f>
        <v>2010/11</v>
      </c>
      <c r="E2" s="146" t="str">
        <f>Head1</f>
        <v>2011/12</v>
      </c>
      <c r="F2" s="2765" t="str">
        <f>Head2</f>
        <v>Current Year 2012/13</v>
      </c>
      <c r="G2" s="2766"/>
      <c r="H2" s="2770"/>
      <c r="I2" s="2762" t="str">
        <f>Head3</f>
        <v>2013/14 Medium Term Revenue &amp; Expenditure Framework</v>
      </c>
      <c r="J2" s="2763"/>
      <c r="K2" s="2764"/>
    </row>
    <row r="3" spans="1:18" ht="20">
      <c r="A3" s="180" t="s">
        <v>667</v>
      </c>
      <c r="B3" s="986">
        <v>1</v>
      </c>
      <c r="C3" s="390" t="str">
        <f>Head5</f>
        <v>Audited Outcome</v>
      </c>
      <c r="D3" s="390" t="str">
        <f>Head5</f>
        <v>Audited Outcome</v>
      </c>
      <c r="E3" s="391" t="str">
        <f>Head5</f>
        <v>Audited Outcome</v>
      </c>
      <c r="F3" s="299" t="str">
        <f>Head6</f>
        <v>Original Budget</v>
      </c>
      <c r="G3" s="390" t="str">
        <f>Head7</f>
        <v>Adjusted Budget</v>
      </c>
      <c r="H3" s="391" t="str">
        <f>Head8</f>
        <v>Full Year Forecast</v>
      </c>
      <c r="I3" s="299" t="str">
        <f>Head9</f>
        <v>Budget Year 2013/14</v>
      </c>
      <c r="J3" s="390" t="str">
        <f>Head10</f>
        <v>Budget Year +1 2014/15</v>
      </c>
      <c r="K3" s="391" t="str">
        <f>Head11</f>
        <v>Budget Year +2 2015/16</v>
      </c>
    </row>
    <row r="4" spans="1:18" ht="11.25" customHeight="1">
      <c r="A4" s="249" t="s">
        <v>431</v>
      </c>
      <c r="B4" s="182"/>
      <c r="C4" s="184"/>
      <c r="D4" s="184"/>
      <c r="E4" s="183"/>
      <c r="F4" s="186"/>
      <c r="G4" s="184"/>
      <c r="H4" s="185"/>
      <c r="I4" s="1334"/>
      <c r="J4" s="184"/>
      <c r="K4" s="185"/>
      <c r="L4" s="370"/>
    </row>
    <row r="5" spans="1:18" ht="11.25" customHeight="1">
      <c r="A5" s="1271" t="s">
        <v>141</v>
      </c>
      <c r="B5" s="1188"/>
      <c r="C5" s="1338">
        <f>C6+C9+C10</f>
        <v>463355165</v>
      </c>
      <c r="D5" s="1338">
        <f t="shared" ref="D5:K5" si="0">D6+D9+D10</f>
        <v>507486822</v>
      </c>
      <c r="E5" s="1507">
        <f t="shared" si="0"/>
        <v>373795579</v>
      </c>
      <c r="F5" s="1342">
        <f t="shared" si="0"/>
        <v>389352811</v>
      </c>
      <c r="G5" s="1338">
        <f t="shared" si="0"/>
        <v>390612769</v>
      </c>
      <c r="H5" s="1508">
        <f t="shared" si="0"/>
        <v>390612769</v>
      </c>
      <c r="I5" s="1509">
        <f t="shared" si="0"/>
        <v>441738856</v>
      </c>
      <c r="J5" s="1338">
        <f t="shared" si="0"/>
        <v>420096073</v>
      </c>
      <c r="K5" s="1508">
        <f t="shared" si="0"/>
        <v>422411770</v>
      </c>
      <c r="L5" s="370"/>
      <c r="Q5" s="252"/>
      <c r="R5" s="253"/>
    </row>
    <row r="6" spans="1:18" ht="11.25" customHeight="1">
      <c r="A6" s="1330" t="s">
        <v>142</v>
      </c>
      <c r="B6" s="1188"/>
      <c r="C6" s="1111">
        <f>SUM(C7:C8)</f>
        <v>455232644</v>
      </c>
      <c r="D6" s="1111">
        <f t="shared" ref="D6:K6" si="1">SUM(D7:D8)</f>
        <v>494298972</v>
      </c>
      <c r="E6" s="1424">
        <f t="shared" si="1"/>
        <v>363095618</v>
      </c>
      <c r="F6" s="1112">
        <f t="shared" si="1"/>
        <v>193561874</v>
      </c>
      <c r="G6" s="1111">
        <f t="shared" si="1"/>
        <v>192904324</v>
      </c>
      <c r="H6" s="1148">
        <f t="shared" si="1"/>
        <v>192904324</v>
      </c>
      <c r="I6" s="1425">
        <f t="shared" si="1"/>
        <v>223456901</v>
      </c>
      <c r="J6" s="1111">
        <f t="shared" si="1"/>
        <v>195346846</v>
      </c>
      <c r="K6" s="1148">
        <f t="shared" si="1"/>
        <v>184064981</v>
      </c>
      <c r="L6" s="370"/>
      <c r="Q6" s="252"/>
      <c r="R6" s="253"/>
    </row>
    <row r="7" spans="1:18" ht="11.25" customHeight="1">
      <c r="A7" s="1551" t="s">
        <v>334</v>
      </c>
      <c r="B7" s="1188"/>
      <c r="C7" s="1053">
        <v>444028814</v>
      </c>
      <c r="D7" s="1616">
        <v>468447502</v>
      </c>
      <c r="E7" s="1616">
        <v>357707349</v>
      </c>
      <c r="F7" s="1615">
        <v>177173848</v>
      </c>
      <c r="G7" s="1615">
        <v>157390311</v>
      </c>
      <c r="H7" s="1615">
        <v>157390311</v>
      </c>
      <c r="I7" s="2535">
        <v>209554386</v>
      </c>
      <c r="J7" s="1615">
        <v>189051728</v>
      </c>
      <c r="K7" s="1618">
        <v>177375004</v>
      </c>
      <c r="L7" s="370"/>
      <c r="Q7" s="252"/>
      <c r="R7" s="253"/>
    </row>
    <row r="8" spans="1:18" ht="11.25" customHeight="1">
      <c r="A8" s="1551" t="s">
        <v>335</v>
      </c>
      <c r="B8" s="1188"/>
      <c r="C8" s="1053">
        <v>11203830</v>
      </c>
      <c r="D8" s="1616">
        <v>25851470</v>
      </c>
      <c r="E8" s="1616">
        <v>5388269</v>
      </c>
      <c r="F8" s="2535">
        <v>16388026</v>
      </c>
      <c r="G8" s="1615">
        <v>35514013</v>
      </c>
      <c r="H8" s="1615">
        <v>35514013</v>
      </c>
      <c r="I8" s="2535">
        <v>13902515</v>
      </c>
      <c r="J8" s="1615">
        <v>6295118</v>
      </c>
      <c r="K8" s="1618">
        <v>6689977</v>
      </c>
      <c r="L8" s="370"/>
      <c r="Q8" s="252"/>
      <c r="R8" s="253"/>
    </row>
    <row r="9" spans="1:18" ht="11.25" customHeight="1">
      <c r="A9" s="1330" t="s">
        <v>143</v>
      </c>
      <c r="B9" s="1188"/>
      <c r="C9" s="1620">
        <v>5584224</v>
      </c>
      <c r="D9" s="1621">
        <v>8309971</v>
      </c>
      <c r="E9" s="1621">
        <v>8572012</v>
      </c>
      <c r="F9" s="2536">
        <v>192533735</v>
      </c>
      <c r="G9" s="1620">
        <v>193755784</v>
      </c>
      <c r="H9" s="1620">
        <v>193755784</v>
      </c>
      <c r="I9" s="2536">
        <f>205831034+8311365</f>
        <v>214142399</v>
      </c>
      <c r="J9" s="1620">
        <f>214729853+5674340</f>
        <v>220404193</v>
      </c>
      <c r="K9" s="1623">
        <f>231142361+2694076</f>
        <v>233836437</v>
      </c>
      <c r="L9" s="370"/>
      <c r="Q9" s="252"/>
      <c r="R9" s="253"/>
    </row>
    <row r="10" spans="1:18" ht="11.25" customHeight="1">
      <c r="A10" s="1330" t="s">
        <v>144</v>
      </c>
      <c r="B10" s="1188"/>
      <c r="C10" s="1111">
        <f>SUM(C11:C14)</f>
        <v>2538297</v>
      </c>
      <c r="D10" s="1111">
        <f t="shared" ref="D10:K10" si="2">SUM(D11:D14)</f>
        <v>4877879</v>
      </c>
      <c r="E10" s="1424">
        <f t="shared" si="2"/>
        <v>2127949</v>
      </c>
      <c r="F10" s="1112">
        <f t="shared" si="2"/>
        <v>3257202</v>
      </c>
      <c r="G10" s="1111">
        <f t="shared" si="2"/>
        <v>3952661</v>
      </c>
      <c r="H10" s="1148">
        <f t="shared" si="2"/>
        <v>3952661</v>
      </c>
      <c r="I10" s="1425">
        <f t="shared" si="2"/>
        <v>4139556</v>
      </c>
      <c r="J10" s="1111">
        <f t="shared" si="2"/>
        <v>4345034</v>
      </c>
      <c r="K10" s="1148">
        <f t="shared" si="2"/>
        <v>4510352</v>
      </c>
      <c r="L10" s="370"/>
      <c r="Q10" s="252"/>
      <c r="R10" s="253"/>
    </row>
    <row r="11" spans="1:18" ht="11.25" customHeight="1">
      <c r="A11" s="1551" t="s">
        <v>336</v>
      </c>
      <c r="B11" s="1188"/>
      <c r="C11" s="1053">
        <v>1365497</v>
      </c>
      <c r="D11" s="1616">
        <v>1050554</v>
      </c>
      <c r="E11" s="1616">
        <v>697172</v>
      </c>
      <c r="F11" s="2535">
        <v>1332000</v>
      </c>
      <c r="G11" s="1615">
        <v>1447655</v>
      </c>
      <c r="H11" s="1615">
        <v>1447655</v>
      </c>
      <c r="I11" s="2535">
        <v>1503490</v>
      </c>
      <c r="J11" s="1615">
        <v>1576679</v>
      </c>
      <c r="K11" s="1618">
        <v>1595865</v>
      </c>
      <c r="L11" s="370"/>
      <c r="Q11" s="252"/>
      <c r="R11" s="253"/>
    </row>
    <row r="12" spans="1:18" ht="11.25" customHeight="1">
      <c r="A12" s="1551" t="s">
        <v>337</v>
      </c>
      <c r="B12" s="1188"/>
      <c r="C12" s="1053">
        <v>0</v>
      </c>
      <c r="D12" s="1616">
        <v>6798</v>
      </c>
      <c r="E12" s="1616">
        <v>55483</v>
      </c>
      <c r="F12" s="2535">
        <v>0</v>
      </c>
      <c r="G12" s="1615">
        <v>37369</v>
      </c>
      <c r="H12" s="1615">
        <v>37369</v>
      </c>
      <c r="I12" s="2535">
        <v>39237</v>
      </c>
      <c r="J12" s="1615">
        <v>41199</v>
      </c>
      <c r="K12" s="1618">
        <v>43259</v>
      </c>
      <c r="L12" s="370"/>
      <c r="Q12" s="252"/>
      <c r="R12" s="253"/>
    </row>
    <row r="13" spans="1:18" ht="11.25" customHeight="1">
      <c r="A13" s="1551" t="s">
        <v>1065</v>
      </c>
      <c r="B13" s="1188"/>
      <c r="C13" s="1049">
        <v>728753</v>
      </c>
      <c r="D13" s="1616">
        <v>3420467</v>
      </c>
      <c r="E13" s="1616">
        <v>1328498</v>
      </c>
      <c r="F13" s="1617">
        <v>1259812</v>
      </c>
      <c r="G13" s="1615">
        <v>1746201</v>
      </c>
      <c r="H13" s="1615">
        <v>1746201</v>
      </c>
      <c r="I13" s="2535">
        <v>1839369</v>
      </c>
      <c r="J13" s="1615">
        <v>1931824</v>
      </c>
      <c r="K13" s="1618">
        <v>2031794</v>
      </c>
      <c r="L13" s="370"/>
      <c r="Q13" s="252"/>
      <c r="R13" s="253"/>
    </row>
    <row r="14" spans="1:18" ht="11.25" customHeight="1">
      <c r="A14" s="1551" t="s">
        <v>1066</v>
      </c>
      <c r="B14" s="1188"/>
      <c r="C14" s="1053">
        <v>444047</v>
      </c>
      <c r="D14" s="1616">
        <v>400060</v>
      </c>
      <c r="E14" s="1616">
        <v>46796</v>
      </c>
      <c r="F14" s="1617">
        <v>665390</v>
      </c>
      <c r="G14" s="1615">
        <v>721436</v>
      </c>
      <c r="H14" s="1615">
        <v>721436</v>
      </c>
      <c r="I14" s="2535">
        <v>757460</v>
      </c>
      <c r="J14" s="1615">
        <v>795332</v>
      </c>
      <c r="K14" s="1618">
        <v>839434</v>
      </c>
      <c r="L14" s="370"/>
      <c r="Q14" s="252"/>
      <c r="R14" s="253"/>
    </row>
    <row r="15" spans="1:18" ht="11.25" customHeight="1">
      <c r="A15" s="1271" t="s">
        <v>145</v>
      </c>
      <c r="B15" s="1188"/>
      <c r="C15" s="1338">
        <f>C16+C25+C26+C32+C33</f>
        <v>15164366</v>
      </c>
      <c r="D15" s="1338">
        <f t="shared" ref="D15:K15" si="3">D16+D25+D26+D32+D33</f>
        <v>11234355</v>
      </c>
      <c r="E15" s="1507">
        <f t="shared" si="3"/>
        <v>13828314</v>
      </c>
      <c r="F15" s="1342">
        <f t="shared" si="3"/>
        <v>18272795</v>
      </c>
      <c r="G15" s="1338">
        <f t="shared" si="3"/>
        <v>18223108</v>
      </c>
      <c r="H15" s="1508">
        <f t="shared" si="3"/>
        <v>18223108</v>
      </c>
      <c r="I15" s="1509">
        <f t="shared" si="3"/>
        <v>17589965</v>
      </c>
      <c r="J15" s="1338">
        <f t="shared" si="3"/>
        <v>18512355</v>
      </c>
      <c r="K15" s="1508">
        <f t="shared" si="3"/>
        <v>19325495</v>
      </c>
      <c r="L15" s="370"/>
      <c r="Q15" s="252"/>
      <c r="R15" s="253"/>
    </row>
    <row r="16" spans="1:18" ht="11.25" customHeight="1">
      <c r="A16" s="1330" t="s">
        <v>146</v>
      </c>
      <c r="B16" s="1188"/>
      <c r="C16" s="1139">
        <f>SUM(C17:C24)</f>
        <v>2204861</v>
      </c>
      <c r="D16" s="1139">
        <f t="shared" ref="D16:K16" si="4">SUM(D17:D24)</f>
        <v>2399411</v>
      </c>
      <c r="E16" s="1510">
        <f t="shared" si="4"/>
        <v>2884325</v>
      </c>
      <c r="F16" s="1140">
        <f t="shared" si="4"/>
        <v>3648655</v>
      </c>
      <c r="G16" s="1139">
        <f t="shared" si="4"/>
        <v>3123932</v>
      </c>
      <c r="H16" s="1511">
        <f t="shared" si="4"/>
        <v>3123932</v>
      </c>
      <c r="I16" s="1512">
        <f t="shared" si="4"/>
        <v>3812850</v>
      </c>
      <c r="J16" s="1139">
        <f t="shared" si="4"/>
        <v>3983077</v>
      </c>
      <c r="K16" s="1511">
        <f t="shared" si="4"/>
        <v>4031192</v>
      </c>
      <c r="L16" s="370"/>
      <c r="Q16" s="252"/>
      <c r="R16" s="253"/>
    </row>
    <row r="17" spans="1:18" ht="11.25" customHeight="1">
      <c r="A17" s="1551" t="s">
        <v>1655</v>
      </c>
      <c r="B17" s="1188"/>
      <c r="C17" s="1049">
        <v>511319</v>
      </c>
      <c r="D17" s="1616">
        <v>300677</v>
      </c>
      <c r="E17" s="1616">
        <v>394529</v>
      </c>
      <c r="F17" s="2535">
        <v>815581</v>
      </c>
      <c r="G17" s="1615">
        <v>829069</v>
      </c>
      <c r="H17" s="1615">
        <v>829069</v>
      </c>
      <c r="I17" s="2535">
        <v>825158</v>
      </c>
      <c r="J17" s="1615">
        <v>832911</v>
      </c>
      <c r="K17" s="1618">
        <v>839732</v>
      </c>
      <c r="L17" s="370"/>
      <c r="Q17" s="252"/>
      <c r="R17" s="253"/>
    </row>
    <row r="18" spans="1:18" ht="11.25" customHeight="1">
      <c r="A18" s="1551" t="s">
        <v>815</v>
      </c>
      <c r="B18" s="1188"/>
      <c r="C18" s="1053">
        <v>0</v>
      </c>
      <c r="D18" s="1616">
        <v>0</v>
      </c>
      <c r="E18" s="1616">
        <v>0</v>
      </c>
      <c r="F18" s="2535">
        <v>0</v>
      </c>
      <c r="G18" s="1615">
        <v>0</v>
      </c>
      <c r="H18" s="1615">
        <v>0</v>
      </c>
      <c r="I18" s="2535">
        <v>0</v>
      </c>
      <c r="J18" s="1615">
        <v>0</v>
      </c>
      <c r="K18" s="1618">
        <v>0</v>
      </c>
      <c r="L18" s="370"/>
      <c r="Q18" s="252"/>
      <c r="R18" s="253"/>
    </row>
    <row r="19" spans="1:18" ht="11.25" customHeight="1">
      <c r="A19" s="1551" t="s">
        <v>816</v>
      </c>
      <c r="B19" s="1188"/>
      <c r="C19" s="1049">
        <v>897631</v>
      </c>
      <c r="D19" s="1616">
        <v>1237308</v>
      </c>
      <c r="E19" s="1616">
        <v>1120234</v>
      </c>
      <c r="F19" s="2535">
        <v>1195330</v>
      </c>
      <c r="G19" s="1615">
        <v>1145313</v>
      </c>
      <c r="H19" s="1615">
        <v>1145313</v>
      </c>
      <c r="I19" s="2535">
        <v>1261005</v>
      </c>
      <c r="J19" s="1615">
        <v>1329610</v>
      </c>
      <c r="K19" s="1618">
        <v>1400079</v>
      </c>
      <c r="L19" s="370"/>
      <c r="Q19" s="252"/>
      <c r="R19" s="253"/>
    </row>
    <row r="20" spans="1:18" ht="11.25" customHeight="1">
      <c r="A20" s="1551" t="s">
        <v>817</v>
      </c>
      <c r="B20" s="1188"/>
      <c r="C20" s="1049">
        <v>749595</v>
      </c>
      <c r="D20" s="1616">
        <v>817555</v>
      </c>
      <c r="E20" s="1616">
        <v>1343456</v>
      </c>
      <c r="F20" s="2535">
        <v>1421190</v>
      </c>
      <c r="G20" s="1615">
        <v>1090190</v>
      </c>
      <c r="H20" s="1615">
        <v>1090190</v>
      </c>
      <c r="I20" s="2535">
        <v>1499300</v>
      </c>
      <c r="J20" s="1615">
        <v>1581800</v>
      </c>
      <c r="K20" s="1618">
        <v>1539972</v>
      </c>
      <c r="L20" s="370"/>
      <c r="Q20" s="252"/>
      <c r="R20" s="253"/>
    </row>
    <row r="21" spans="1:18" ht="11.25" customHeight="1">
      <c r="A21" s="1551" t="s">
        <v>1656</v>
      </c>
      <c r="B21" s="1188"/>
      <c r="C21" s="1053">
        <v>0</v>
      </c>
      <c r="D21" s="1616">
        <v>0</v>
      </c>
      <c r="E21" s="1616">
        <v>0</v>
      </c>
      <c r="F21" s="2535">
        <v>0</v>
      </c>
      <c r="G21" s="1615">
        <v>0</v>
      </c>
      <c r="H21" s="1615">
        <v>0</v>
      </c>
      <c r="I21" s="2535">
        <v>0</v>
      </c>
      <c r="J21" s="1615">
        <v>0</v>
      </c>
      <c r="K21" s="1618">
        <v>0</v>
      </c>
      <c r="L21" s="370"/>
      <c r="Q21" s="252"/>
      <c r="R21" s="253"/>
    </row>
    <row r="22" spans="1:18" ht="11.25" customHeight="1">
      <c r="A22" s="1551" t="s">
        <v>1657</v>
      </c>
      <c r="B22" s="1188"/>
      <c r="C22" s="1053">
        <v>0</v>
      </c>
      <c r="D22" s="1616">
        <v>0</v>
      </c>
      <c r="E22" s="1616">
        <v>0</v>
      </c>
      <c r="F22" s="2535">
        <v>0</v>
      </c>
      <c r="G22" s="1615">
        <v>0</v>
      </c>
      <c r="H22" s="1615">
        <v>0</v>
      </c>
      <c r="I22" s="2535">
        <v>0</v>
      </c>
      <c r="J22" s="1615">
        <v>0</v>
      </c>
      <c r="K22" s="1618">
        <v>0</v>
      </c>
      <c r="L22" s="370"/>
      <c r="Q22" s="252"/>
      <c r="R22" s="253"/>
    </row>
    <row r="23" spans="1:18" ht="11.25" customHeight="1">
      <c r="A23" s="1551" t="s">
        <v>1658</v>
      </c>
      <c r="B23" s="1188"/>
      <c r="C23" s="1053">
        <v>46316</v>
      </c>
      <c r="D23" s="1616">
        <v>43871</v>
      </c>
      <c r="E23" s="1616">
        <v>26106</v>
      </c>
      <c r="F23" s="2535">
        <v>216554</v>
      </c>
      <c r="G23" s="1615">
        <v>59360</v>
      </c>
      <c r="H23" s="1615">
        <v>59360</v>
      </c>
      <c r="I23" s="2535">
        <v>227387</v>
      </c>
      <c r="J23" s="1615">
        <v>238756</v>
      </c>
      <c r="K23" s="1618">
        <v>251409</v>
      </c>
      <c r="L23" s="370"/>
      <c r="Q23" s="252"/>
      <c r="R23" s="253"/>
    </row>
    <row r="24" spans="1:18" ht="11.25" customHeight="1">
      <c r="A24" s="1551" t="s">
        <v>1659</v>
      </c>
      <c r="B24" s="1188"/>
      <c r="C24" s="1053">
        <v>0</v>
      </c>
      <c r="D24" s="1616">
        <v>0</v>
      </c>
      <c r="E24" s="1616">
        <v>0</v>
      </c>
      <c r="F24" s="2535">
        <v>0</v>
      </c>
      <c r="G24" s="1615">
        <v>0</v>
      </c>
      <c r="H24" s="1615">
        <v>0</v>
      </c>
      <c r="I24" s="2535">
        <v>0</v>
      </c>
      <c r="J24" s="1615">
        <v>0</v>
      </c>
      <c r="K24" s="1618">
        <v>0</v>
      </c>
      <c r="L24" s="370"/>
      <c r="Q24" s="252"/>
      <c r="R24" s="253"/>
    </row>
    <row r="25" spans="1:18" ht="11.25" customHeight="1">
      <c r="A25" s="1330" t="s">
        <v>147</v>
      </c>
      <c r="B25" s="1188"/>
      <c r="C25" s="1053">
        <v>332298</v>
      </c>
      <c r="D25" s="1616">
        <v>1186877</v>
      </c>
      <c r="E25" s="1616">
        <v>1266157</v>
      </c>
      <c r="F25" s="2535">
        <v>1300700</v>
      </c>
      <c r="G25" s="1615">
        <v>1217088</v>
      </c>
      <c r="H25" s="1615">
        <v>1217088</v>
      </c>
      <c r="I25" s="2535">
        <v>1322500</v>
      </c>
      <c r="J25" s="1615">
        <v>1346100</v>
      </c>
      <c r="K25" s="1618">
        <v>1369743</v>
      </c>
      <c r="L25" s="370"/>
      <c r="Q25" s="252"/>
      <c r="R25" s="253"/>
    </row>
    <row r="26" spans="1:18" ht="11.25" customHeight="1">
      <c r="A26" s="1330" t="s">
        <v>148</v>
      </c>
      <c r="B26" s="1188"/>
      <c r="C26" s="1139">
        <f>SUM(C27:C31)</f>
        <v>6446073</v>
      </c>
      <c r="D26" s="1139">
        <f t="shared" ref="D26:K26" si="5">SUM(D27:D31)</f>
        <v>5308764</v>
      </c>
      <c r="E26" s="1510">
        <f t="shared" si="5"/>
        <v>7213230</v>
      </c>
      <c r="F26" s="1140">
        <f t="shared" si="5"/>
        <v>10460929</v>
      </c>
      <c r="G26" s="1139">
        <f t="shared" si="5"/>
        <v>11019577</v>
      </c>
      <c r="H26" s="1511">
        <f t="shared" si="5"/>
        <v>11019577</v>
      </c>
      <c r="I26" s="1512">
        <f t="shared" si="5"/>
        <v>9464254</v>
      </c>
      <c r="J26" s="1139">
        <f t="shared" si="5"/>
        <v>10042910</v>
      </c>
      <c r="K26" s="1511">
        <f t="shared" si="5"/>
        <v>10608443</v>
      </c>
      <c r="L26" s="370"/>
      <c r="Q26" s="252"/>
      <c r="R26" s="253"/>
    </row>
    <row r="27" spans="1:18" ht="11.25" customHeight="1">
      <c r="A27" s="1551" t="s">
        <v>1660</v>
      </c>
      <c r="B27" s="1188"/>
      <c r="C27" s="1049">
        <v>1609426</v>
      </c>
      <c r="D27" s="1616">
        <v>2860754</v>
      </c>
      <c r="E27" s="1616">
        <v>6924357</v>
      </c>
      <c r="F27" s="2535">
        <v>7828069</v>
      </c>
      <c r="G27" s="1615">
        <v>8178237</v>
      </c>
      <c r="H27" s="1615">
        <v>8178237</v>
      </c>
      <c r="I27" s="2535">
        <v>9284754</v>
      </c>
      <c r="J27" s="1615">
        <v>9769370</v>
      </c>
      <c r="K27" s="1618">
        <v>10279963</v>
      </c>
      <c r="L27" s="370"/>
      <c r="Q27" s="252"/>
      <c r="R27" s="253"/>
    </row>
    <row r="28" spans="1:18" ht="11.25" customHeight="1">
      <c r="A28" s="1551" t="s">
        <v>1526</v>
      </c>
      <c r="B28" s="1188"/>
      <c r="C28" s="1049">
        <v>1932995</v>
      </c>
      <c r="D28" s="1616">
        <v>2448010</v>
      </c>
      <c r="E28" s="1616">
        <v>288873</v>
      </c>
      <c r="F28" s="2535">
        <v>2632860</v>
      </c>
      <c r="G28" s="1615">
        <v>2841340</v>
      </c>
      <c r="H28" s="1615">
        <v>2841340</v>
      </c>
      <c r="I28" s="2535">
        <v>179500</v>
      </c>
      <c r="J28" s="1615">
        <v>273540</v>
      </c>
      <c r="K28" s="1618">
        <v>328480</v>
      </c>
      <c r="L28" s="370"/>
      <c r="Q28" s="252"/>
      <c r="R28" s="253"/>
    </row>
    <row r="29" spans="1:18" ht="11.25" customHeight="1">
      <c r="A29" s="1551" t="s">
        <v>796</v>
      </c>
      <c r="B29" s="1188"/>
      <c r="C29" s="1053">
        <v>0</v>
      </c>
      <c r="D29" s="1616">
        <v>0</v>
      </c>
      <c r="E29" s="1616">
        <v>0</v>
      </c>
      <c r="F29" s="2535">
        <v>0</v>
      </c>
      <c r="G29" s="1615">
        <v>0</v>
      </c>
      <c r="H29" s="1615">
        <v>0</v>
      </c>
      <c r="I29" s="2535">
        <v>0</v>
      </c>
      <c r="J29" s="1615">
        <v>0</v>
      </c>
      <c r="K29" s="1618">
        <v>0</v>
      </c>
      <c r="L29" s="370"/>
      <c r="Q29" s="252"/>
      <c r="R29" s="253"/>
    </row>
    <row r="30" spans="1:18" ht="11.25" customHeight="1">
      <c r="A30" s="1551" t="s">
        <v>137</v>
      </c>
      <c r="B30" s="1188"/>
      <c r="C30" s="1053">
        <v>2903652</v>
      </c>
      <c r="D30" s="1616">
        <v>0</v>
      </c>
      <c r="E30" s="1616">
        <v>0</v>
      </c>
      <c r="F30" s="2535">
        <v>0</v>
      </c>
      <c r="G30" s="1615">
        <v>0</v>
      </c>
      <c r="H30" s="1615">
        <v>0</v>
      </c>
      <c r="I30" s="2535">
        <v>0</v>
      </c>
      <c r="J30" s="1615">
        <v>0</v>
      </c>
      <c r="K30" s="1618">
        <v>0</v>
      </c>
      <c r="L30" s="370"/>
      <c r="Q30" s="252"/>
      <c r="R30" s="253"/>
    </row>
    <row r="31" spans="1:18" ht="11.25" customHeight="1">
      <c r="A31" s="1551" t="s">
        <v>293</v>
      </c>
      <c r="B31" s="1188"/>
      <c r="C31" s="1053">
        <v>0</v>
      </c>
      <c r="D31" s="1616">
        <v>0</v>
      </c>
      <c r="E31" s="1616">
        <v>0</v>
      </c>
      <c r="F31" s="2535">
        <v>0</v>
      </c>
      <c r="G31" s="1615">
        <v>0</v>
      </c>
      <c r="H31" s="1615">
        <v>0</v>
      </c>
      <c r="I31" s="2535">
        <v>0</v>
      </c>
      <c r="J31" s="1615">
        <v>0</v>
      </c>
      <c r="K31" s="1618">
        <v>0</v>
      </c>
      <c r="L31" s="370"/>
      <c r="Q31" s="252"/>
      <c r="R31" s="253"/>
    </row>
    <row r="32" spans="1:18" ht="11.25" customHeight="1">
      <c r="A32" s="1330" t="s">
        <v>1718</v>
      </c>
      <c r="B32" s="1188"/>
      <c r="C32" s="1049">
        <v>6180014</v>
      </c>
      <c r="D32" s="1625">
        <v>2333406</v>
      </c>
      <c r="E32" s="1625">
        <v>2463482</v>
      </c>
      <c r="F32" s="2536">
        <v>2860811</v>
      </c>
      <c r="G32" s="1624">
        <v>2860811</v>
      </c>
      <c r="H32" s="1624">
        <v>2860811</v>
      </c>
      <c r="I32" s="1627">
        <v>2988574</v>
      </c>
      <c r="J32" s="1624">
        <v>3138392</v>
      </c>
      <c r="K32" s="1626">
        <v>3314142</v>
      </c>
      <c r="L32" s="370"/>
      <c r="Q32" s="252"/>
      <c r="R32" s="253"/>
    </row>
    <row r="33" spans="1:18" ht="11.25" customHeight="1">
      <c r="A33" s="1330" t="s">
        <v>1798</v>
      </c>
      <c r="B33" s="1188"/>
      <c r="C33" s="1139">
        <f>SUM(C34:C36)</f>
        <v>1120</v>
      </c>
      <c r="D33" s="1139">
        <f t="shared" ref="D33:K33" si="6">SUM(D34:D36)</f>
        <v>5897</v>
      </c>
      <c r="E33" s="1510">
        <f t="shared" si="6"/>
        <v>1120</v>
      </c>
      <c r="F33" s="1140">
        <f t="shared" si="6"/>
        <v>1700</v>
      </c>
      <c r="G33" s="1139">
        <f t="shared" si="6"/>
        <v>1700</v>
      </c>
      <c r="H33" s="1511">
        <f t="shared" si="6"/>
        <v>1700</v>
      </c>
      <c r="I33" s="1512">
        <f t="shared" si="6"/>
        <v>1787</v>
      </c>
      <c r="J33" s="1139">
        <f t="shared" si="6"/>
        <v>1876</v>
      </c>
      <c r="K33" s="1511">
        <f t="shared" si="6"/>
        <v>1975</v>
      </c>
      <c r="L33" s="370"/>
      <c r="Q33" s="252"/>
      <c r="R33" s="253"/>
    </row>
    <row r="34" spans="1:18" ht="11.25" customHeight="1">
      <c r="A34" s="1551" t="s">
        <v>1285</v>
      </c>
      <c r="B34" s="1188"/>
      <c r="C34" s="1049">
        <v>1120</v>
      </c>
      <c r="D34" s="1616">
        <v>5897</v>
      </c>
      <c r="E34" s="1616">
        <v>1120</v>
      </c>
      <c r="F34" s="2535">
        <v>1700</v>
      </c>
      <c r="G34" s="1615">
        <v>1700</v>
      </c>
      <c r="H34" s="1615">
        <v>1700</v>
      </c>
      <c r="I34" s="2535">
        <v>1787</v>
      </c>
      <c r="J34" s="1615">
        <v>1876</v>
      </c>
      <c r="K34" s="1618">
        <v>1975</v>
      </c>
      <c r="L34" s="370"/>
      <c r="Q34" s="252"/>
      <c r="R34" s="253"/>
    </row>
    <row r="35" spans="1:18" ht="11.25" customHeight="1">
      <c r="A35" s="1551" t="s">
        <v>630</v>
      </c>
      <c r="B35" s="1188"/>
      <c r="C35" s="1053"/>
      <c r="D35" s="1616">
        <v>0</v>
      </c>
      <c r="E35" s="1616">
        <v>0</v>
      </c>
      <c r="F35" s="2535">
        <v>0</v>
      </c>
      <c r="G35" s="1615">
        <v>0</v>
      </c>
      <c r="H35" s="1615">
        <v>0</v>
      </c>
      <c r="I35" s="2535">
        <v>0</v>
      </c>
      <c r="J35" s="1615">
        <v>0</v>
      </c>
      <c r="K35" s="1618">
        <v>0</v>
      </c>
      <c r="L35" s="370"/>
      <c r="Q35" s="252"/>
      <c r="R35" s="253"/>
    </row>
    <row r="36" spans="1:18" ht="11.25" customHeight="1">
      <c r="A36" s="1551" t="s">
        <v>631</v>
      </c>
      <c r="B36" s="1188"/>
      <c r="C36" s="1053">
        <v>0</v>
      </c>
      <c r="D36" s="1616">
        <v>0</v>
      </c>
      <c r="E36" s="1616">
        <v>0</v>
      </c>
      <c r="F36" s="2535">
        <v>0</v>
      </c>
      <c r="G36" s="1615">
        <v>0</v>
      </c>
      <c r="H36" s="1615">
        <v>0</v>
      </c>
      <c r="I36" s="2535">
        <v>0</v>
      </c>
      <c r="J36" s="1615">
        <v>0</v>
      </c>
      <c r="K36" s="1618">
        <v>0</v>
      </c>
      <c r="L36" s="370"/>
      <c r="Q36" s="252"/>
      <c r="R36" s="253"/>
    </row>
    <row r="37" spans="1:18" ht="11.25" customHeight="1">
      <c r="A37" s="1271" t="s">
        <v>149</v>
      </c>
      <c r="B37" s="1130"/>
      <c r="C37" s="1338">
        <f>C38+C42+C48</f>
        <v>154384081</v>
      </c>
      <c r="D37" s="1338">
        <f t="shared" ref="D37:K37" si="7">D38+D42+D48</f>
        <v>101633840</v>
      </c>
      <c r="E37" s="1507">
        <f t="shared" si="7"/>
        <v>58074045</v>
      </c>
      <c r="F37" s="1342">
        <f t="shared" si="7"/>
        <v>144323650</v>
      </c>
      <c r="G37" s="1338">
        <f t="shared" si="7"/>
        <v>115644261</v>
      </c>
      <c r="H37" s="1508">
        <f t="shared" si="7"/>
        <v>115644261</v>
      </c>
      <c r="I37" s="1509">
        <f t="shared" si="7"/>
        <v>168110184</v>
      </c>
      <c r="J37" s="1338">
        <f t="shared" si="7"/>
        <v>110896671</v>
      </c>
      <c r="K37" s="1508">
        <f t="shared" si="7"/>
        <v>63364299</v>
      </c>
      <c r="L37" s="370"/>
      <c r="Q37" s="252"/>
      <c r="R37" s="253"/>
    </row>
    <row r="38" spans="1:18" ht="11.25" customHeight="1">
      <c r="A38" s="1330" t="s">
        <v>150</v>
      </c>
      <c r="B38" s="1130"/>
      <c r="C38" s="1139">
        <f>SUM(C39:C41)</f>
        <v>29754088</v>
      </c>
      <c r="D38" s="1139">
        <f t="shared" ref="D38:K38" si="8">SUM(D39:D41)</f>
        <v>28141024</v>
      </c>
      <c r="E38" s="1510">
        <f t="shared" si="8"/>
        <v>40493415</v>
      </c>
      <c r="F38" s="1140">
        <f t="shared" si="8"/>
        <v>128614483</v>
      </c>
      <c r="G38" s="1139">
        <f t="shared" si="8"/>
        <v>85674637</v>
      </c>
      <c r="H38" s="1511">
        <f t="shared" si="8"/>
        <v>85674637</v>
      </c>
      <c r="I38" s="1512">
        <f t="shared" si="8"/>
        <v>109188341</v>
      </c>
      <c r="J38" s="1139">
        <f t="shared" si="8"/>
        <v>60743477</v>
      </c>
      <c r="K38" s="1511">
        <f t="shared" si="8"/>
        <v>11122487</v>
      </c>
      <c r="L38" s="370"/>
      <c r="Q38" s="252"/>
      <c r="R38" s="253"/>
    </row>
    <row r="39" spans="1:18" ht="11.25" customHeight="1">
      <c r="A39" s="1551" t="s">
        <v>570</v>
      </c>
      <c r="B39" s="1130"/>
      <c r="C39" s="1053">
        <v>17105</v>
      </c>
      <c r="D39" s="1616">
        <v>7895</v>
      </c>
      <c r="E39" s="1616">
        <v>19298</v>
      </c>
      <c r="F39" s="2535">
        <v>372272</v>
      </c>
      <c r="G39" s="1615">
        <v>372275</v>
      </c>
      <c r="H39" s="1615">
        <v>372275</v>
      </c>
      <c r="I39" s="2535">
        <v>3415470</v>
      </c>
      <c r="J39" s="1615">
        <v>3589848</v>
      </c>
      <c r="K39" s="1618">
        <v>3726495</v>
      </c>
      <c r="L39" s="370"/>
      <c r="Q39" s="252"/>
      <c r="R39" s="253"/>
    </row>
    <row r="40" spans="1:18" ht="11.25" customHeight="1">
      <c r="A40" s="1551" t="s">
        <v>628</v>
      </c>
      <c r="B40" s="1130"/>
      <c r="C40" s="1049">
        <v>29736983</v>
      </c>
      <c r="D40" s="1616">
        <v>28133129</v>
      </c>
      <c r="E40" s="1616">
        <v>40474117</v>
      </c>
      <c r="F40" s="2535">
        <v>128242211</v>
      </c>
      <c r="G40" s="1615">
        <v>85302362</v>
      </c>
      <c r="H40" s="1615">
        <v>85302362</v>
      </c>
      <c r="I40" s="2535">
        <v>105772871</v>
      </c>
      <c r="J40" s="1615">
        <v>57153629</v>
      </c>
      <c r="K40" s="1618">
        <v>7395992</v>
      </c>
      <c r="L40" s="370"/>
      <c r="Q40" s="252"/>
      <c r="R40" s="253"/>
    </row>
    <row r="41" spans="1:18" ht="11.25" customHeight="1">
      <c r="A41" s="1551" t="s">
        <v>97</v>
      </c>
      <c r="B41" s="1130"/>
      <c r="C41" s="1053"/>
      <c r="D41" s="1616"/>
      <c r="E41" s="1616"/>
      <c r="F41" s="2535">
        <v>0</v>
      </c>
      <c r="G41" s="1615">
        <v>0</v>
      </c>
      <c r="H41" s="1615">
        <v>0</v>
      </c>
      <c r="I41" s="2535">
        <v>0</v>
      </c>
      <c r="J41" s="1615">
        <v>0</v>
      </c>
      <c r="K41" s="1618">
        <v>0</v>
      </c>
      <c r="L41" s="370"/>
      <c r="Q41" s="252"/>
      <c r="R41" s="253"/>
    </row>
    <row r="42" spans="1:18" ht="11.25" customHeight="1">
      <c r="A42" s="1330" t="s">
        <v>151</v>
      </c>
      <c r="B42" s="1130"/>
      <c r="C42" s="1139">
        <f>SUM(C43:C47)</f>
        <v>123328071</v>
      </c>
      <c r="D42" s="1139">
        <f t="shared" ref="D42:K42" si="9">SUM(D43:D47)</f>
        <v>73489965</v>
      </c>
      <c r="E42" s="1510">
        <f t="shared" si="9"/>
        <v>16906741</v>
      </c>
      <c r="F42" s="1140">
        <f t="shared" si="9"/>
        <v>15706167</v>
      </c>
      <c r="G42" s="1139">
        <f t="shared" si="9"/>
        <v>29605988</v>
      </c>
      <c r="H42" s="1511">
        <f t="shared" si="9"/>
        <v>29605988</v>
      </c>
      <c r="I42" s="1512">
        <f t="shared" si="9"/>
        <v>58918693</v>
      </c>
      <c r="J42" s="1139">
        <f t="shared" si="9"/>
        <v>50149886</v>
      </c>
      <c r="K42" s="1511">
        <f t="shared" si="9"/>
        <v>52238319</v>
      </c>
      <c r="L42" s="370"/>
      <c r="Q42" s="252"/>
      <c r="R42" s="253"/>
    </row>
    <row r="43" spans="1:18" ht="11.25" customHeight="1">
      <c r="A43" s="1551" t="s">
        <v>736</v>
      </c>
      <c r="B43" s="1130"/>
      <c r="C43" s="1049">
        <v>102013165</v>
      </c>
      <c r="D43" s="1616">
        <v>52468598</v>
      </c>
      <c r="E43" s="1616">
        <v>502524</v>
      </c>
      <c r="F43" s="2535">
        <v>530000</v>
      </c>
      <c r="G43" s="1615">
        <v>800817</v>
      </c>
      <c r="H43" s="1615">
        <v>800817</v>
      </c>
      <c r="I43" s="2535">
        <v>27403205</v>
      </c>
      <c r="J43" s="1615">
        <v>18347620</v>
      </c>
      <c r="K43" s="1618">
        <v>19088053</v>
      </c>
      <c r="L43" s="370"/>
      <c r="Q43" s="252"/>
      <c r="R43" s="253"/>
    </row>
    <row r="44" spans="1:18" ht="11.25" customHeight="1">
      <c r="A44" s="1551" t="s">
        <v>737</v>
      </c>
      <c r="B44" s="1130"/>
      <c r="C44" s="1053">
        <v>0</v>
      </c>
      <c r="D44" s="1616">
        <v>0</v>
      </c>
      <c r="E44" s="1616">
        <v>0</v>
      </c>
      <c r="F44" s="2535">
        <v>0</v>
      </c>
      <c r="G44" s="1615">
        <v>0</v>
      </c>
      <c r="H44" s="1615">
        <v>0</v>
      </c>
      <c r="I44" s="2535">
        <v>0</v>
      </c>
      <c r="J44" s="1615">
        <v>0</v>
      </c>
      <c r="K44" s="1618">
        <v>0</v>
      </c>
      <c r="L44" s="370"/>
      <c r="Q44" s="252"/>
      <c r="R44" s="253"/>
    </row>
    <row r="45" spans="1:18" ht="11.25" customHeight="1">
      <c r="A45" s="1551" t="s">
        <v>738</v>
      </c>
      <c r="B45" s="1130"/>
      <c r="C45" s="1053">
        <v>0</v>
      </c>
      <c r="D45" s="1616">
        <v>0</v>
      </c>
      <c r="E45" s="1616">
        <v>0</v>
      </c>
      <c r="F45" s="2535">
        <v>0</v>
      </c>
      <c r="G45" s="1615">
        <v>0</v>
      </c>
      <c r="H45" s="1615">
        <v>0</v>
      </c>
      <c r="I45" s="2535">
        <v>0</v>
      </c>
      <c r="J45" s="1615">
        <v>0</v>
      </c>
      <c r="K45" s="1618">
        <v>0</v>
      </c>
      <c r="L45" s="370"/>
      <c r="Q45" s="252"/>
      <c r="R45" s="253"/>
    </row>
    <row r="46" spans="1:18" ht="11.25" customHeight="1">
      <c r="A46" s="1551" t="s">
        <v>818</v>
      </c>
      <c r="B46" s="1130"/>
      <c r="C46" s="1049">
        <v>21314906</v>
      </c>
      <c r="D46" s="1616">
        <v>21021367</v>
      </c>
      <c r="E46" s="1616">
        <v>16404217</v>
      </c>
      <c r="F46" s="2535">
        <v>15176167</v>
      </c>
      <c r="G46" s="1615">
        <v>28805171</v>
      </c>
      <c r="H46" s="1615">
        <v>28805171</v>
      </c>
      <c r="I46" s="2535">
        <v>31515488</v>
      </c>
      <c r="J46" s="1615">
        <v>31802266</v>
      </c>
      <c r="K46" s="1618">
        <v>33150266</v>
      </c>
      <c r="L46" s="370"/>
      <c r="Q46" s="252"/>
      <c r="R46" s="253"/>
    </row>
    <row r="47" spans="1:18" ht="11.25" customHeight="1">
      <c r="A47" s="1551" t="s">
        <v>293</v>
      </c>
      <c r="B47" s="1130"/>
      <c r="C47" s="1053">
        <v>0</v>
      </c>
      <c r="D47" s="1616">
        <v>0</v>
      </c>
      <c r="E47" s="1616">
        <v>0</v>
      </c>
      <c r="F47" s="2535">
        <v>0</v>
      </c>
      <c r="G47" s="1615">
        <v>0</v>
      </c>
      <c r="H47" s="1615">
        <v>0</v>
      </c>
      <c r="I47" s="2535">
        <v>0</v>
      </c>
      <c r="J47" s="1615">
        <v>0</v>
      </c>
      <c r="K47" s="1618">
        <v>0</v>
      </c>
      <c r="L47" s="370"/>
      <c r="Q47" s="252"/>
      <c r="R47" s="253"/>
    </row>
    <row r="48" spans="1:18" ht="11.25" customHeight="1">
      <c r="A48" s="1330" t="s">
        <v>152</v>
      </c>
      <c r="B48" s="1130"/>
      <c r="C48" s="1139">
        <f>SUM(C49:C51)</f>
        <v>1301922</v>
      </c>
      <c r="D48" s="1139">
        <f t="shared" ref="D48:K48" si="10">SUM(D49:D51)</f>
        <v>2851</v>
      </c>
      <c r="E48" s="1510">
        <f t="shared" si="10"/>
        <v>673889</v>
      </c>
      <c r="F48" s="1140">
        <f t="shared" si="10"/>
        <v>3000</v>
      </c>
      <c r="G48" s="1139">
        <f t="shared" si="10"/>
        <v>363636</v>
      </c>
      <c r="H48" s="1511">
        <f t="shared" si="10"/>
        <v>363636</v>
      </c>
      <c r="I48" s="1512">
        <f t="shared" si="10"/>
        <v>3150</v>
      </c>
      <c r="J48" s="1139">
        <f t="shared" si="10"/>
        <v>3308</v>
      </c>
      <c r="K48" s="1511">
        <f t="shared" si="10"/>
        <v>3493</v>
      </c>
      <c r="L48" s="370"/>
      <c r="Q48" s="252"/>
      <c r="R48" s="253"/>
    </row>
    <row r="49" spans="1:18" ht="11.25" customHeight="1">
      <c r="A49" s="1551" t="s">
        <v>730</v>
      </c>
      <c r="B49" s="1130"/>
      <c r="C49" s="1049">
        <v>1301922</v>
      </c>
      <c r="D49" s="1049">
        <v>2851</v>
      </c>
      <c r="E49" s="1616">
        <v>673889</v>
      </c>
      <c r="F49" s="2535">
        <v>3000</v>
      </c>
      <c r="G49" s="1615">
        <v>363636</v>
      </c>
      <c r="H49" s="1615">
        <v>363636</v>
      </c>
      <c r="I49" s="2535">
        <v>3150</v>
      </c>
      <c r="J49" s="1615">
        <v>3308</v>
      </c>
      <c r="K49" s="1618">
        <v>3493</v>
      </c>
      <c r="L49" s="370"/>
      <c r="Q49" s="252"/>
      <c r="R49" s="253"/>
    </row>
    <row r="50" spans="1:18" ht="11.25" customHeight="1">
      <c r="A50" s="1551" t="s">
        <v>731</v>
      </c>
      <c r="B50" s="1130"/>
      <c r="C50" s="1615">
        <v>0</v>
      </c>
      <c r="D50" s="1616">
        <v>0</v>
      </c>
      <c r="E50" s="1616">
        <v>0</v>
      </c>
      <c r="F50" s="2535">
        <v>0</v>
      </c>
      <c r="G50" s="1615">
        <v>0</v>
      </c>
      <c r="H50" s="1615">
        <v>0</v>
      </c>
      <c r="I50" s="2535">
        <v>0</v>
      </c>
      <c r="J50" s="1615">
        <v>0</v>
      </c>
      <c r="K50" s="1618">
        <v>0</v>
      </c>
      <c r="L50" s="370"/>
      <c r="Q50" s="252"/>
      <c r="R50" s="253"/>
    </row>
    <row r="51" spans="1:18" ht="11.25" customHeight="1">
      <c r="A51" s="1551" t="s">
        <v>293</v>
      </c>
      <c r="B51" s="1130"/>
      <c r="C51" s="1615">
        <v>0</v>
      </c>
      <c r="D51" s="1616">
        <v>0</v>
      </c>
      <c r="E51" s="1616">
        <v>0</v>
      </c>
      <c r="F51" s="2535">
        <v>0</v>
      </c>
      <c r="G51" s="1615">
        <v>0</v>
      </c>
      <c r="H51" s="1615">
        <v>0</v>
      </c>
      <c r="I51" s="2535">
        <v>0</v>
      </c>
      <c r="J51" s="1615">
        <v>0</v>
      </c>
      <c r="K51" s="1618">
        <v>0</v>
      </c>
      <c r="L51" s="370"/>
      <c r="Q51" s="252"/>
      <c r="R51" s="253"/>
    </row>
    <row r="52" spans="1:18" ht="11.25" customHeight="1">
      <c r="A52" s="1271" t="s">
        <v>153</v>
      </c>
      <c r="B52" s="1130"/>
      <c r="C52" s="1338">
        <f>C53+C56+C59+C63</f>
        <v>1336103127</v>
      </c>
      <c r="D52" s="1338">
        <f t="shared" ref="D52:J52" si="11">D53+D56+D59+D63</f>
        <v>1598003415</v>
      </c>
      <c r="E52" s="1507">
        <f t="shared" si="11"/>
        <v>1729413103</v>
      </c>
      <c r="F52" s="1342">
        <f t="shared" si="11"/>
        <v>2133823600</v>
      </c>
      <c r="G52" s="1338">
        <f t="shared" si="11"/>
        <v>2230922317</v>
      </c>
      <c r="H52" s="1508">
        <f t="shared" si="11"/>
        <v>2230922317</v>
      </c>
      <c r="I52" s="1509">
        <f t="shared" si="11"/>
        <v>2101836530</v>
      </c>
      <c r="J52" s="1338">
        <f t="shared" si="11"/>
        <v>2284716852</v>
      </c>
      <c r="K52" s="1508">
        <f>K53+K56+K59+K63</f>
        <v>2567005770</v>
      </c>
      <c r="L52" s="370"/>
      <c r="Q52" s="252"/>
      <c r="R52" s="253"/>
    </row>
    <row r="53" spans="1:18" ht="11.25" customHeight="1">
      <c r="A53" s="1330" t="s">
        <v>654</v>
      </c>
      <c r="B53" s="1130"/>
      <c r="C53" s="1139">
        <f>SUM(C54:C55)</f>
        <v>912877214</v>
      </c>
      <c r="D53" s="1139">
        <f t="shared" ref="D53:K53" si="12">SUM(D54:D55)</f>
        <v>1038086650</v>
      </c>
      <c r="E53" s="1510">
        <f t="shared" si="12"/>
        <v>874167767</v>
      </c>
      <c r="F53" s="1140">
        <f t="shared" si="12"/>
        <v>1473358436</v>
      </c>
      <c r="G53" s="1139">
        <f t="shared" si="12"/>
        <v>1450565151</v>
      </c>
      <c r="H53" s="1511">
        <f t="shared" si="12"/>
        <v>1450565151</v>
      </c>
      <c r="I53" s="1512">
        <f t="shared" si="12"/>
        <v>1249232421</v>
      </c>
      <c r="J53" s="1139">
        <f t="shared" si="12"/>
        <v>1351037713</v>
      </c>
      <c r="K53" s="1511">
        <f t="shared" si="12"/>
        <v>1482144860</v>
      </c>
      <c r="L53" s="370"/>
      <c r="Q53" s="252"/>
      <c r="R53" s="253"/>
    </row>
    <row r="54" spans="1:18" ht="11.25" customHeight="1">
      <c r="A54" s="1551" t="s">
        <v>741</v>
      </c>
      <c r="B54" s="1130"/>
      <c r="C54" s="1049">
        <v>912877214</v>
      </c>
      <c r="D54" s="1049">
        <v>1038086650</v>
      </c>
      <c r="E54" s="1616">
        <v>874167767</v>
      </c>
      <c r="F54" s="2535">
        <v>1473358436</v>
      </c>
      <c r="G54" s="1615">
        <v>1450565151</v>
      </c>
      <c r="H54" s="1615">
        <v>1450565151</v>
      </c>
      <c r="I54" s="2535">
        <v>1249232421</v>
      </c>
      <c r="J54" s="1615">
        <v>1351037713</v>
      </c>
      <c r="K54" s="1618">
        <v>1482144860</v>
      </c>
      <c r="L54" s="370"/>
      <c r="Q54" s="252"/>
      <c r="R54" s="253"/>
    </row>
    <row r="55" spans="1:18" ht="11.25" customHeight="1">
      <c r="A55" s="1551" t="s">
        <v>94</v>
      </c>
      <c r="B55" s="1130"/>
      <c r="C55" s="1053"/>
      <c r="D55" s="1616"/>
      <c r="E55" s="1616"/>
      <c r="F55" s="2535">
        <v>0</v>
      </c>
      <c r="G55" s="1615">
        <v>0</v>
      </c>
      <c r="H55" s="1615">
        <v>0</v>
      </c>
      <c r="I55" s="2535">
        <v>0</v>
      </c>
      <c r="J55" s="1615">
        <v>0</v>
      </c>
      <c r="K55" s="1618">
        <v>0</v>
      </c>
      <c r="L55" s="370"/>
      <c r="Q55" s="252"/>
      <c r="R55" s="253"/>
    </row>
    <row r="56" spans="1:18" ht="11.25" customHeight="1">
      <c r="A56" s="1330" t="s">
        <v>956</v>
      </c>
      <c r="B56" s="1130"/>
      <c r="C56" s="1139">
        <f>SUM(C57:C58)</f>
        <v>234316423</v>
      </c>
      <c r="D56" s="1139">
        <f t="shared" ref="D56:K56" si="13">SUM(D57:D58)</f>
        <v>340711610</v>
      </c>
      <c r="E56" s="1510">
        <f t="shared" si="13"/>
        <v>396683810</v>
      </c>
      <c r="F56" s="1140">
        <f t="shared" si="13"/>
        <v>434510481</v>
      </c>
      <c r="G56" s="1139">
        <f t="shared" si="13"/>
        <v>473422513.96370083</v>
      </c>
      <c r="H56" s="1511">
        <f t="shared" si="13"/>
        <v>473422513.96370083</v>
      </c>
      <c r="I56" s="1512">
        <f t="shared" si="13"/>
        <v>491160943</v>
      </c>
      <c r="J56" s="1139">
        <f t="shared" si="13"/>
        <v>534557064</v>
      </c>
      <c r="K56" s="1511">
        <f t="shared" si="13"/>
        <v>607892232</v>
      </c>
      <c r="L56" s="370"/>
      <c r="Q56" s="252"/>
      <c r="R56" s="253"/>
    </row>
    <row r="57" spans="1:18" ht="11.25" customHeight="1">
      <c r="A57" s="1551" t="s">
        <v>739</v>
      </c>
      <c r="B57" s="1130"/>
      <c r="C57" s="1049">
        <v>234316423</v>
      </c>
      <c r="D57" s="1049">
        <v>340711610</v>
      </c>
      <c r="E57" s="1616">
        <v>396683810</v>
      </c>
      <c r="F57" s="2535">
        <f>434510481+'[5]Fin performance'!$G$8</f>
        <v>434510481</v>
      </c>
      <c r="G57" s="1615">
        <v>473422513.96370083</v>
      </c>
      <c r="H57" s="1615">
        <v>473422513.96370083</v>
      </c>
      <c r="I57" s="2535">
        <v>491160943</v>
      </c>
      <c r="J57" s="1615">
        <v>534557064</v>
      </c>
      <c r="K57" s="1618">
        <v>607892232</v>
      </c>
      <c r="L57" s="370"/>
      <c r="Q57" s="252"/>
      <c r="R57" s="253"/>
    </row>
    <row r="58" spans="1:18" ht="11.25" customHeight="1">
      <c r="A58" s="1551" t="s">
        <v>740</v>
      </c>
      <c r="B58" s="1130"/>
      <c r="C58" s="1053"/>
      <c r="D58" s="1616"/>
      <c r="E58" s="1616"/>
      <c r="F58" s="2535">
        <v>0</v>
      </c>
      <c r="G58" s="1615">
        <v>0</v>
      </c>
      <c r="H58" s="1615">
        <v>0</v>
      </c>
      <c r="I58" s="2535">
        <v>0</v>
      </c>
      <c r="J58" s="1615">
        <v>0</v>
      </c>
      <c r="K58" s="1618">
        <v>0</v>
      </c>
      <c r="L58" s="370"/>
      <c r="Q58" s="252"/>
      <c r="R58" s="253"/>
    </row>
    <row r="59" spans="1:18" ht="11.25" customHeight="1">
      <c r="A59" s="1330" t="s">
        <v>1133</v>
      </c>
      <c r="B59" s="1130"/>
      <c r="C59" s="1139">
        <f>SUM(C60:C62)</f>
        <v>112219792</v>
      </c>
      <c r="D59" s="1139">
        <f t="shared" ref="D59:K59" si="14">SUM(D60:D62)</f>
        <v>124181244</v>
      </c>
      <c r="E59" s="1510">
        <f t="shared" si="14"/>
        <v>351028715</v>
      </c>
      <c r="F59" s="1140">
        <f t="shared" si="14"/>
        <v>106798330</v>
      </c>
      <c r="G59" s="1139">
        <f t="shared" si="14"/>
        <v>193751923.03629917</v>
      </c>
      <c r="H59" s="1511">
        <f t="shared" si="14"/>
        <v>193751923.03629917</v>
      </c>
      <c r="I59" s="1512">
        <f t="shared" si="14"/>
        <v>234481543</v>
      </c>
      <c r="J59" s="1139">
        <f t="shared" si="14"/>
        <v>256067225</v>
      </c>
      <c r="K59" s="1511">
        <f t="shared" si="14"/>
        <v>314037759</v>
      </c>
      <c r="L59" s="370"/>
      <c r="Q59" s="252"/>
      <c r="R59" s="253"/>
    </row>
    <row r="60" spans="1:18" ht="11.25" customHeight="1">
      <c r="A60" s="1551" t="s">
        <v>733</v>
      </c>
      <c r="B60" s="1130"/>
      <c r="C60" s="1049">
        <v>112219792</v>
      </c>
      <c r="D60" s="1049">
        <v>124181244</v>
      </c>
      <c r="E60" s="1616">
        <v>351028715</v>
      </c>
      <c r="F60" s="2535">
        <f>106798330+'[5]Fin performance'!$G$9</f>
        <v>106798330</v>
      </c>
      <c r="G60" s="1615">
        <v>193751923.03629917</v>
      </c>
      <c r="H60" s="1615">
        <v>193751923.03629917</v>
      </c>
      <c r="I60" s="2535">
        <v>234481543</v>
      </c>
      <c r="J60" s="1615">
        <v>256067225</v>
      </c>
      <c r="K60" s="1618">
        <v>314037759</v>
      </c>
      <c r="L60" s="370"/>
      <c r="Q60" s="252"/>
      <c r="R60" s="253"/>
    </row>
    <row r="61" spans="1:18" ht="11.25" customHeight="1">
      <c r="A61" s="1551" t="s">
        <v>734</v>
      </c>
      <c r="B61" s="1130"/>
      <c r="C61" s="1053"/>
      <c r="D61" s="1616"/>
      <c r="E61" s="1616"/>
      <c r="F61" s="2535">
        <v>0</v>
      </c>
      <c r="G61" s="1615">
        <v>0</v>
      </c>
      <c r="H61" s="1615">
        <v>0</v>
      </c>
      <c r="I61" s="2535">
        <v>0</v>
      </c>
      <c r="J61" s="1615">
        <v>0</v>
      </c>
      <c r="K61" s="1618">
        <v>0</v>
      </c>
      <c r="L61" s="370"/>
      <c r="Q61" s="252"/>
      <c r="R61" s="253"/>
    </row>
    <row r="62" spans="1:18" ht="11.25" customHeight="1">
      <c r="A62" s="1551" t="s">
        <v>735</v>
      </c>
      <c r="B62" s="1130"/>
      <c r="C62" s="1053"/>
      <c r="D62" s="1616"/>
      <c r="E62" s="1616"/>
      <c r="F62" s="2535">
        <v>0</v>
      </c>
      <c r="G62" s="1615">
        <v>0</v>
      </c>
      <c r="H62" s="1615">
        <v>0</v>
      </c>
      <c r="I62" s="2535">
        <v>0</v>
      </c>
      <c r="J62" s="1615">
        <v>0</v>
      </c>
      <c r="K62" s="1618">
        <v>0</v>
      </c>
      <c r="L62" s="370"/>
      <c r="Q62" s="252"/>
      <c r="R62" s="253"/>
    </row>
    <row r="63" spans="1:18" ht="11.25" customHeight="1">
      <c r="A63" s="1330" t="s">
        <v>1134</v>
      </c>
      <c r="B63" s="1130"/>
      <c r="C63" s="1139">
        <f>SUM(C64)</f>
        <v>76689698</v>
      </c>
      <c r="D63" s="1139">
        <f t="shared" ref="D63:K63" si="15">SUM(D64)</f>
        <v>95023911</v>
      </c>
      <c r="E63" s="1510">
        <f t="shared" si="15"/>
        <v>107532811</v>
      </c>
      <c r="F63" s="1140">
        <f t="shared" si="15"/>
        <v>119156353</v>
      </c>
      <c r="G63" s="1139">
        <f t="shared" si="15"/>
        <v>113182729</v>
      </c>
      <c r="H63" s="1511">
        <f t="shared" si="15"/>
        <v>113182729</v>
      </c>
      <c r="I63" s="1512">
        <f t="shared" si="15"/>
        <v>126961623</v>
      </c>
      <c r="J63" s="1139">
        <f t="shared" si="15"/>
        <v>143054850</v>
      </c>
      <c r="K63" s="1511">
        <f t="shared" si="15"/>
        <v>162930919</v>
      </c>
      <c r="L63" s="370"/>
      <c r="Q63" s="252"/>
      <c r="R63" s="253"/>
    </row>
    <row r="64" spans="1:18" ht="11.25" customHeight="1">
      <c r="A64" s="1551" t="s">
        <v>732</v>
      </c>
      <c r="B64" s="1130"/>
      <c r="C64" s="1049">
        <v>76689698</v>
      </c>
      <c r="D64" s="1616">
        <v>95023911</v>
      </c>
      <c r="E64" s="1616">
        <v>107532811</v>
      </c>
      <c r="F64" s="2535">
        <v>119156353</v>
      </c>
      <c r="G64" s="1615">
        <v>113182729</v>
      </c>
      <c r="H64" s="1615">
        <v>113182729</v>
      </c>
      <c r="I64" s="2535">
        <v>126961623</v>
      </c>
      <c r="J64" s="1615">
        <v>143054850</v>
      </c>
      <c r="K64" s="1618">
        <v>162930919</v>
      </c>
      <c r="L64" s="370"/>
      <c r="Q64" s="252"/>
      <c r="R64" s="253"/>
    </row>
    <row r="65" spans="1:18" ht="11.25" customHeight="1">
      <c r="A65" s="1271" t="s">
        <v>293</v>
      </c>
      <c r="B65" s="1130"/>
      <c r="C65" s="1338">
        <f>SUM(C66:C70)</f>
        <v>0</v>
      </c>
      <c r="D65" s="1338">
        <f t="shared" ref="D65:K65" si="16">SUM(D66:D70)</f>
        <v>0</v>
      </c>
      <c r="E65" s="1507">
        <f t="shared" si="16"/>
        <v>0</v>
      </c>
      <c r="F65" s="1342">
        <f t="shared" si="16"/>
        <v>0</v>
      </c>
      <c r="G65" s="1338">
        <f t="shared" si="16"/>
        <v>0</v>
      </c>
      <c r="H65" s="1508">
        <f t="shared" si="16"/>
        <v>0</v>
      </c>
      <c r="I65" s="1509">
        <f t="shared" si="16"/>
        <v>0</v>
      </c>
      <c r="J65" s="1338">
        <f t="shared" si="16"/>
        <v>0</v>
      </c>
      <c r="K65" s="1508">
        <f t="shared" si="16"/>
        <v>0</v>
      </c>
      <c r="L65" s="370"/>
      <c r="Q65" s="252"/>
      <c r="R65" s="253"/>
    </row>
    <row r="66" spans="1:18" ht="11.25" customHeight="1">
      <c r="A66" s="1330" t="s">
        <v>95</v>
      </c>
      <c r="B66" s="1130"/>
      <c r="C66" s="1615"/>
      <c r="D66" s="1616"/>
      <c r="E66" s="1616"/>
      <c r="F66" s="1617"/>
      <c r="G66" s="1615"/>
      <c r="H66" s="1618"/>
      <c r="I66" s="1619"/>
      <c r="J66" s="1615"/>
      <c r="K66" s="1618"/>
      <c r="L66" s="370"/>
      <c r="Q66" s="252"/>
      <c r="R66" s="253"/>
    </row>
    <row r="67" spans="1:18" ht="11.25" customHeight="1">
      <c r="A67" s="1330" t="s">
        <v>1246</v>
      </c>
      <c r="B67" s="1130"/>
      <c r="C67" s="1615"/>
      <c r="D67" s="1616"/>
      <c r="E67" s="1616"/>
      <c r="F67" s="1617"/>
      <c r="G67" s="1615"/>
      <c r="H67" s="1618"/>
      <c r="I67" s="1619"/>
      <c r="J67" s="1615"/>
      <c r="K67" s="1618"/>
      <c r="L67" s="370"/>
      <c r="Q67" s="252"/>
      <c r="R67" s="253"/>
    </row>
    <row r="68" spans="1:18" ht="11.25" customHeight="1">
      <c r="A68" s="1330" t="s">
        <v>629</v>
      </c>
      <c r="B68" s="1130"/>
      <c r="C68" s="1615"/>
      <c r="D68" s="1616"/>
      <c r="E68" s="1616"/>
      <c r="F68" s="1617"/>
      <c r="G68" s="1615"/>
      <c r="H68" s="1618"/>
      <c r="I68" s="1619"/>
      <c r="J68" s="1615"/>
      <c r="K68" s="1618"/>
      <c r="L68" s="370"/>
      <c r="Q68" s="252"/>
      <c r="R68" s="253"/>
    </row>
    <row r="69" spans="1:18" ht="11.25" customHeight="1">
      <c r="A69" s="1330" t="s">
        <v>96</v>
      </c>
      <c r="B69" s="1188"/>
      <c r="C69" s="1615"/>
      <c r="D69" s="1616"/>
      <c r="E69" s="1616"/>
      <c r="F69" s="1617"/>
      <c r="G69" s="1615"/>
      <c r="H69" s="1618"/>
      <c r="I69" s="1619"/>
      <c r="J69" s="1615"/>
      <c r="K69" s="1618"/>
      <c r="L69" s="370"/>
      <c r="Q69" s="252"/>
      <c r="R69" s="253"/>
    </row>
    <row r="70" spans="1:18" ht="11.25" customHeight="1">
      <c r="A70" s="1330" t="s">
        <v>1247</v>
      </c>
      <c r="B70" s="1188"/>
      <c r="C70" s="1615"/>
      <c r="D70" s="1616"/>
      <c r="E70" s="1616"/>
      <c r="F70" s="1617"/>
      <c r="G70" s="1615"/>
      <c r="H70" s="1618"/>
      <c r="I70" s="1619"/>
      <c r="J70" s="1615"/>
      <c r="K70" s="1618"/>
      <c r="L70" s="370"/>
      <c r="Q70" s="252"/>
      <c r="R70" s="253"/>
    </row>
    <row r="71" spans="1:18" ht="11.25" customHeight="1">
      <c r="A71" s="1189" t="str">
        <f>"Total "&amp;A4</f>
        <v>Total Revenue - Standard</v>
      </c>
      <c r="B71" s="1188">
        <v>2</v>
      </c>
      <c r="C71" s="267">
        <f>C5+C15+C37+C52+C65</f>
        <v>1969006739</v>
      </c>
      <c r="D71" s="267">
        <f>D5+D15+D37+D52+D65</f>
        <v>2218358432</v>
      </c>
      <c r="E71" s="1517">
        <f t="shared" ref="E71:J71" si="17">E5+E15+E37+E52+E65</f>
        <v>2175111041</v>
      </c>
      <c r="F71" s="270">
        <f t="shared" si="17"/>
        <v>2685772856</v>
      </c>
      <c r="G71" s="267">
        <f t="shared" si="17"/>
        <v>2755402455</v>
      </c>
      <c r="H71" s="1518">
        <f t="shared" si="17"/>
        <v>2755402455</v>
      </c>
      <c r="I71" s="1519">
        <f t="shared" si="17"/>
        <v>2729275535</v>
      </c>
      <c r="J71" s="267">
        <f t="shared" si="17"/>
        <v>2834221951</v>
      </c>
      <c r="K71" s="1518">
        <f>K5+K15+K37+K52+K65</f>
        <v>3072107334</v>
      </c>
      <c r="L71" s="370"/>
      <c r="Q71" s="271"/>
      <c r="R71" s="272"/>
    </row>
    <row r="72" spans="1:18" ht="5" customHeight="1">
      <c r="A72" s="1150"/>
      <c r="B72" s="1188"/>
      <c r="C72" s="203"/>
      <c r="D72" s="203"/>
      <c r="E72" s="204"/>
      <c r="F72" s="205"/>
      <c r="G72" s="203"/>
      <c r="H72" s="202"/>
      <c r="I72" s="206"/>
      <c r="J72" s="203"/>
      <c r="K72" s="204"/>
      <c r="L72" s="370"/>
      <c r="Q72" s="245"/>
    </row>
    <row r="73" spans="1:18" ht="11.25" customHeight="1">
      <c r="A73" s="1129" t="s">
        <v>432</v>
      </c>
      <c r="B73" s="1190"/>
      <c r="C73" s="203"/>
      <c r="D73" s="203"/>
      <c r="E73" s="204"/>
      <c r="F73" s="205"/>
      <c r="G73" s="203"/>
      <c r="H73" s="202"/>
      <c r="I73" s="206"/>
      <c r="J73" s="203"/>
      <c r="K73" s="204"/>
      <c r="L73" s="370"/>
      <c r="Q73" s="245"/>
    </row>
    <row r="74" spans="1:18" ht="11.25" customHeight="1">
      <c r="A74" s="1271" t="str">
        <f>A5</f>
        <v>Municipal governance and administration</v>
      </c>
      <c r="B74" s="1190"/>
      <c r="C74" s="1338">
        <f t="shared" ref="C74:K74" si="18">C75+C78+C79</f>
        <v>198155395.38</v>
      </c>
      <c r="D74" s="1338">
        <f t="shared" si="18"/>
        <v>425103382</v>
      </c>
      <c r="E74" s="1507">
        <f t="shared" si="18"/>
        <v>469969578</v>
      </c>
      <c r="F74" s="1342">
        <f t="shared" si="18"/>
        <v>411082295</v>
      </c>
      <c r="G74" s="1338">
        <f t="shared" si="18"/>
        <v>454124739</v>
      </c>
      <c r="H74" s="1508">
        <f t="shared" si="18"/>
        <v>454124739</v>
      </c>
      <c r="I74" s="1509">
        <f t="shared" si="18"/>
        <v>471760176</v>
      </c>
      <c r="J74" s="1338">
        <f t="shared" si="18"/>
        <v>467782732</v>
      </c>
      <c r="K74" s="1508">
        <f t="shared" si="18"/>
        <v>479373146</v>
      </c>
      <c r="L74" s="370"/>
      <c r="Q74" s="245"/>
    </row>
    <row r="75" spans="1:18" ht="11.25" customHeight="1">
      <c r="A75" s="1330" t="str">
        <f t="shared" ref="A75:A138" si="19">A6</f>
        <v>Executive and council</v>
      </c>
      <c r="B75" s="1190"/>
      <c r="C75" s="1111">
        <f t="shared" ref="C75:K75" si="20">SUM(C76:C77)</f>
        <v>101270075.38</v>
      </c>
      <c r="D75" s="1111">
        <f t="shared" si="20"/>
        <v>309438817</v>
      </c>
      <c r="E75" s="1424">
        <f t="shared" si="20"/>
        <v>322839710</v>
      </c>
      <c r="F75" s="1112">
        <f t="shared" si="20"/>
        <v>186404773</v>
      </c>
      <c r="G75" s="1111">
        <f t="shared" si="20"/>
        <v>181239975</v>
      </c>
      <c r="H75" s="1148">
        <f t="shared" si="20"/>
        <v>181239975</v>
      </c>
      <c r="I75" s="1425">
        <f t="shared" si="20"/>
        <v>146115559</v>
      </c>
      <c r="J75" s="1111">
        <f t="shared" si="20"/>
        <v>143780482</v>
      </c>
      <c r="K75" s="1148">
        <f t="shared" si="20"/>
        <v>153620904</v>
      </c>
      <c r="L75" s="370"/>
      <c r="Q75" s="245"/>
    </row>
    <row r="76" spans="1:18" ht="11.25" customHeight="1">
      <c r="A76" s="1551" t="str">
        <f t="shared" si="19"/>
        <v>Mayor and Council</v>
      </c>
      <c r="B76" s="1190"/>
      <c r="C76" s="1053">
        <v>26012492.379999999</v>
      </c>
      <c r="D76" s="1616">
        <v>270557182</v>
      </c>
      <c r="E76" s="1616">
        <v>307056434</v>
      </c>
      <c r="F76" s="2535">
        <v>121263819</v>
      </c>
      <c r="G76" s="1615">
        <v>84096974</v>
      </c>
      <c r="H76" s="1615">
        <v>84096974</v>
      </c>
      <c r="I76" s="2535">
        <v>102242098</v>
      </c>
      <c r="J76" s="1615">
        <v>107536567</v>
      </c>
      <c r="K76" s="1618">
        <v>115168100</v>
      </c>
      <c r="L76" s="370"/>
      <c r="Q76" s="245"/>
    </row>
    <row r="77" spans="1:18" ht="11.25" customHeight="1">
      <c r="A77" s="1551" t="str">
        <f t="shared" si="19"/>
        <v>Municipal Manager</v>
      </c>
      <c r="B77" s="1190"/>
      <c r="C77" s="1053">
        <v>75257583</v>
      </c>
      <c r="D77" s="1616">
        <v>38881635</v>
      </c>
      <c r="E77" s="1616">
        <v>15783276</v>
      </c>
      <c r="F77" s="2535">
        <v>65140954</v>
      </c>
      <c r="G77" s="1615">
        <v>97143001</v>
      </c>
      <c r="H77" s="1615">
        <v>97143001</v>
      </c>
      <c r="I77" s="2535">
        <v>43873461</v>
      </c>
      <c r="J77" s="1615">
        <v>36243915</v>
      </c>
      <c r="K77" s="1618">
        <v>38452804</v>
      </c>
      <c r="L77" s="370"/>
      <c r="Q77" s="245"/>
    </row>
    <row r="78" spans="1:18" ht="11.25" customHeight="1">
      <c r="A78" s="1330" t="str">
        <f t="shared" si="19"/>
        <v>Budget and treasury office</v>
      </c>
      <c r="B78" s="1190"/>
      <c r="C78" s="1620">
        <v>39277061</v>
      </c>
      <c r="D78" s="1621">
        <v>53757028</v>
      </c>
      <c r="E78" s="1621">
        <v>64968723</v>
      </c>
      <c r="F78" s="2536">
        <v>116709880</v>
      </c>
      <c r="G78" s="1620">
        <v>141438140</v>
      </c>
      <c r="H78" s="1620">
        <v>141438140</v>
      </c>
      <c r="I78" s="2536">
        <v>182074109</v>
      </c>
      <c r="J78" s="1620">
        <v>174164237</v>
      </c>
      <c r="K78" s="1623">
        <v>165641919</v>
      </c>
      <c r="L78" s="370"/>
      <c r="Q78" s="245"/>
    </row>
    <row r="79" spans="1:18" ht="11.25" customHeight="1">
      <c r="A79" s="1330" t="str">
        <f t="shared" si="19"/>
        <v>Corporate services</v>
      </c>
      <c r="B79" s="1190"/>
      <c r="C79" s="1111">
        <f t="shared" ref="C79:K79" si="21">SUM(C80:C83)</f>
        <v>57608259</v>
      </c>
      <c r="D79" s="1111">
        <f t="shared" si="21"/>
        <v>61907537</v>
      </c>
      <c r="E79" s="1424">
        <f t="shared" si="21"/>
        <v>82161145</v>
      </c>
      <c r="F79" s="1112">
        <f t="shared" si="21"/>
        <v>107967642</v>
      </c>
      <c r="G79" s="1111">
        <f t="shared" si="21"/>
        <v>131446624</v>
      </c>
      <c r="H79" s="1148">
        <f t="shared" si="21"/>
        <v>131446624</v>
      </c>
      <c r="I79" s="1425">
        <f t="shared" si="21"/>
        <v>143570508</v>
      </c>
      <c r="J79" s="1111">
        <f t="shared" si="21"/>
        <v>149838013</v>
      </c>
      <c r="K79" s="1148">
        <f t="shared" si="21"/>
        <v>160110323</v>
      </c>
      <c r="L79" s="370"/>
      <c r="Q79" s="245"/>
    </row>
    <row r="80" spans="1:18" ht="11.25" customHeight="1">
      <c r="A80" s="1551" t="str">
        <f t="shared" si="19"/>
        <v>Human Resources</v>
      </c>
      <c r="B80" s="1190"/>
      <c r="C80" s="1053">
        <v>10261736</v>
      </c>
      <c r="D80" s="1635">
        <v>11991211</v>
      </c>
      <c r="E80" s="1616">
        <v>15809930</v>
      </c>
      <c r="F80" s="2535">
        <v>14595526</v>
      </c>
      <c r="G80" s="1615">
        <v>21002783</v>
      </c>
      <c r="H80" s="1615">
        <v>21002783</v>
      </c>
      <c r="I80" s="2535">
        <v>18054111</v>
      </c>
      <c r="J80" s="1615">
        <v>19126966</v>
      </c>
      <c r="K80" s="1618">
        <v>20123771</v>
      </c>
      <c r="L80" s="370"/>
      <c r="Q80" s="245"/>
    </row>
    <row r="81" spans="1:17" ht="11.25" customHeight="1">
      <c r="A81" s="1551" t="str">
        <f t="shared" si="19"/>
        <v>Information Technology</v>
      </c>
      <c r="B81" s="1190"/>
      <c r="C81" s="1053">
        <v>3928392</v>
      </c>
      <c r="D81" s="1635">
        <v>3990188</v>
      </c>
      <c r="E81" s="1616">
        <v>6877359</v>
      </c>
      <c r="F81" s="2535">
        <v>6558927</v>
      </c>
      <c r="G81" s="1615">
        <v>9697549</v>
      </c>
      <c r="H81" s="1615">
        <v>9697549</v>
      </c>
      <c r="I81" s="2535">
        <v>10166741</v>
      </c>
      <c r="J81" s="1615">
        <v>10506342</v>
      </c>
      <c r="K81" s="1618">
        <v>11111564</v>
      </c>
      <c r="L81" s="370"/>
      <c r="Q81" s="245"/>
    </row>
    <row r="82" spans="1:17" ht="11.25" customHeight="1">
      <c r="A82" s="1551" t="str">
        <f t="shared" si="19"/>
        <v>Property Services</v>
      </c>
      <c r="B82" s="1190"/>
      <c r="C82" s="1053">
        <v>15948946</v>
      </c>
      <c r="D82" s="1616">
        <v>14740598</v>
      </c>
      <c r="E82" s="1616">
        <v>13480314</v>
      </c>
      <c r="F82" s="2535">
        <v>52308242</v>
      </c>
      <c r="G82" s="1615">
        <v>27282654</v>
      </c>
      <c r="H82" s="1615">
        <v>27282654</v>
      </c>
      <c r="I82" s="2535">
        <v>67094683</v>
      </c>
      <c r="J82" s="1615">
        <v>69146489</v>
      </c>
      <c r="K82" s="1618">
        <v>74819175</v>
      </c>
      <c r="L82" s="370"/>
      <c r="Q82" s="245"/>
    </row>
    <row r="83" spans="1:17" ht="11.25" customHeight="1">
      <c r="A83" s="1551" t="str">
        <f t="shared" si="19"/>
        <v>Other Admin</v>
      </c>
      <c r="B83" s="1190"/>
      <c r="C83" s="1053">
        <v>27469185</v>
      </c>
      <c r="D83" s="1616">
        <v>31185540</v>
      </c>
      <c r="E83" s="1616">
        <v>45993542</v>
      </c>
      <c r="F83" s="2535">
        <v>34504947</v>
      </c>
      <c r="G83" s="1615">
        <v>73463638</v>
      </c>
      <c r="H83" s="1615">
        <v>73463638</v>
      </c>
      <c r="I83" s="2535">
        <v>48254973</v>
      </c>
      <c r="J83" s="1615">
        <v>51058216</v>
      </c>
      <c r="K83" s="1618">
        <v>54055813</v>
      </c>
      <c r="L83" s="370"/>
      <c r="Q83" s="245"/>
    </row>
    <row r="84" spans="1:17" ht="11.25" customHeight="1">
      <c r="A84" s="1271" t="str">
        <f t="shared" si="19"/>
        <v>Community and public safety</v>
      </c>
      <c r="B84" s="1190"/>
      <c r="C84" s="1338">
        <f t="shared" ref="C84:K84" si="22">C85+C94+C95+C101+C102</f>
        <v>149241459.44</v>
      </c>
      <c r="D84" s="1338">
        <f t="shared" si="22"/>
        <v>161324383</v>
      </c>
      <c r="E84" s="1507">
        <f t="shared" si="22"/>
        <v>175323537</v>
      </c>
      <c r="F84" s="1342">
        <f t="shared" si="22"/>
        <v>202975433</v>
      </c>
      <c r="G84" s="1338">
        <f t="shared" si="22"/>
        <v>227544225</v>
      </c>
      <c r="H84" s="1508">
        <f t="shared" si="22"/>
        <v>227544225</v>
      </c>
      <c r="I84" s="1509">
        <f t="shared" si="22"/>
        <v>314967230</v>
      </c>
      <c r="J84" s="1338">
        <f t="shared" si="22"/>
        <v>330700319</v>
      </c>
      <c r="K84" s="1508">
        <f t="shared" si="22"/>
        <v>347938225</v>
      </c>
      <c r="L84" s="370"/>
      <c r="Q84" s="245"/>
    </row>
    <row r="85" spans="1:17" ht="11.25" customHeight="1">
      <c r="A85" s="1330" t="str">
        <f t="shared" si="19"/>
        <v>Community and social services</v>
      </c>
      <c r="B85" s="1190"/>
      <c r="C85" s="1139">
        <f t="shared" ref="C85:K85" si="23">SUM(C86:C93)</f>
        <v>27881308.869999997</v>
      </c>
      <c r="D85" s="1139">
        <f t="shared" si="23"/>
        <v>30510937</v>
      </c>
      <c r="E85" s="1510">
        <f t="shared" si="23"/>
        <v>34115345</v>
      </c>
      <c r="F85" s="1140">
        <f t="shared" si="23"/>
        <v>42441565</v>
      </c>
      <c r="G85" s="1139">
        <f t="shared" si="23"/>
        <v>42661348</v>
      </c>
      <c r="H85" s="1511">
        <f t="shared" si="23"/>
        <v>42661348</v>
      </c>
      <c r="I85" s="1512">
        <f t="shared" si="23"/>
        <v>49508424</v>
      </c>
      <c r="J85" s="1139">
        <f t="shared" si="23"/>
        <v>52457543</v>
      </c>
      <c r="K85" s="1511">
        <f t="shared" si="23"/>
        <v>55577448</v>
      </c>
      <c r="L85" s="370"/>
      <c r="Q85" s="245"/>
    </row>
    <row r="86" spans="1:17" ht="11.25" customHeight="1">
      <c r="A86" s="1551" t="str">
        <f t="shared" si="19"/>
        <v>Libraries and Archives</v>
      </c>
      <c r="B86" s="1190"/>
      <c r="C86" s="1053">
        <v>8836902.8699999992</v>
      </c>
      <c r="D86" s="1616">
        <v>10770415</v>
      </c>
      <c r="E86" s="1616">
        <v>10933271</v>
      </c>
      <c r="F86" s="2535">
        <v>12361383</v>
      </c>
      <c r="G86" s="1615">
        <v>13001221</v>
      </c>
      <c r="H86" s="1615">
        <v>13001221</v>
      </c>
      <c r="I86" s="2535">
        <v>16215562</v>
      </c>
      <c r="J86" s="1615">
        <v>17158521</v>
      </c>
      <c r="K86" s="1618">
        <v>18137617</v>
      </c>
      <c r="L86" s="370"/>
      <c r="Q86" s="245"/>
    </row>
    <row r="87" spans="1:17" ht="11.25" customHeight="1">
      <c r="A87" s="1551" t="str">
        <f t="shared" si="19"/>
        <v>Museums &amp; Art Galleries etc</v>
      </c>
      <c r="B87" s="1190"/>
      <c r="C87" s="1053">
        <v>0</v>
      </c>
      <c r="D87" s="1616">
        <v>0</v>
      </c>
      <c r="E87" s="1616">
        <v>0</v>
      </c>
      <c r="F87" s="2535">
        <v>0</v>
      </c>
      <c r="G87" s="1615">
        <v>0</v>
      </c>
      <c r="H87" s="1615">
        <v>0</v>
      </c>
      <c r="I87" s="2535">
        <v>0</v>
      </c>
      <c r="J87" s="1615">
        <v>0</v>
      </c>
      <c r="K87" s="1618">
        <v>0</v>
      </c>
      <c r="L87" s="370"/>
      <c r="Q87" s="245"/>
    </row>
    <row r="88" spans="1:17" ht="11.25" customHeight="1">
      <c r="A88" s="1551" t="str">
        <f t="shared" si="19"/>
        <v>Community halls and Facilities</v>
      </c>
      <c r="B88" s="1190"/>
      <c r="C88" s="1053">
        <v>11233871</v>
      </c>
      <c r="D88" s="1616">
        <v>12794641</v>
      </c>
      <c r="E88" s="1616">
        <v>14139017</v>
      </c>
      <c r="F88" s="2535">
        <v>21787453</v>
      </c>
      <c r="G88" s="1615">
        <v>21465006</v>
      </c>
      <c r="H88" s="1615">
        <v>21465006</v>
      </c>
      <c r="I88" s="2535">
        <v>24804916</v>
      </c>
      <c r="J88" s="1615">
        <v>25923262</v>
      </c>
      <c r="K88" s="1618">
        <v>27507594</v>
      </c>
      <c r="L88" s="370"/>
      <c r="Q88" s="245"/>
    </row>
    <row r="89" spans="1:17" ht="11.25" customHeight="1">
      <c r="A89" s="1551" t="str">
        <f t="shared" si="19"/>
        <v>Cemeteries &amp; Crematoriums</v>
      </c>
      <c r="B89" s="1190"/>
      <c r="C89" s="1053">
        <v>6362429</v>
      </c>
      <c r="D89" s="1616">
        <v>5487125</v>
      </c>
      <c r="E89" s="1616">
        <v>7390995</v>
      </c>
      <c r="F89" s="2535">
        <v>6152293</v>
      </c>
      <c r="G89" s="1615">
        <v>5935250</v>
      </c>
      <c r="H89" s="1615">
        <v>5935250</v>
      </c>
      <c r="I89" s="2535">
        <v>5424443</v>
      </c>
      <c r="J89" s="1615">
        <v>6122033</v>
      </c>
      <c r="K89" s="1618">
        <v>6475853</v>
      </c>
      <c r="L89" s="370"/>
      <c r="Q89" s="245"/>
    </row>
    <row r="90" spans="1:17" ht="11.25" customHeight="1">
      <c r="A90" s="1551" t="str">
        <f t="shared" si="19"/>
        <v>Child Care</v>
      </c>
      <c r="B90" s="1190"/>
      <c r="C90" s="1053">
        <v>0</v>
      </c>
      <c r="D90" s="1616">
        <v>0</v>
      </c>
      <c r="E90" s="1616">
        <v>0</v>
      </c>
      <c r="F90" s="2535">
        <v>0</v>
      </c>
      <c r="G90" s="1615">
        <v>0</v>
      </c>
      <c r="H90" s="1615">
        <v>0</v>
      </c>
      <c r="I90" s="2535">
        <v>0</v>
      </c>
      <c r="J90" s="1615">
        <v>0</v>
      </c>
      <c r="K90" s="1618">
        <v>0</v>
      </c>
      <c r="L90" s="370"/>
      <c r="Q90" s="245"/>
    </row>
    <row r="91" spans="1:17" ht="11.25" customHeight="1">
      <c r="A91" s="1551" t="str">
        <f t="shared" si="19"/>
        <v>Aged Care</v>
      </c>
      <c r="B91" s="1190"/>
      <c r="C91" s="1053">
        <v>0</v>
      </c>
      <c r="D91" s="1616">
        <v>0</v>
      </c>
      <c r="E91" s="1616">
        <v>0</v>
      </c>
      <c r="F91" s="2535">
        <v>0</v>
      </c>
      <c r="G91" s="1615">
        <v>0</v>
      </c>
      <c r="H91" s="1615">
        <v>0</v>
      </c>
      <c r="I91" s="2535">
        <v>0</v>
      </c>
      <c r="J91" s="1615">
        <v>0</v>
      </c>
      <c r="K91" s="1618">
        <v>0</v>
      </c>
      <c r="L91" s="370"/>
      <c r="Q91" s="245"/>
    </row>
    <row r="92" spans="1:17" ht="11.25" customHeight="1">
      <c r="A92" s="1551" t="str">
        <f t="shared" si="19"/>
        <v>Other Community</v>
      </c>
      <c r="B92" s="1190"/>
      <c r="C92" s="1053">
        <v>1448106</v>
      </c>
      <c r="D92" s="1616">
        <v>1458756</v>
      </c>
      <c r="E92" s="1616">
        <v>1652062</v>
      </c>
      <c r="F92" s="2535">
        <v>2140436</v>
      </c>
      <c r="G92" s="1615">
        <v>2259871</v>
      </c>
      <c r="H92" s="1615">
        <v>2259871</v>
      </c>
      <c r="I92" s="2535">
        <v>3063503</v>
      </c>
      <c r="J92" s="1615">
        <v>3253727</v>
      </c>
      <c r="K92" s="1618">
        <v>3456384</v>
      </c>
      <c r="L92" s="370"/>
      <c r="Q92" s="245"/>
    </row>
    <row r="93" spans="1:17" ht="11.25" customHeight="1">
      <c r="A93" s="1551" t="str">
        <f t="shared" si="19"/>
        <v>Other Social</v>
      </c>
      <c r="B93" s="1190"/>
      <c r="C93" s="1053">
        <v>0</v>
      </c>
      <c r="D93" s="1616">
        <v>0</v>
      </c>
      <c r="E93" s="1616">
        <v>0</v>
      </c>
      <c r="F93" s="2535">
        <v>0</v>
      </c>
      <c r="G93" s="1615">
        <v>0</v>
      </c>
      <c r="H93" s="1615">
        <v>0</v>
      </c>
      <c r="I93" s="2535">
        <v>0</v>
      </c>
      <c r="J93" s="1615">
        <v>0</v>
      </c>
      <c r="K93" s="1618">
        <v>0</v>
      </c>
      <c r="L93" s="370"/>
      <c r="Q93" s="245"/>
    </row>
    <row r="94" spans="1:17" ht="11.25" customHeight="1">
      <c r="A94" s="1330" t="str">
        <f t="shared" si="19"/>
        <v>Sport and recreation</v>
      </c>
      <c r="B94" s="1190"/>
      <c r="C94" s="1053">
        <v>34224681</v>
      </c>
      <c r="D94" s="1616">
        <v>38227534</v>
      </c>
      <c r="E94" s="1616">
        <v>39572522</v>
      </c>
      <c r="F94" s="2535">
        <v>43235150</v>
      </c>
      <c r="G94" s="1615">
        <v>45385452</v>
      </c>
      <c r="H94" s="1615">
        <v>45385452</v>
      </c>
      <c r="I94" s="2535">
        <v>101280860</v>
      </c>
      <c r="J94" s="1615">
        <v>104819956</v>
      </c>
      <c r="K94" s="1618">
        <v>109957476</v>
      </c>
      <c r="L94" s="370"/>
      <c r="Q94" s="245"/>
    </row>
    <row r="95" spans="1:17" ht="11.25" customHeight="1">
      <c r="A95" s="1330" t="str">
        <f t="shared" si="19"/>
        <v>Public safety</v>
      </c>
      <c r="B95" s="1190"/>
      <c r="C95" s="1139">
        <f t="shared" ref="C95:K95" si="24">SUM(C96:C100)</f>
        <v>70765416</v>
      </c>
      <c r="D95" s="1139">
        <f t="shared" si="24"/>
        <v>77694099</v>
      </c>
      <c r="E95" s="1510">
        <f t="shared" si="24"/>
        <v>84960700</v>
      </c>
      <c r="F95" s="1140">
        <f t="shared" si="24"/>
        <v>98817326</v>
      </c>
      <c r="G95" s="1139">
        <f t="shared" si="24"/>
        <v>119883105</v>
      </c>
      <c r="H95" s="1511">
        <f t="shared" si="24"/>
        <v>119883105</v>
      </c>
      <c r="I95" s="1512">
        <f t="shared" si="24"/>
        <v>130380808</v>
      </c>
      <c r="J95" s="1139">
        <f t="shared" si="24"/>
        <v>138063143</v>
      </c>
      <c r="K95" s="1511">
        <f t="shared" si="24"/>
        <v>145411296</v>
      </c>
      <c r="L95" s="370"/>
      <c r="Q95" s="245"/>
    </row>
    <row r="96" spans="1:17" ht="11.25" customHeight="1">
      <c r="A96" s="1551" t="str">
        <f t="shared" si="19"/>
        <v>Police</v>
      </c>
      <c r="B96" s="1190"/>
      <c r="C96" s="1053">
        <v>43440378</v>
      </c>
      <c r="D96" s="1616">
        <v>47702560</v>
      </c>
      <c r="E96" s="1616">
        <v>57540914</v>
      </c>
      <c r="F96" s="2535">
        <v>56415809</v>
      </c>
      <c r="G96" s="1615">
        <v>78596003</v>
      </c>
      <c r="H96" s="1615">
        <v>78596003</v>
      </c>
      <c r="I96" s="2535">
        <v>95218778</v>
      </c>
      <c r="J96" s="1615">
        <v>100845991</v>
      </c>
      <c r="K96" s="1618">
        <v>106120751</v>
      </c>
      <c r="L96" s="370"/>
      <c r="Q96" s="245"/>
    </row>
    <row r="97" spans="1:17" ht="11.25" customHeight="1">
      <c r="A97" s="1551" t="str">
        <f t="shared" si="19"/>
        <v>Fire</v>
      </c>
      <c r="B97" s="1190"/>
      <c r="C97" s="1053">
        <v>18488672</v>
      </c>
      <c r="D97" s="1616">
        <v>22804971</v>
      </c>
      <c r="E97" s="1616">
        <v>18429257</v>
      </c>
      <c r="F97" s="2535">
        <v>28039901</v>
      </c>
      <c r="G97" s="1615">
        <v>27338236</v>
      </c>
      <c r="H97" s="1615">
        <v>27338236</v>
      </c>
      <c r="I97" s="2535">
        <v>20997754</v>
      </c>
      <c r="J97" s="1615">
        <v>22191818</v>
      </c>
      <c r="K97" s="1618">
        <v>23417271</v>
      </c>
      <c r="L97" s="370"/>
      <c r="Q97" s="245"/>
    </row>
    <row r="98" spans="1:17" ht="11.25" customHeight="1">
      <c r="A98" s="1551" t="str">
        <f t="shared" si="19"/>
        <v>Civil Defence</v>
      </c>
      <c r="B98" s="1190"/>
      <c r="C98" s="1053">
        <v>0</v>
      </c>
      <c r="D98" s="1616">
        <v>0</v>
      </c>
      <c r="E98" s="1616">
        <v>0</v>
      </c>
      <c r="F98" s="2535">
        <v>0</v>
      </c>
      <c r="G98" s="1615">
        <v>0</v>
      </c>
      <c r="H98" s="1615">
        <v>0</v>
      </c>
      <c r="I98" s="2535">
        <v>0</v>
      </c>
      <c r="J98" s="1615">
        <v>0</v>
      </c>
      <c r="K98" s="1618">
        <v>0</v>
      </c>
      <c r="L98" s="370"/>
      <c r="Q98" s="245"/>
    </row>
    <row r="99" spans="1:17" ht="11.25" customHeight="1">
      <c r="A99" s="1551" t="str">
        <f t="shared" si="19"/>
        <v>Street Lighting</v>
      </c>
      <c r="B99" s="1190"/>
      <c r="C99" s="1053">
        <v>7286298</v>
      </c>
      <c r="D99" s="1616">
        <v>5439555</v>
      </c>
      <c r="E99" s="1616">
        <v>6891284</v>
      </c>
      <c r="F99" s="2535">
        <v>12104335</v>
      </c>
      <c r="G99" s="1615">
        <v>11414314</v>
      </c>
      <c r="H99" s="1615">
        <v>11414314</v>
      </c>
      <c r="I99" s="2535">
        <v>10981405</v>
      </c>
      <c r="J99" s="1615">
        <v>11641399</v>
      </c>
      <c r="K99" s="1618">
        <v>12271632</v>
      </c>
      <c r="L99" s="370"/>
      <c r="Q99" s="245"/>
    </row>
    <row r="100" spans="1:17" ht="11.25" customHeight="1">
      <c r="A100" s="1551" t="str">
        <f t="shared" si="19"/>
        <v>Other</v>
      </c>
      <c r="B100" s="1190"/>
      <c r="C100" s="1053">
        <v>1550068</v>
      </c>
      <c r="D100" s="1616">
        <v>1747013</v>
      </c>
      <c r="E100" s="1616">
        <v>2099245</v>
      </c>
      <c r="F100" s="2535">
        <v>2257281</v>
      </c>
      <c r="G100" s="1615">
        <v>2534552</v>
      </c>
      <c r="H100" s="1615">
        <v>2534552</v>
      </c>
      <c r="I100" s="2535">
        <v>3182871</v>
      </c>
      <c r="J100" s="1615">
        <v>3383935</v>
      </c>
      <c r="K100" s="1618">
        <v>3601642</v>
      </c>
      <c r="L100" s="370"/>
      <c r="Q100" s="245"/>
    </row>
    <row r="101" spans="1:17" ht="11.25" customHeight="1">
      <c r="A101" s="1330" t="str">
        <f t="shared" si="19"/>
        <v>Housing</v>
      </c>
      <c r="B101" s="1190"/>
      <c r="C101" s="1053">
        <v>8552828</v>
      </c>
      <c r="D101" s="1625">
        <v>6014650</v>
      </c>
      <c r="E101" s="1625">
        <v>6980064</v>
      </c>
      <c r="F101" s="2536">
        <v>7810301</v>
      </c>
      <c r="G101" s="1624">
        <v>7987774</v>
      </c>
      <c r="H101" s="1624">
        <v>7987774</v>
      </c>
      <c r="I101" s="1627">
        <v>20089015</v>
      </c>
      <c r="J101" s="1624">
        <v>20807285</v>
      </c>
      <c r="K101" s="1626">
        <v>21834649</v>
      </c>
      <c r="L101" s="370"/>
      <c r="Q101" s="245"/>
    </row>
    <row r="102" spans="1:17" ht="11.25" customHeight="1">
      <c r="A102" s="1330" t="str">
        <f t="shared" si="19"/>
        <v>Health</v>
      </c>
      <c r="B102" s="1190"/>
      <c r="C102" s="1139">
        <f t="shared" ref="C102:K102" si="25">SUM(C103:C105)</f>
        <v>7817225.5700000003</v>
      </c>
      <c r="D102" s="1139">
        <f t="shared" si="25"/>
        <v>8877163</v>
      </c>
      <c r="E102" s="1510">
        <f t="shared" si="25"/>
        <v>9694906</v>
      </c>
      <c r="F102" s="1140">
        <f t="shared" si="25"/>
        <v>10671091</v>
      </c>
      <c r="G102" s="1139">
        <f t="shared" si="25"/>
        <v>11626546</v>
      </c>
      <c r="H102" s="1511">
        <f t="shared" si="25"/>
        <v>11626546</v>
      </c>
      <c r="I102" s="1512">
        <f t="shared" si="25"/>
        <v>13708123</v>
      </c>
      <c r="J102" s="1139">
        <f t="shared" si="25"/>
        <v>14552392</v>
      </c>
      <c r="K102" s="1511">
        <f t="shared" si="25"/>
        <v>15157356</v>
      </c>
      <c r="L102" s="370"/>
      <c r="Q102" s="245"/>
    </row>
    <row r="103" spans="1:17" ht="11.25" customHeight="1">
      <c r="A103" s="1551" t="str">
        <f t="shared" si="19"/>
        <v>Clinics</v>
      </c>
      <c r="B103" s="1190"/>
      <c r="C103" s="1053">
        <v>7606400.5700000003</v>
      </c>
      <c r="D103" s="1616">
        <v>8708735</v>
      </c>
      <c r="E103" s="1616">
        <v>9680200</v>
      </c>
      <c r="F103" s="2535">
        <v>10493748</v>
      </c>
      <c r="G103" s="1615">
        <v>11449203</v>
      </c>
      <c r="H103" s="1615">
        <v>11449203</v>
      </c>
      <c r="I103" s="2535">
        <v>13708123</v>
      </c>
      <c r="J103" s="1615">
        <v>14552392</v>
      </c>
      <c r="K103" s="1618">
        <v>15157356</v>
      </c>
      <c r="L103" s="370"/>
      <c r="Q103" s="245"/>
    </row>
    <row r="104" spans="1:17" ht="11.25" customHeight="1">
      <c r="A104" s="1551" t="str">
        <f t="shared" si="19"/>
        <v>Ambulance</v>
      </c>
      <c r="B104" s="1190"/>
      <c r="C104" s="1053">
        <v>0</v>
      </c>
      <c r="D104" s="1616">
        <v>0</v>
      </c>
      <c r="E104" s="1616">
        <v>0</v>
      </c>
      <c r="F104" s="2535">
        <v>0</v>
      </c>
      <c r="G104" s="1615">
        <v>0</v>
      </c>
      <c r="H104" s="1615">
        <v>0</v>
      </c>
      <c r="I104" s="2535">
        <v>0</v>
      </c>
      <c r="J104" s="1615">
        <v>0</v>
      </c>
      <c r="K104" s="1618">
        <v>0</v>
      </c>
      <c r="L104" s="370"/>
      <c r="Q104" s="245"/>
    </row>
    <row r="105" spans="1:17" ht="11.25" customHeight="1">
      <c r="A105" s="1551" t="str">
        <f t="shared" si="19"/>
        <v xml:space="preserve">Other   </v>
      </c>
      <c r="B105" s="1190"/>
      <c r="C105" s="1053">
        <v>210825</v>
      </c>
      <c r="D105" s="1616">
        <v>168428</v>
      </c>
      <c r="E105" s="1616">
        <v>14706</v>
      </c>
      <c r="F105" s="2535">
        <v>177343</v>
      </c>
      <c r="G105" s="1615">
        <v>177343</v>
      </c>
      <c r="H105" s="1615">
        <v>177343</v>
      </c>
      <c r="I105" s="2535">
        <v>0</v>
      </c>
      <c r="J105" s="1615">
        <v>0</v>
      </c>
      <c r="K105" s="1618">
        <v>0</v>
      </c>
      <c r="L105" s="370"/>
      <c r="Q105" s="245"/>
    </row>
    <row r="106" spans="1:17" ht="11.25" customHeight="1">
      <c r="A106" s="1271" t="str">
        <f t="shared" si="19"/>
        <v>Economic and environmental services</v>
      </c>
      <c r="B106" s="1190"/>
      <c r="C106" s="1338">
        <f t="shared" ref="C106:K106" si="26">C107+C111+C117</f>
        <v>262623738.53</v>
      </c>
      <c r="D106" s="1338">
        <f t="shared" si="26"/>
        <v>161532009</v>
      </c>
      <c r="E106" s="1507">
        <f t="shared" si="26"/>
        <v>143648861</v>
      </c>
      <c r="F106" s="1342">
        <f t="shared" si="26"/>
        <v>154357862</v>
      </c>
      <c r="G106" s="1338">
        <f t="shared" si="26"/>
        <v>198929690</v>
      </c>
      <c r="H106" s="1508">
        <f t="shared" si="26"/>
        <v>198929690</v>
      </c>
      <c r="I106" s="1509">
        <f t="shared" si="26"/>
        <v>257632726</v>
      </c>
      <c r="J106" s="1338">
        <f t="shared" si="26"/>
        <v>256398230</v>
      </c>
      <c r="K106" s="1508">
        <f t="shared" si="26"/>
        <v>274030901</v>
      </c>
      <c r="L106" s="370"/>
      <c r="Q106" s="245"/>
    </row>
    <row r="107" spans="1:17" ht="11.25" customHeight="1">
      <c r="A107" s="1330" t="str">
        <f t="shared" si="19"/>
        <v>Planning and development</v>
      </c>
      <c r="B107" s="1190"/>
      <c r="C107" s="1139">
        <f t="shared" ref="C107:K107" si="27">SUM(C108:C110)</f>
        <v>17848867</v>
      </c>
      <c r="D107" s="1139">
        <f t="shared" si="27"/>
        <v>24119423</v>
      </c>
      <c r="E107" s="1510">
        <f t="shared" si="27"/>
        <v>41728166</v>
      </c>
      <c r="F107" s="1140">
        <f t="shared" si="27"/>
        <v>43055826</v>
      </c>
      <c r="G107" s="1139">
        <f t="shared" si="27"/>
        <v>68745232</v>
      </c>
      <c r="H107" s="1511">
        <f t="shared" si="27"/>
        <v>68745232</v>
      </c>
      <c r="I107" s="1512">
        <f t="shared" si="27"/>
        <v>45167109</v>
      </c>
      <c r="J107" s="1139">
        <f t="shared" si="27"/>
        <v>41060514</v>
      </c>
      <c r="K107" s="1511">
        <f t="shared" si="27"/>
        <v>44708619</v>
      </c>
      <c r="L107" s="370"/>
      <c r="Q107" s="245"/>
    </row>
    <row r="108" spans="1:17" ht="11.25" customHeight="1">
      <c r="A108" s="1551" t="str">
        <f t="shared" si="19"/>
        <v xml:space="preserve">Economic Development/Planning </v>
      </c>
      <c r="B108" s="1190"/>
      <c r="C108" s="1053">
        <v>5401729</v>
      </c>
      <c r="D108" s="1616">
        <v>5788804</v>
      </c>
      <c r="E108" s="1616">
        <v>6326246</v>
      </c>
      <c r="F108" s="2535">
        <v>23555900</v>
      </c>
      <c r="G108" s="1615">
        <v>24125260</v>
      </c>
      <c r="H108" s="1615">
        <v>24125260</v>
      </c>
      <c r="I108" s="2535">
        <v>24327614</v>
      </c>
      <c r="J108" s="1615">
        <v>20446856</v>
      </c>
      <c r="K108" s="1618">
        <v>22673438</v>
      </c>
      <c r="L108" s="370"/>
      <c r="Q108" s="245"/>
    </row>
    <row r="109" spans="1:17" ht="11.25" customHeight="1">
      <c r="A109" s="1551" t="str">
        <f t="shared" si="19"/>
        <v xml:space="preserve">Town Planning/Building enforcement </v>
      </c>
      <c r="B109" s="1190"/>
      <c r="C109" s="1053">
        <v>12447138</v>
      </c>
      <c r="D109" s="1616">
        <v>18330619</v>
      </c>
      <c r="E109" s="1616">
        <v>35401920</v>
      </c>
      <c r="F109" s="2535">
        <v>19499926</v>
      </c>
      <c r="G109" s="1615">
        <v>44619972</v>
      </c>
      <c r="H109" s="1615">
        <v>44619972</v>
      </c>
      <c r="I109" s="2535">
        <v>20839495</v>
      </c>
      <c r="J109" s="1615">
        <v>20613658</v>
      </c>
      <c r="K109" s="1618">
        <v>22035181</v>
      </c>
      <c r="L109" s="370"/>
      <c r="Q109" s="245"/>
    </row>
    <row r="110" spans="1:17" ht="11.25" customHeight="1">
      <c r="A110" s="1551" t="str">
        <f t="shared" si="19"/>
        <v>Licensing &amp; Regulation</v>
      </c>
      <c r="B110" s="1190"/>
      <c r="C110" s="1053">
        <v>0</v>
      </c>
      <c r="D110" s="1616">
        <v>0</v>
      </c>
      <c r="E110" s="1616">
        <v>0</v>
      </c>
      <c r="F110" s="2535">
        <v>0</v>
      </c>
      <c r="G110" s="1615">
        <v>0</v>
      </c>
      <c r="H110" s="1615">
        <v>0</v>
      </c>
      <c r="I110" s="2535">
        <v>0</v>
      </c>
      <c r="J110" s="1615">
        <v>0</v>
      </c>
      <c r="K110" s="1618">
        <v>0</v>
      </c>
      <c r="L110" s="370"/>
      <c r="Q110" s="245"/>
    </row>
    <row r="111" spans="1:17" ht="11.25" customHeight="1">
      <c r="A111" s="1330" t="str">
        <f t="shared" si="19"/>
        <v>Road transport</v>
      </c>
      <c r="B111" s="1190"/>
      <c r="C111" s="1139">
        <f t="shared" ref="C111:K111" si="28">SUM(C112:C116)</f>
        <v>239013942.53</v>
      </c>
      <c r="D111" s="1139">
        <f t="shared" si="28"/>
        <v>133260112</v>
      </c>
      <c r="E111" s="1510">
        <f t="shared" si="28"/>
        <v>96282924</v>
      </c>
      <c r="F111" s="1140">
        <f t="shared" si="28"/>
        <v>99152481</v>
      </c>
      <c r="G111" s="1139">
        <f t="shared" si="28"/>
        <v>117641936</v>
      </c>
      <c r="H111" s="1511">
        <f t="shared" si="28"/>
        <v>117641936</v>
      </c>
      <c r="I111" s="1512">
        <f t="shared" si="28"/>
        <v>201383455</v>
      </c>
      <c r="J111" s="1139">
        <f t="shared" si="28"/>
        <v>204516456</v>
      </c>
      <c r="K111" s="1511">
        <f t="shared" si="28"/>
        <v>218008481</v>
      </c>
      <c r="L111" s="370"/>
      <c r="Q111" s="245"/>
    </row>
    <row r="112" spans="1:17" ht="11.25" customHeight="1">
      <c r="A112" s="1551" t="str">
        <f t="shared" si="19"/>
        <v>Roads</v>
      </c>
      <c r="B112" s="1190"/>
      <c r="C112" s="1053">
        <v>228008206</v>
      </c>
      <c r="D112" s="1616">
        <v>120175605</v>
      </c>
      <c r="E112" s="1616">
        <v>81836077</v>
      </c>
      <c r="F112" s="2535">
        <v>81941420</v>
      </c>
      <c r="G112" s="1615">
        <v>99572940</v>
      </c>
      <c r="H112" s="1615">
        <v>99572940</v>
      </c>
      <c r="I112" s="2535">
        <v>180955299</v>
      </c>
      <c r="J112" s="1615">
        <v>182831008</v>
      </c>
      <c r="K112" s="1618">
        <v>194968715</v>
      </c>
      <c r="L112" s="370"/>
      <c r="Q112" s="245"/>
    </row>
    <row r="113" spans="1:17" ht="11.25" customHeight="1">
      <c r="A113" s="1551" t="str">
        <f t="shared" si="19"/>
        <v>Public Buses</v>
      </c>
      <c r="B113" s="1190"/>
      <c r="C113" s="1053">
        <v>0</v>
      </c>
      <c r="D113" s="1616">
        <v>0</v>
      </c>
      <c r="E113" s="1616">
        <v>0</v>
      </c>
      <c r="F113" s="2535">
        <v>0</v>
      </c>
      <c r="G113" s="1615"/>
      <c r="H113" s="1615"/>
      <c r="I113" s="2535">
        <v>0</v>
      </c>
      <c r="J113" s="1615">
        <v>0</v>
      </c>
      <c r="K113" s="1618">
        <v>0</v>
      </c>
      <c r="L113" s="370"/>
      <c r="Q113" s="245"/>
    </row>
    <row r="114" spans="1:17" ht="11.25" customHeight="1">
      <c r="A114" s="1551" t="str">
        <f t="shared" si="19"/>
        <v>Parking Garages</v>
      </c>
      <c r="B114" s="1190"/>
      <c r="C114" s="1053">
        <v>0</v>
      </c>
      <c r="D114" s="1616">
        <v>0</v>
      </c>
      <c r="E114" s="1616">
        <v>0</v>
      </c>
      <c r="F114" s="2535">
        <v>0</v>
      </c>
      <c r="G114" s="1615"/>
      <c r="H114" s="1615"/>
      <c r="I114" s="2535">
        <v>0</v>
      </c>
      <c r="J114" s="1615">
        <v>0</v>
      </c>
      <c r="K114" s="1618">
        <v>0</v>
      </c>
      <c r="L114" s="370"/>
      <c r="Q114" s="245"/>
    </row>
    <row r="115" spans="1:17" ht="11.25" customHeight="1">
      <c r="A115" s="1551" t="str">
        <f t="shared" si="19"/>
        <v>Vehicle Licensing and Testing</v>
      </c>
      <c r="B115" s="1190"/>
      <c r="C115" s="1053">
        <v>11005736.530000003</v>
      </c>
      <c r="D115" s="1616">
        <v>13084507</v>
      </c>
      <c r="E115" s="1616">
        <v>14446847</v>
      </c>
      <c r="F115" s="2535">
        <v>17211061</v>
      </c>
      <c r="G115" s="1615">
        <v>18068996</v>
      </c>
      <c r="H115" s="1615">
        <v>18068996</v>
      </c>
      <c r="I115" s="2535">
        <v>20428156</v>
      </c>
      <c r="J115" s="1615">
        <v>21685448</v>
      </c>
      <c r="K115" s="1618">
        <v>23039766</v>
      </c>
      <c r="L115" s="370"/>
      <c r="Q115" s="245"/>
    </row>
    <row r="116" spans="1:17" ht="11.25" customHeight="1">
      <c r="A116" s="1551" t="str">
        <f t="shared" si="19"/>
        <v>Other</v>
      </c>
      <c r="B116" s="1190"/>
      <c r="C116" s="1053">
        <v>0</v>
      </c>
      <c r="D116" s="1616">
        <v>0</v>
      </c>
      <c r="E116" s="1616">
        <v>0</v>
      </c>
      <c r="F116" s="2535">
        <v>0</v>
      </c>
      <c r="G116" s="1615">
        <v>0</v>
      </c>
      <c r="H116" s="1615">
        <v>0</v>
      </c>
      <c r="I116" s="2535">
        <v>0</v>
      </c>
      <c r="J116" s="1615">
        <v>0</v>
      </c>
      <c r="K116" s="1618">
        <v>0</v>
      </c>
      <c r="L116" s="370"/>
      <c r="Q116" s="245"/>
    </row>
    <row r="117" spans="1:17" ht="11.25" customHeight="1">
      <c r="A117" s="1330" t="str">
        <f t="shared" si="19"/>
        <v>Environmental protection</v>
      </c>
      <c r="B117" s="1190"/>
      <c r="C117" s="1139">
        <f t="shared" ref="C117:K117" si="29">SUM(C118:C120)</f>
        <v>5760929</v>
      </c>
      <c r="D117" s="1139">
        <f t="shared" si="29"/>
        <v>4152474</v>
      </c>
      <c r="E117" s="1510">
        <f t="shared" si="29"/>
        <v>5637771</v>
      </c>
      <c r="F117" s="1140">
        <f t="shared" si="29"/>
        <v>12149555</v>
      </c>
      <c r="G117" s="1139">
        <f t="shared" si="29"/>
        <v>12542522</v>
      </c>
      <c r="H117" s="1511">
        <f t="shared" si="29"/>
        <v>12542522</v>
      </c>
      <c r="I117" s="1512">
        <f t="shared" si="29"/>
        <v>11082162</v>
      </c>
      <c r="J117" s="1139">
        <f t="shared" si="29"/>
        <v>10821260</v>
      </c>
      <c r="K117" s="1511">
        <f t="shared" si="29"/>
        <v>11313801</v>
      </c>
      <c r="L117" s="370"/>
      <c r="Q117" s="245"/>
    </row>
    <row r="118" spans="1:17" ht="11.25" customHeight="1">
      <c r="A118" s="1551" t="str">
        <f t="shared" si="19"/>
        <v>Pollution Control</v>
      </c>
      <c r="B118" s="1190"/>
      <c r="C118" s="1053">
        <v>5760929</v>
      </c>
      <c r="D118" s="1054">
        <v>4152474</v>
      </c>
      <c r="E118" s="1616">
        <v>5637771</v>
      </c>
      <c r="F118" s="2535">
        <v>12149555</v>
      </c>
      <c r="G118" s="1615">
        <v>12542522</v>
      </c>
      <c r="H118" s="1615">
        <v>12542522</v>
      </c>
      <c r="I118" s="2535">
        <v>11082162</v>
      </c>
      <c r="J118" s="1615">
        <v>10821260</v>
      </c>
      <c r="K118" s="1618">
        <v>11313801</v>
      </c>
      <c r="L118" s="370"/>
      <c r="Q118" s="245"/>
    </row>
    <row r="119" spans="1:17" ht="11.25" customHeight="1">
      <c r="A119" s="1551" t="str">
        <f t="shared" si="19"/>
        <v>Biodiversity &amp; Landscape</v>
      </c>
      <c r="B119" s="1190"/>
      <c r="C119" s="1615">
        <v>0</v>
      </c>
      <c r="D119" s="1616">
        <v>0</v>
      </c>
      <c r="E119" s="1616">
        <v>0</v>
      </c>
      <c r="F119" s="2535">
        <v>0</v>
      </c>
      <c r="G119" s="1615">
        <v>0</v>
      </c>
      <c r="H119" s="1615">
        <v>0</v>
      </c>
      <c r="I119" s="2535">
        <v>0</v>
      </c>
      <c r="J119" s="1615">
        <v>0</v>
      </c>
      <c r="K119" s="1618">
        <v>0</v>
      </c>
      <c r="L119" s="370"/>
      <c r="Q119" s="245"/>
    </row>
    <row r="120" spans="1:17" ht="11.25" customHeight="1">
      <c r="A120" s="1551" t="str">
        <f t="shared" si="19"/>
        <v>Other</v>
      </c>
      <c r="B120" s="1190"/>
      <c r="C120" s="1615">
        <v>0</v>
      </c>
      <c r="D120" s="1616">
        <v>0</v>
      </c>
      <c r="E120" s="1616">
        <v>0</v>
      </c>
      <c r="F120" s="2535">
        <v>0</v>
      </c>
      <c r="G120" s="1615">
        <v>0</v>
      </c>
      <c r="H120" s="1615">
        <v>0</v>
      </c>
      <c r="I120" s="2535">
        <v>0</v>
      </c>
      <c r="J120" s="1615">
        <v>0</v>
      </c>
      <c r="K120" s="1618">
        <v>0</v>
      </c>
      <c r="L120" s="370"/>
      <c r="Q120" s="245"/>
    </row>
    <row r="121" spans="1:17" ht="11.25" customHeight="1">
      <c r="A121" s="1271" t="str">
        <f t="shared" si="19"/>
        <v>Trading services</v>
      </c>
      <c r="B121" s="1190"/>
      <c r="C121" s="1338">
        <f>C122+C125+C128+C132</f>
        <v>1175729703</v>
      </c>
      <c r="D121" s="1338">
        <f t="shared" ref="D121:K121" si="30">D122+D125+D128+D132</f>
        <v>1483316978</v>
      </c>
      <c r="E121" s="1507">
        <f t="shared" si="30"/>
        <v>1410716129</v>
      </c>
      <c r="F121" s="1342">
        <f t="shared" si="30"/>
        <v>1939375440</v>
      </c>
      <c r="G121" s="1338">
        <f t="shared" si="30"/>
        <v>1836615473</v>
      </c>
      <c r="H121" s="1508">
        <f t="shared" si="30"/>
        <v>1836615473</v>
      </c>
      <c r="I121" s="1509">
        <f t="shared" si="30"/>
        <v>1666434067</v>
      </c>
      <c r="J121" s="1338">
        <f t="shared" si="30"/>
        <v>1743667366</v>
      </c>
      <c r="K121" s="1508">
        <f t="shared" si="30"/>
        <v>1879298406</v>
      </c>
      <c r="L121" s="370"/>
      <c r="Q121" s="245"/>
    </row>
    <row r="122" spans="1:17" ht="11.25" customHeight="1">
      <c r="A122" s="1330" t="str">
        <f t="shared" si="19"/>
        <v>Electricity</v>
      </c>
      <c r="B122" s="1190"/>
      <c r="C122" s="1139">
        <f t="shared" ref="C122:K122" si="31">SUM(C123:C124)</f>
        <v>732058161</v>
      </c>
      <c r="D122" s="1139">
        <f t="shared" si="31"/>
        <v>932439623</v>
      </c>
      <c r="E122" s="1510">
        <f t="shared" si="31"/>
        <v>675054338</v>
      </c>
      <c r="F122" s="1140">
        <f t="shared" si="31"/>
        <v>1289685303</v>
      </c>
      <c r="G122" s="1139">
        <f t="shared" si="31"/>
        <v>1155997191</v>
      </c>
      <c r="H122" s="1511">
        <f t="shared" si="31"/>
        <v>1155997191</v>
      </c>
      <c r="I122" s="1512">
        <f t="shared" si="31"/>
        <v>900754065</v>
      </c>
      <c r="J122" s="1139">
        <f t="shared" si="31"/>
        <v>961648984</v>
      </c>
      <c r="K122" s="1511">
        <f t="shared" si="31"/>
        <v>1029356159</v>
      </c>
      <c r="L122" s="370"/>
      <c r="Q122" s="245"/>
    </row>
    <row r="123" spans="1:17" ht="11.25" customHeight="1">
      <c r="A123" s="1551" t="str">
        <f t="shared" si="19"/>
        <v>Electricity Distribution</v>
      </c>
      <c r="B123" s="1190"/>
      <c r="C123" s="1053">
        <v>732058161</v>
      </c>
      <c r="D123" s="1054">
        <v>932439623</v>
      </c>
      <c r="E123" s="1616">
        <v>675054338</v>
      </c>
      <c r="F123" s="1617">
        <v>1289685303</v>
      </c>
      <c r="G123" s="1615">
        <v>1155997191</v>
      </c>
      <c r="H123" s="1615">
        <v>1155997191</v>
      </c>
      <c r="I123" s="2535">
        <f>900753963+102</f>
        <v>900754065</v>
      </c>
      <c r="J123" s="1615">
        <f>961648869+115</f>
        <v>961648984</v>
      </c>
      <c r="K123" s="1618">
        <f>1029355755+404</f>
        <v>1029356159</v>
      </c>
      <c r="L123" s="370"/>
      <c r="Q123" s="245"/>
    </row>
    <row r="124" spans="1:17" ht="11.25" customHeight="1">
      <c r="A124" s="1551" t="str">
        <f t="shared" si="19"/>
        <v>Electricity Generation</v>
      </c>
      <c r="B124" s="1190"/>
      <c r="C124" s="1615">
        <v>0</v>
      </c>
      <c r="D124" s="1616">
        <v>0</v>
      </c>
      <c r="E124" s="1616">
        <v>0</v>
      </c>
      <c r="F124" s="2535"/>
      <c r="G124" s="1615"/>
      <c r="H124" s="1615"/>
      <c r="I124" s="2535">
        <v>0</v>
      </c>
      <c r="J124" s="1615">
        <v>0</v>
      </c>
      <c r="K124" s="1618">
        <v>0</v>
      </c>
      <c r="L124" s="370"/>
      <c r="Q124" s="245"/>
    </row>
    <row r="125" spans="1:17" ht="11.25" customHeight="1">
      <c r="A125" s="1330" t="str">
        <f t="shared" si="19"/>
        <v>Water</v>
      </c>
      <c r="B125" s="1190"/>
      <c r="C125" s="1139">
        <f t="shared" ref="C125:K125" si="32">SUM(C126:C127)</f>
        <v>262451152</v>
      </c>
      <c r="D125" s="1139">
        <f t="shared" si="32"/>
        <v>221811877</v>
      </c>
      <c r="E125" s="1510">
        <f t="shared" si="32"/>
        <v>261531664</v>
      </c>
      <c r="F125" s="1140">
        <f t="shared" si="32"/>
        <v>384768008.51038778</v>
      </c>
      <c r="G125" s="1139">
        <f t="shared" si="32"/>
        <v>408518097.51038778</v>
      </c>
      <c r="H125" s="1511">
        <f t="shared" si="32"/>
        <v>408518097.51038778</v>
      </c>
      <c r="I125" s="1512">
        <f t="shared" si="32"/>
        <v>503737603</v>
      </c>
      <c r="J125" s="1139">
        <f t="shared" si="32"/>
        <v>520075641</v>
      </c>
      <c r="K125" s="1511">
        <f t="shared" si="32"/>
        <v>543230764</v>
      </c>
      <c r="L125" s="370"/>
      <c r="Q125" s="245"/>
    </row>
    <row r="126" spans="1:17" ht="11.25" customHeight="1">
      <c r="A126" s="1551" t="str">
        <f t="shared" si="19"/>
        <v>Water Distribution</v>
      </c>
      <c r="B126" s="1190"/>
      <c r="C126" s="1053">
        <v>262451152</v>
      </c>
      <c r="D126" s="1054">
        <v>221811877</v>
      </c>
      <c r="E126" s="1616">
        <v>261531664</v>
      </c>
      <c r="F126" s="1617">
        <v>384768008.51038778</v>
      </c>
      <c r="G126" s="1615">
        <v>408518097.51038778</v>
      </c>
      <c r="H126" s="1615">
        <v>408518097.51038778</v>
      </c>
      <c r="I126" s="2535">
        <v>503737603</v>
      </c>
      <c r="J126" s="1615">
        <v>520075641</v>
      </c>
      <c r="K126" s="1618">
        <v>543230764</v>
      </c>
      <c r="L126" s="370"/>
      <c r="Q126" s="245"/>
    </row>
    <row r="127" spans="1:17" ht="11.25" customHeight="1">
      <c r="A127" s="1551" t="str">
        <f t="shared" si="19"/>
        <v>Water Storage</v>
      </c>
      <c r="B127" s="1190"/>
      <c r="C127" s="1053">
        <v>0</v>
      </c>
      <c r="D127" s="1616">
        <v>0</v>
      </c>
      <c r="E127" s="1616">
        <v>0</v>
      </c>
      <c r="F127" s="2535">
        <v>0</v>
      </c>
      <c r="G127" s="1615">
        <v>0</v>
      </c>
      <c r="H127" s="1615">
        <v>0</v>
      </c>
      <c r="I127" s="2535">
        <v>0</v>
      </c>
      <c r="J127" s="1615">
        <v>0</v>
      </c>
      <c r="K127" s="1618">
        <v>0</v>
      </c>
      <c r="L127" s="370"/>
      <c r="Q127" s="245"/>
    </row>
    <row r="128" spans="1:17" ht="11.25" customHeight="1">
      <c r="A128" s="1330" t="str">
        <f t="shared" si="19"/>
        <v>Waste water management</v>
      </c>
      <c r="B128" s="1190"/>
      <c r="C128" s="1139">
        <f t="shared" ref="C128:K128" si="33">SUM(C129:C131)</f>
        <v>93815894</v>
      </c>
      <c r="D128" s="1139">
        <f t="shared" si="33"/>
        <v>176453971</v>
      </c>
      <c r="E128" s="1510">
        <f t="shared" si="33"/>
        <v>402126019</v>
      </c>
      <c r="F128" s="1140">
        <f t="shared" si="33"/>
        <v>185806169.48961219</v>
      </c>
      <c r="G128" s="1139">
        <f t="shared" si="33"/>
        <v>180789420.48961219</v>
      </c>
      <c r="H128" s="1511">
        <f t="shared" si="33"/>
        <v>180789420.48961219</v>
      </c>
      <c r="I128" s="1512">
        <f t="shared" si="33"/>
        <v>144648875</v>
      </c>
      <c r="J128" s="1139">
        <f t="shared" si="33"/>
        <v>145151141</v>
      </c>
      <c r="K128" s="1511">
        <f t="shared" si="33"/>
        <v>186332882</v>
      </c>
      <c r="L128" s="370"/>
      <c r="Q128" s="245"/>
    </row>
    <row r="129" spans="1:17" ht="11.25" customHeight="1">
      <c r="A129" s="1551" t="str">
        <f t="shared" si="19"/>
        <v>Sewerage</v>
      </c>
      <c r="B129" s="1190"/>
      <c r="C129" s="1053">
        <v>93815894</v>
      </c>
      <c r="D129" s="1053">
        <v>176453971</v>
      </c>
      <c r="E129" s="1616">
        <v>402126019</v>
      </c>
      <c r="F129" s="2535">
        <v>185806169.48961219</v>
      </c>
      <c r="G129" s="1615">
        <v>180789420.48961219</v>
      </c>
      <c r="H129" s="1615">
        <v>180789420.48961219</v>
      </c>
      <c r="I129" s="2535">
        <v>144648875</v>
      </c>
      <c r="J129" s="1615">
        <v>145151141</v>
      </c>
      <c r="K129" s="1618">
        <v>186332882</v>
      </c>
      <c r="L129" s="370"/>
      <c r="Q129" s="245"/>
    </row>
    <row r="130" spans="1:17" ht="11.25" customHeight="1">
      <c r="A130" s="1551" t="str">
        <f t="shared" si="19"/>
        <v>Storm Water Management</v>
      </c>
      <c r="B130" s="1190"/>
      <c r="C130" s="1053">
        <v>0</v>
      </c>
      <c r="D130" s="1616">
        <v>0</v>
      </c>
      <c r="E130" s="1616"/>
      <c r="F130" s="2535">
        <v>0</v>
      </c>
      <c r="G130" s="1615">
        <v>0</v>
      </c>
      <c r="H130" s="1615">
        <v>0</v>
      </c>
      <c r="I130" s="2535">
        <v>0</v>
      </c>
      <c r="J130" s="1615">
        <v>0</v>
      </c>
      <c r="K130" s="1618">
        <v>0</v>
      </c>
      <c r="L130" s="370"/>
      <c r="Q130" s="245"/>
    </row>
    <row r="131" spans="1:17" ht="11.25" customHeight="1">
      <c r="A131" s="1551" t="str">
        <f t="shared" si="19"/>
        <v>Public Toilets</v>
      </c>
      <c r="B131" s="1190"/>
      <c r="C131" s="1053">
        <v>0</v>
      </c>
      <c r="D131" s="1616">
        <v>0</v>
      </c>
      <c r="E131" s="1616">
        <v>0</v>
      </c>
      <c r="F131" s="2535">
        <v>0</v>
      </c>
      <c r="G131" s="1615">
        <v>0</v>
      </c>
      <c r="H131" s="1615">
        <v>0</v>
      </c>
      <c r="I131" s="2535">
        <v>0</v>
      </c>
      <c r="J131" s="1615">
        <v>0</v>
      </c>
      <c r="K131" s="1618">
        <v>0</v>
      </c>
      <c r="L131" s="370"/>
      <c r="Q131" s="245"/>
    </row>
    <row r="132" spans="1:17" ht="11.25" customHeight="1">
      <c r="A132" s="1330" t="str">
        <f t="shared" si="19"/>
        <v>Waste management</v>
      </c>
      <c r="B132" s="1190"/>
      <c r="C132" s="1139">
        <f t="shared" ref="C132:K132" si="34">SUM(C133)</f>
        <v>87404496</v>
      </c>
      <c r="D132" s="1139">
        <f t="shared" si="34"/>
        <v>152611507</v>
      </c>
      <c r="E132" s="1510">
        <f t="shared" si="34"/>
        <v>72004108</v>
      </c>
      <c r="F132" s="1140">
        <f t="shared" si="34"/>
        <v>79115959</v>
      </c>
      <c r="G132" s="1139">
        <f t="shared" si="34"/>
        <v>91310764</v>
      </c>
      <c r="H132" s="1511">
        <f t="shared" si="34"/>
        <v>91310764</v>
      </c>
      <c r="I132" s="1512">
        <f t="shared" si="34"/>
        <v>117293524</v>
      </c>
      <c r="J132" s="1139">
        <f t="shared" si="34"/>
        <v>116791600</v>
      </c>
      <c r="K132" s="1511">
        <f t="shared" si="34"/>
        <v>120378601</v>
      </c>
      <c r="L132" s="370"/>
      <c r="Q132" s="245"/>
    </row>
    <row r="133" spans="1:17" ht="11.25" customHeight="1">
      <c r="A133" s="1551" t="str">
        <f t="shared" si="19"/>
        <v>Solid Waste</v>
      </c>
      <c r="B133" s="1188"/>
      <c r="C133" s="1053">
        <v>87404496</v>
      </c>
      <c r="D133" s="1054">
        <v>152611507</v>
      </c>
      <c r="E133" s="1616">
        <v>72004108</v>
      </c>
      <c r="F133" s="1617">
        <v>79115959</v>
      </c>
      <c r="G133" s="1615">
        <v>91310764</v>
      </c>
      <c r="H133" s="1615">
        <v>91310764</v>
      </c>
      <c r="I133" s="2535">
        <v>117293524</v>
      </c>
      <c r="J133" s="1615">
        <v>116791600</v>
      </c>
      <c r="K133" s="1618">
        <v>120378601</v>
      </c>
      <c r="L133" s="370"/>
    </row>
    <row r="134" spans="1:17" ht="11.25" customHeight="1">
      <c r="A134" s="1271" t="str">
        <f t="shared" si="19"/>
        <v>Other</v>
      </c>
      <c r="B134" s="1188"/>
      <c r="C134" s="1338">
        <f t="shared" ref="C134:K134" si="35">SUM(C135:C139)</f>
        <v>0</v>
      </c>
      <c r="D134" s="1338">
        <f t="shared" si="35"/>
        <v>0</v>
      </c>
      <c r="E134" s="1507">
        <f t="shared" si="35"/>
        <v>0</v>
      </c>
      <c r="F134" s="1342">
        <f t="shared" si="35"/>
        <v>0</v>
      </c>
      <c r="G134" s="1338">
        <f t="shared" si="35"/>
        <v>0</v>
      </c>
      <c r="H134" s="1508">
        <f t="shared" si="35"/>
        <v>0</v>
      </c>
      <c r="I134" s="1509">
        <f t="shared" si="35"/>
        <v>0</v>
      </c>
      <c r="J134" s="1338">
        <f t="shared" si="35"/>
        <v>0</v>
      </c>
      <c r="K134" s="1508">
        <f t="shared" si="35"/>
        <v>0</v>
      </c>
      <c r="L134" s="370"/>
    </row>
    <row r="135" spans="1:17" ht="11.25" customHeight="1">
      <c r="A135" s="1330" t="str">
        <f t="shared" si="19"/>
        <v>Air Transport</v>
      </c>
      <c r="B135" s="1188"/>
      <c r="C135" s="1615"/>
      <c r="D135" s="1615"/>
      <c r="E135" s="1616"/>
      <c r="F135" s="1617"/>
      <c r="G135" s="1615"/>
      <c r="H135" s="1618"/>
      <c r="I135" s="1619"/>
      <c r="J135" s="1615"/>
      <c r="K135" s="1618"/>
      <c r="L135" s="370"/>
    </row>
    <row r="136" spans="1:17" ht="11.25" customHeight="1">
      <c r="A136" s="1330" t="str">
        <f t="shared" si="19"/>
        <v>Abattoirs</v>
      </c>
      <c r="B136" s="1188"/>
      <c r="C136" s="1615"/>
      <c r="D136" s="1615"/>
      <c r="E136" s="1616"/>
      <c r="F136" s="1617"/>
      <c r="G136" s="1615"/>
      <c r="H136" s="1618"/>
      <c r="I136" s="1619"/>
      <c r="J136" s="1615"/>
      <c r="K136" s="1618"/>
      <c r="L136" s="370"/>
    </row>
    <row r="137" spans="1:17" ht="11.25" customHeight="1">
      <c r="A137" s="1330" t="str">
        <f t="shared" si="19"/>
        <v>Tourism</v>
      </c>
      <c r="B137" s="1188"/>
      <c r="C137" s="1615"/>
      <c r="D137" s="1615"/>
      <c r="E137" s="1616"/>
      <c r="F137" s="1617"/>
      <c r="G137" s="1615"/>
      <c r="H137" s="1618"/>
      <c r="I137" s="1619"/>
      <c r="J137" s="1615"/>
      <c r="K137" s="1618"/>
      <c r="L137" s="370"/>
    </row>
    <row r="138" spans="1:17" ht="11.25" customHeight="1">
      <c r="A138" s="1330" t="str">
        <f t="shared" si="19"/>
        <v>Forestry</v>
      </c>
      <c r="B138" s="1188"/>
      <c r="C138" s="1615"/>
      <c r="D138" s="1615"/>
      <c r="E138" s="1616"/>
      <c r="F138" s="1617"/>
      <c r="G138" s="1615"/>
      <c r="H138" s="1618"/>
      <c r="I138" s="1619"/>
      <c r="J138" s="1615"/>
      <c r="K138" s="1618"/>
      <c r="L138" s="370"/>
    </row>
    <row r="139" spans="1:17" ht="11.25" customHeight="1">
      <c r="A139" s="1330" t="str">
        <f>A70</f>
        <v>Markets</v>
      </c>
      <c r="B139" s="1188"/>
      <c r="C139" s="1615"/>
      <c r="D139" s="1615"/>
      <c r="E139" s="1616"/>
      <c r="F139" s="1617"/>
      <c r="G139" s="1615"/>
      <c r="H139" s="1618"/>
      <c r="I139" s="1619"/>
      <c r="J139" s="1615"/>
      <c r="K139" s="1618"/>
      <c r="L139" s="370"/>
    </row>
    <row r="140" spans="1:17" ht="11.25" customHeight="1">
      <c r="A140" s="1189" t="str">
        <f>"Total "&amp;A73</f>
        <v>Total Expenditure - Standard</v>
      </c>
      <c r="B140" s="1188">
        <v>3</v>
      </c>
      <c r="C140" s="267">
        <f>C74+C84+C106+C121+C134</f>
        <v>1785750296.3499999</v>
      </c>
      <c r="D140" s="267">
        <f>D74+D84+D106+D121+D134</f>
        <v>2231276752</v>
      </c>
      <c r="E140" s="1517">
        <f t="shared" ref="E140:J140" si="36">E74+E84+E106+E121+E134</f>
        <v>2199658105</v>
      </c>
      <c r="F140" s="270">
        <f t="shared" si="36"/>
        <v>2707791030</v>
      </c>
      <c r="G140" s="267">
        <f t="shared" si="36"/>
        <v>2717214127</v>
      </c>
      <c r="H140" s="1518">
        <f t="shared" si="36"/>
        <v>2717214127</v>
      </c>
      <c r="I140" s="1519">
        <f t="shared" si="36"/>
        <v>2710794199</v>
      </c>
      <c r="J140" s="267">
        <f t="shared" si="36"/>
        <v>2798548647</v>
      </c>
      <c r="K140" s="1518">
        <f>K74+K84+K106+K121+K134</f>
        <v>2980640678</v>
      </c>
      <c r="L140" s="370"/>
      <c r="Q140" s="280"/>
    </row>
    <row r="141" spans="1:17">
      <c r="A141" s="1191" t="str">
        <f>result</f>
        <v>Surplus/(Deficit) for the year</v>
      </c>
      <c r="B141" s="1192"/>
      <c r="C141" s="283">
        <f t="shared" ref="C141:K141" si="37">C71-C140</f>
        <v>183256442.6500001</v>
      </c>
      <c r="D141" s="283">
        <f t="shared" si="37"/>
        <v>-12918320</v>
      </c>
      <c r="E141" s="284">
        <f t="shared" si="37"/>
        <v>-24547064</v>
      </c>
      <c r="F141" s="285">
        <f t="shared" si="37"/>
        <v>-22018174</v>
      </c>
      <c r="G141" s="283">
        <f t="shared" si="37"/>
        <v>38188328</v>
      </c>
      <c r="H141" s="282">
        <f t="shared" si="37"/>
        <v>38188328</v>
      </c>
      <c r="I141" s="286">
        <f t="shared" si="37"/>
        <v>18481336</v>
      </c>
      <c r="J141" s="283">
        <f t="shared" si="37"/>
        <v>35673304</v>
      </c>
      <c r="K141" s="284">
        <f t="shared" si="37"/>
        <v>91466656</v>
      </c>
      <c r="L141" s="370"/>
    </row>
    <row r="142" spans="1:17">
      <c r="A142" s="1193" t="str">
        <f>head27a</f>
        <v>References</v>
      </c>
      <c r="B142" s="1194"/>
      <c r="C142" s="1059"/>
      <c r="D142" s="1059"/>
      <c r="E142" s="1059"/>
      <c r="F142" s="1059"/>
      <c r="G142" s="1059"/>
      <c r="H142" s="1059"/>
      <c r="I142" s="1059"/>
      <c r="J142" s="1059"/>
      <c r="K142" s="1059"/>
      <c r="L142" s="370"/>
    </row>
    <row r="143" spans="1:17" ht="11.25" customHeight="1">
      <c r="A143" s="1195" t="s">
        <v>439</v>
      </c>
      <c r="B143" s="1194"/>
      <c r="C143" s="1196"/>
      <c r="D143" s="1196"/>
      <c r="E143" s="1197"/>
      <c r="F143" s="1197"/>
      <c r="G143" s="1197"/>
      <c r="H143" s="1197"/>
      <c r="I143" s="1197"/>
      <c r="J143" s="1197"/>
      <c r="K143" s="1197"/>
    </row>
    <row r="144" spans="1:17" ht="11.25" customHeight="1">
      <c r="A144" s="1198" t="s">
        <v>1811</v>
      </c>
      <c r="B144" s="1194"/>
      <c r="C144" s="1196"/>
      <c r="D144" s="1196"/>
      <c r="E144" s="1197"/>
      <c r="F144" s="1197"/>
      <c r="G144" s="1197"/>
      <c r="H144" s="1197"/>
      <c r="I144" s="1197"/>
      <c r="J144" s="1197"/>
      <c r="K144" s="1197"/>
    </row>
    <row r="145" spans="1:11" ht="11.25" customHeight="1">
      <c r="A145" s="1195" t="s">
        <v>1812</v>
      </c>
      <c r="B145" s="1194"/>
      <c r="C145" s="1196"/>
      <c r="D145" s="1196"/>
      <c r="E145" s="1197"/>
      <c r="F145" s="1197"/>
      <c r="G145" s="1197"/>
      <c r="H145" s="1197"/>
      <c r="I145" s="1197"/>
      <c r="J145" s="1197"/>
      <c r="K145" s="1197"/>
    </row>
    <row r="146" spans="1:11" ht="22.5" customHeight="1">
      <c r="A146" s="2769" t="s">
        <v>140</v>
      </c>
      <c r="B146" s="2769"/>
      <c r="C146" s="2769"/>
      <c r="D146" s="2769"/>
      <c r="E146" s="2769"/>
      <c r="F146" s="2769"/>
      <c r="G146" s="2769"/>
      <c r="H146" s="2769"/>
      <c r="I146" s="2769"/>
      <c r="J146" s="2769"/>
      <c r="K146" s="2769"/>
    </row>
    <row r="147" spans="1:11" ht="11.25" customHeight="1">
      <c r="A147" s="246"/>
      <c r="B147" s="236"/>
      <c r="C147" s="240"/>
      <c r="D147" s="240"/>
      <c r="E147" s="241"/>
      <c r="F147" s="241"/>
      <c r="G147" s="241"/>
      <c r="H147" s="241"/>
      <c r="I147" s="241"/>
      <c r="J147" s="241"/>
      <c r="K147" s="241"/>
    </row>
    <row r="148" spans="1:11" ht="11.25" customHeight="1">
      <c r="A148" s="246"/>
      <c r="B148" s="236"/>
      <c r="C148" s="240"/>
      <c r="D148" s="240"/>
      <c r="E148" s="241"/>
      <c r="F148" s="241"/>
      <c r="G148" s="241"/>
      <c r="H148" s="241"/>
      <c r="I148" s="241"/>
      <c r="J148" s="241"/>
      <c r="K148" s="241"/>
    </row>
    <row r="149" spans="1:11" ht="11.25" customHeight="1">
      <c r="A149" s="288" t="s">
        <v>154</v>
      </c>
      <c r="B149" s="243"/>
      <c r="C149" s="289">
        <f>C71-'A4-FinPerf RE'!C60</f>
        <v>183504721.50000024</v>
      </c>
      <c r="D149" s="289">
        <f>D71-'A4-FinPerf RE'!D60</f>
        <v>-12575329</v>
      </c>
      <c r="E149" s="1030">
        <f>E71-'A4-FinPerf RE'!E60</f>
        <v>-23959329</v>
      </c>
      <c r="F149" s="289">
        <f>F71-'A4-FinPerf RE'!F60</f>
        <v>-22018174.243999958</v>
      </c>
      <c r="G149" s="289">
        <f>G71-'A4-FinPerf RE'!G60</f>
        <v>38188328</v>
      </c>
      <c r="H149" s="289">
        <f>H71-'A4-FinPerf RE'!H60</f>
        <v>38188328</v>
      </c>
      <c r="I149" s="289">
        <f>I71-'A4-FinPerf RE'!J60</f>
        <v>18481336</v>
      </c>
      <c r="J149" s="289">
        <f>J71-'A4-FinPerf RE'!K60</f>
        <v>35673304</v>
      </c>
      <c r="K149" s="289">
        <f>K71-'A4-FinPerf RE'!L60</f>
        <v>91466656</v>
      </c>
    </row>
    <row r="150" spans="1:11" ht="11.25" customHeight="1">
      <c r="A150" s="288" t="s">
        <v>876</v>
      </c>
      <c r="B150" s="243"/>
      <c r="C150" s="289">
        <f>C140-'A4-FinPerf RE'!C36</f>
        <v>248278.84999990463</v>
      </c>
      <c r="D150" s="289">
        <f>D140-'A4-FinPerf RE'!D36</f>
        <v>342991</v>
      </c>
      <c r="E150" s="1030">
        <f>E140-'A4-FinPerf RE'!E36</f>
        <v>587735</v>
      </c>
      <c r="F150" s="289">
        <f>F140-'A4-FinPerf RE'!F36</f>
        <v>-0.24399995803833008</v>
      </c>
      <c r="G150" s="289">
        <f>G140-'A4-FinPerf RE'!G36</f>
        <v>0</v>
      </c>
      <c r="H150" s="289">
        <f>H140-'A4-FinPerf RE'!H36</f>
        <v>0</v>
      </c>
      <c r="I150" s="289">
        <f>I140-'A4-FinPerf RE'!J36</f>
        <v>0</v>
      </c>
      <c r="J150" s="289">
        <f>J140-'A4-FinPerf RE'!K36</f>
        <v>0</v>
      </c>
      <c r="K150" s="289">
        <f>K140-'A4-FinPerf RE'!L36</f>
        <v>0</v>
      </c>
    </row>
    <row r="151" spans="1:11" ht="11.25" customHeight="1"/>
    <row r="152" spans="1:11" ht="11.25" customHeight="1"/>
    <row r="153" spans="1:11" ht="11.25" customHeight="1"/>
    <row r="154" spans="1:11" ht="11.25" customHeight="1">
      <c r="E154" s="362"/>
    </row>
    <row r="155" spans="1:11" ht="11.25" customHeight="1"/>
    <row r="156" spans="1:11" ht="11.25" customHeight="1"/>
    <row r="157" spans="1:11" ht="11.25" customHeight="1"/>
    <row r="158" spans="1:11" ht="11.25" customHeight="1"/>
    <row r="159" spans="1:11" ht="11.25" customHeight="1"/>
    <row r="160" spans="1:11"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sheetData>
  <mergeCells count="3">
    <mergeCell ref="F2:H2"/>
    <mergeCell ref="I2:K2"/>
    <mergeCell ref="A146:K146"/>
  </mergeCells>
  <phoneticPr fontId="5" type="noConversion"/>
  <pageMargins left="0.75" right="0.75" top="1" bottom="1" header="0.5" footer="0.5"/>
  <headerFooter alignWithMargins="0"/>
  <rowBreaks count="1" manualBreakCount="1">
    <brk id="83" max="16383" man="1"/>
  </rowBreak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61</vt:i4>
      </vt:variant>
    </vt:vector>
  </HeadingPairs>
  <TitlesOfParts>
    <vt:vector size="61"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SA35</vt:lpstr>
      <vt:lpstr>SA36</vt:lpstr>
      <vt:lpstr>SA37</vt:lpstr>
      <vt:lpstr>NERF</vt:lpstr>
      <vt:lpstr>MSCOA</vt:lpstr>
      <vt:lpstr>Compliance assessment</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Lesego Mooki</cp:lastModifiedBy>
  <cp:lastPrinted>2013-03-15T06:59:01Z</cp:lastPrinted>
  <dcterms:created xsi:type="dcterms:W3CDTF">2004-04-07T16:19:08Z</dcterms:created>
  <dcterms:modified xsi:type="dcterms:W3CDTF">2014-05-19T11:19:25Z</dcterms:modified>
</cp:coreProperties>
</file>